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60" yWindow="300" windowWidth="16440" windowHeight="11760" firstSheet="1" activeTab="1"/>
  </bookViews>
  <sheets>
    <sheet name="2019" sheetId="1" state="hidden" r:id="rId1"/>
    <sheet name="2024" sheetId="2" r:id="rId2"/>
  </sheets>
  <definedNames>
    <definedName name="Z_1237AFA1_68A6_41BB_9F1F_2BB33CF3BCCE_.wvu.Cols" localSheetId="0" hidden="1">'2019'!$I:$M</definedName>
    <definedName name="Z_1237AFA1_68A6_41BB_9F1F_2BB33CF3BCCE_.wvu.Cols" localSheetId="1" hidden="1">'2024'!#REF!,'2024'!#REF!</definedName>
    <definedName name="Z_1237AFA1_68A6_41BB_9F1F_2BB33CF3BCCE_.wvu.PrintTitles" localSheetId="0" hidden="1">'2019'!$2:$4</definedName>
    <definedName name="Z_1237AFA1_68A6_41BB_9F1F_2BB33CF3BCCE_.wvu.PrintTitles" localSheetId="1" hidden="1">'2024'!$4:$6</definedName>
    <definedName name="Z_1237AFA1_68A6_41BB_9F1F_2BB33CF3BCCE_.wvu.Rows" localSheetId="0" hidden="1">'2019'!$5:$239</definedName>
    <definedName name="Z_15008CFB_90AE_4019_A345_B8744D25D0C3_.wvu.Cols" localSheetId="0" hidden="1">'2019'!$I:$M</definedName>
    <definedName name="Z_15008CFB_90AE_4019_A345_B8744D25D0C3_.wvu.PrintTitles" localSheetId="0" hidden="1">'2019'!$2:$4</definedName>
    <definedName name="Z_15008CFB_90AE_4019_A345_B8744D25D0C3_.wvu.PrintTitles" localSheetId="1" hidden="1">'2024'!$4:$6</definedName>
    <definedName name="Z_15008CFB_90AE_4019_A345_B8744D25D0C3_.wvu.Rows" localSheetId="0" hidden="1">'2019'!$5:$239</definedName>
    <definedName name="Z_364080A9_4C50_4D56_AFFE_3F56BEE01D21_.wvu.Cols" localSheetId="0" hidden="1">'2019'!$I:$M</definedName>
    <definedName name="Z_364080A9_4C50_4D56_AFFE_3F56BEE01D21_.wvu.Cols" localSheetId="1" hidden="1">'2024'!#REF!,'2024'!#REF!</definedName>
    <definedName name="Z_364080A9_4C50_4D56_AFFE_3F56BEE01D21_.wvu.PrintTitles" localSheetId="0" hidden="1">'2019'!$2:$4</definedName>
    <definedName name="Z_364080A9_4C50_4D56_AFFE_3F56BEE01D21_.wvu.PrintTitles" localSheetId="1" hidden="1">'2024'!$4:$6</definedName>
    <definedName name="Z_364080A9_4C50_4D56_AFFE_3F56BEE01D21_.wvu.Rows" localSheetId="0" hidden="1">'2019'!$5:$239</definedName>
    <definedName name="Z_4873CEAB_4E26_4DB7_8CA3_1027F54FA069_.wvu.Cols" localSheetId="0" hidden="1">'2019'!$I:$M</definedName>
    <definedName name="Z_4873CEAB_4E26_4DB7_8CA3_1027F54FA069_.wvu.Cols" localSheetId="1" hidden="1">'2024'!#REF!,'2024'!#REF!</definedName>
    <definedName name="Z_4873CEAB_4E26_4DB7_8CA3_1027F54FA069_.wvu.PrintTitles" localSheetId="0" hidden="1">'2019'!$2:$4</definedName>
    <definedName name="Z_4873CEAB_4E26_4DB7_8CA3_1027F54FA069_.wvu.PrintTitles" localSheetId="1" hidden="1">'2024'!$4:$6</definedName>
    <definedName name="Z_4873CEAB_4E26_4DB7_8CA3_1027F54FA069_.wvu.Rows" localSheetId="0" hidden="1">'2019'!$5:$239</definedName>
    <definedName name="Z_5B955171_6155_4477_93FE_98906395A697_.wvu.Cols" localSheetId="0" hidden="1">'2019'!$I:$M</definedName>
    <definedName name="Z_5B955171_6155_4477_93FE_98906395A697_.wvu.Cols" localSheetId="1" hidden="1">'2024'!#REF!,'2024'!#REF!</definedName>
    <definedName name="Z_5B955171_6155_4477_93FE_98906395A697_.wvu.PrintTitles" localSheetId="0" hidden="1">'2019'!$2:$4</definedName>
    <definedName name="Z_5B955171_6155_4477_93FE_98906395A697_.wvu.PrintTitles" localSheetId="1" hidden="1">'2024'!$4:$6</definedName>
    <definedName name="Z_5B955171_6155_4477_93FE_98906395A697_.wvu.Rows" localSheetId="0" hidden="1">'2019'!$5:$239</definedName>
    <definedName name="Z_69868B4C_820B_4999_9363_14A229151CE0_.wvu.Cols" localSheetId="0" hidden="1">'2019'!$I:$M</definedName>
    <definedName name="Z_69868B4C_820B_4999_9363_14A229151CE0_.wvu.Cols" localSheetId="1" hidden="1">'2024'!#REF!,'2024'!#REF!</definedName>
    <definedName name="Z_69868B4C_820B_4999_9363_14A229151CE0_.wvu.PrintTitles" localSheetId="0" hidden="1">'2019'!$2:$4</definedName>
    <definedName name="Z_69868B4C_820B_4999_9363_14A229151CE0_.wvu.PrintTitles" localSheetId="1" hidden="1">'2024'!$4:$6</definedName>
    <definedName name="Z_69868B4C_820B_4999_9363_14A229151CE0_.wvu.Rows" localSheetId="0" hidden="1">'2019'!$5:$239</definedName>
    <definedName name="Z_765F1DBD_C068_444A_8B13_2916A4A9BA3F_.wvu.Cols" localSheetId="0" hidden="1">'2019'!$I:$M</definedName>
    <definedName name="Z_765F1DBD_C068_444A_8B13_2916A4A9BA3F_.wvu.Cols" localSheetId="1" hidden="1">'2024'!#REF!,'2024'!#REF!</definedName>
    <definedName name="Z_765F1DBD_C068_444A_8B13_2916A4A9BA3F_.wvu.PrintTitles" localSheetId="0" hidden="1">'2019'!$2:$4</definedName>
    <definedName name="Z_765F1DBD_C068_444A_8B13_2916A4A9BA3F_.wvu.PrintTitles" localSheetId="1" hidden="1">'2024'!$4:$6</definedName>
    <definedName name="Z_765F1DBD_C068_444A_8B13_2916A4A9BA3F_.wvu.Rows" localSheetId="0" hidden="1">'2019'!$5:$239</definedName>
    <definedName name="Z_94FAEE46_67CD_4645_8F65_1FE6863655B3_.wvu.Cols" localSheetId="0" hidden="1">'2019'!$I:$M</definedName>
    <definedName name="Z_94FAEE46_67CD_4645_8F65_1FE6863655B3_.wvu.Cols" localSheetId="1" hidden="1">'2024'!#REF!,'2024'!#REF!</definedName>
    <definedName name="Z_94FAEE46_67CD_4645_8F65_1FE6863655B3_.wvu.PrintTitles" localSheetId="0" hidden="1">'2019'!$2:$4</definedName>
    <definedName name="Z_94FAEE46_67CD_4645_8F65_1FE6863655B3_.wvu.PrintTitles" localSheetId="1" hidden="1">'2024'!$4:$6</definedName>
    <definedName name="Z_94FAEE46_67CD_4645_8F65_1FE6863655B3_.wvu.Rows" localSheetId="0" hidden="1">'2019'!$5:$239</definedName>
    <definedName name="Z_AC3D1D09_98ED_4CFD_8F29_C435F099150F_.wvu.Cols" localSheetId="0" hidden="1">'2019'!$I:$M</definedName>
    <definedName name="Z_AC3D1D09_98ED_4CFD_8F29_C435F099150F_.wvu.Cols" localSheetId="1" hidden="1">'2024'!#REF!,'2024'!#REF!</definedName>
    <definedName name="Z_AC3D1D09_98ED_4CFD_8F29_C435F099150F_.wvu.PrintTitles" localSheetId="0" hidden="1">'2019'!$2:$4</definedName>
    <definedName name="Z_AC3D1D09_98ED_4CFD_8F29_C435F099150F_.wvu.PrintTitles" localSheetId="1" hidden="1">'2024'!$4:$6</definedName>
    <definedName name="Z_AC3D1D09_98ED_4CFD_8F29_C435F099150F_.wvu.Rows" localSheetId="0" hidden="1">'2019'!$5:$239</definedName>
    <definedName name="Z_E442A37A_C329_497A_93AF_778FC95E568D_.wvu.Cols" localSheetId="0" hidden="1">'2019'!$I:$M</definedName>
    <definedName name="Z_E442A37A_C329_497A_93AF_778FC95E568D_.wvu.Cols" localSheetId="1" hidden="1">'2024'!#REF!,'2024'!#REF!</definedName>
    <definedName name="Z_E442A37A_C329_497A_93AF_778FC95E568D_.wvu.PrintTitles" localSheetId="0" hidden="1">'2019'!$2:$4</definedName>
    <definedName name="Z_E442A37A_C329_497A_93AF_778FC95E568D_.wvu.PrintTitles" localSheetId="1" hidden="1">'2024'!$4:$6</definedName>
    <definedName name="Z_E442A37A_C329_497A_93AF_778FC95E568D_.wvu.Rows" localSheetId="0" hidden="1">'2019'!$5:$239</definedName>
    <definedName name="Z_E4E24A0D_4CE4_4533_9643_8904DCA0EAAD_.wvu.Cols" localSheetId="0" hidden="1">'2019'!$I:$M</definedName>
    <definedName name="Z_E4E24A0D_4CE4_4533_9643_8904DCA0EAAD_.wvu.Cols" localSheetId="1" hidden="1">'2024'!#REF!,'2024'!#REF!</definedName>
    <definedName name="Z_E4E24A0D_4CE4_4533_9643_8904DCA0EAAD_.wvu.PrintTitles" localSheetId="0" hidden="1">'2019'!$2:$4</definedName>
    <definedName name="Z_E4E24A0D_4CE4_4533_9643_8904DCA0EAAD_.wvu.PrintTitles" localSheetId="1" hidden="1">'2024'!$4:$6</definedName>
    <definedName name="Z_E4E24A0D_4CE4_4533_9643_8904DCA0EAAD_.wvu.Rows" localSheetId="0" hidden="1">'2019'!$5:$239</definedName>
    <definedName name="_xlnm.Print_Titles" localSheetId="0">'2019'!$2:$4</definedName>
    <definedName name="_xlnm.Print_Titles" localSheetId="1">'2024'!$4:$6</definedName>
  </definedNames>
  <calcPr calcId="145621"/>
  <customWorkbookViews>
    <customWorkbookView name="Ольга Александровна Коноплянникова - Личное представление" guid="{15008CFB-90AE-4019-A345-B8744D25D0C3}" mergeInterval="0" personalView="1" maximized="1" windowWidth="1916" windowHeight="815" activeSheetId="2" showComments="commIndAndComment"/>
    <customWorkbookView name="Киселёв Алексей Сергеевич - Личное представление" guid="{94FAEE46-67CD-4645-8F65-1FE6863655B3}" mergeInterval="0" personalView="1" maximized="1" windowWidth="1916" windowHeight="913" activeSheetId="2"/>
    <customWorkbookView name="Евсеева Анна Владимировна - Личное представление" guid="{69868B4C-820B-4999-9363-14A229151CE0}" mergeInterval="0" personalView="1" xWindow="834" yWindow="53" windowWidth="1076" windowHeight="741" activeSheetId="2"/>
    <customWorkbookView name="Кудрявцева Светлана Геннадьевна - Личное представление" guid="{5B955171-6155-4477-93FE-98906395A697}" mergeInterval="0" personalView="1" maximized="1" windowWidth="1362" windowHeight="462" activeSheetId="2"/>
    <customWorkbookView name="Соловьева Нина Леонардовна - Личное представление" guid="{AC3D1D09-98ED-4CFD-8F29-C435F099150F}" mergeInterval="0" personalView="1" maximized="1" windowWidth="1360" windowHeight="502" activeSheetId="2"/>
    <customWorkbookView name="Анна Александровна Блохина - Личное представление" guid="{765F1DBD-C068-444A-8B13-2916A4A9BA3F}" mergeInterval="0" personalView="1" maximized="1" windowWidth="1676" windowHeight="825" activeSheetId="2"/>
    <customWorkbookView name="Жемчюговайте Полина Александровна - Личное представление" guid="{1237AFA1-68A6-41BB-9F1F-2BB33CF3BCCE}" mergeInterval="0" personalView="1" maximized="1" windowWidth="1664" windowHeight="654" activeSheetId="2"/>
    <customWorkbookView name="Брызгало Вера Геннадьевна - Личное представление" guid="{4873CEAB-4E26-4DB7-8CA3-1027F54FA069}" mergeInterval="0" personalView="1" maximized="1" windowWidth="1916" windowHeight="714" activeSheetId="2"/>
    <customWorkbookView name="Николаева Любовь Александровна - Личное представление" guid="{E442A37A-C329-497A-93AF-778FC95E568D}" mergeInterval="0" personalView="1" maximized="1" windowWidth="1675" windowHeight="942" activeSheetId="2"/>
    <customWorkbookView name="Кравченко Ярослав Эдуардович - Личное представление" guid="{364080A9-4C50-4D56-AFFE-3F56BEE01D21}" mergeInterval="0" personalView="1" maximized="1" windowWidth="1916" windowHeight="787" activeSheetId="2"/>
    <customWorkbookView name="Елена Александровна Павлова - Личное представление" guid="{E4E24A0D-4CE4-4533-9643-8904DCA0EAAD}" mergeInterval="0" personalView="1" maximized="1" windowWidth="1898" windowHeight="816" activeSheetId="2" showComments="commIndAndComment"/>
  </customWorkbookViews>
</workbook>
</file>

<file path=xl/calcChain.xml><?xml version="1.0" encoding="utf-8"?>
<calcChain xmlns="http://schemas.openxmlformats.org/spreadsheetml/2006/main">
  <c r="G202" i="2" l="1"/>
  <c r="I178" i="2" l="1"/>
  <c r="H178" i="2"/>
  <c r="G186" i="2" l="1"/>
  <c r="I186" i="2"/>
  <c r="H186" i="2"/>
  <c r="G185" i="2"/>
  <c r="I185" i="2"/>
  <c r="H185" i="2"/>
  <c r="G184" i="2"/>
  <c r="I184" i="2"/>
  <c r="H184" i="2"/>
  <c r="G183" i="2"/>
  <c r="I183" i="2"/>
  <c r="H183" i="2"/>
  <c r="G182" i="2"/>
  <c r="I182" i="2"/>
  <c r="H182" i="2"/>
  <c r="G181" i="2"/>
  <c r="I181" i="2"/>
  <c r="H181" i="2"/>
  <c r="G180" i="2"/>
  <c r="I180" i="2"/>
  <c r="H180" i="2"/>
  <c r="G179" i="2"/>
  <c r="I179" i="2"/>
  <c r="H179" i="2"/>
  <c r="G178" i="2"/>
  <c r="G177" i="2"/>
  <c r="I177" i="2"/>
  <c r="H177" i="2"/>
  <c r="G176" i="2"/>
  <c r="I176" i="2"/>
  <c r="H176" i="2"/>
  <c r="G175" i="2"/>
  <c r="I174" i="2"/>
  <c r="H174" i="2"/>
  <c r="I175" i="2"/>
  <c r="H175" i="2"/>
  <c r="G174" i="2"/>
  <c r="E345" i="2" l="1"/>
  <c r="E346" i="2"/>
  <c r="E347" i="2"/>
  <c r="E344" i="2"/>
  <c r="G147" i="2" l="1"/>
  <c r="G79" i="2"/>
  <c r="G75" i="2"/>
  <c r="H336" i="2" l="1"/>
  <c r="I336" i="2" s="1"/>
  <c r="I22" i="2" l="1"/>
  <c r="G19" i="2"/>
  <c r="G121" i="2" l="1"/>
  <c r="H19" i="2" l="1"/>
  <c r="F13" i="2"/>
  <c r="E13" i="2"/>
  <c r="D13" i="2"/>
  <c r="I338" i="2" l="1"/>
  <c r="H338" i="2"/>
  <c r="G338" i="2"/>
  <c r="I39" i="2" l="1"/>
  <c r="I23" i="2" l="1"/>
  <c r="I21" i="2"/>
  <c r="H348" i="2" l="1"/>
  <c r="I348" i="2"/>
  <c r="G348" i="2"/>
  <c r="I142" i="2" l="1"/>
  <c r="H142" i="2"/>
  <c r="G142" i="2"/>
  <c r="G24" i="2" l="1"/>
  <c r="H75" i="2" l="1"/>
  <c r="I75" i="2"/>
  <c r="I134" i="2" l="1"/>
  <c r="H134" i="2"/>
  <c r="G134" i="2"/>
  <c r="G39" i="2" l="1"/>
  <c r="H312" i="2" l="1"/>
  <c r="G312" i="2" l="1"/>
  <c r="I312" i="2"/>
  <c r="H282" i="2"/>
  <c r="I282" i="2"/>
  <c r="G282" i="2"/>
  <c r="H39" i="2" l="1"/>
  <c r="I19" i="2" l="1"/>
  <c r="H324" i="2" l="1"/>
  <c r="I324" i="2"/>
  <c r="G324" i="2"/>
  <c r="I147" i="2" l="1"/>
  <c r="H147" i="2"/>
  <c r="H121" i="2"/>
  <c r="I121" i="2"/>
  <c r="H202" i="2" l="1"/>
  <c r="I202" i="2"/>
  <c r="H57" i="2" l="1"/>
  <c r="I57" i="2"/>
  <c r="G57" i="2"/>
  <c r="H31" i="2" l="1"/>
  <c r="I31" i="2"/>
  <c r="G31" i="2"/>
  <c r="H342" i="2" l="1"/>
  <c r="I342" i="2"/>
  <c r="G342" i="2"/>
  <c r="G349" i="2" s="1"/>
  <c r="H24" i="2" l="1"/>
  <c r="I24" i="2"/>
  <c r="I349" i="2" s="1"/>
  <c r="H349" i="2" l="1"/>
  <c r="N243" i="1"/>
  <c r="N239" i="1"/>
  <c r="O243" i="1"/>
  <c r="P243" i="1"/>
  <c r="Q243" i="1"/>
  <c r="R243" i="1"/>
  <c r="I162" i="1"/>
  <c r="O117" i="1"/>
  <c r="P117" i="1"/>
  <c r="Q117" i="1"/>
  <c r="R117" i="1"/>
  <c r="N117" i="1"/>
  <c r="O105" i="1"/>
  <c r="P105" i="1"/>
  <c r="Q105" i="1"/>
  <c r="R105" i="1"/>
  <c r="N105" i="1"/>
  <c r="R237" i="1"/>
  <c r="R239" i="1" s="1"/>
  <c r="Q237" i="1"/>
  <c r="Q239" i="1" s="1"/>
  <c r="P237" i="1"/>
  <c r="P239" i="1" s="1"/>
  <c r="O237" i="1"/>
  <c r="O232" i="1"/>
  <c r="O223" i="1"/>
  <c r="J196" i="1"/>
  <c r="Q192" i="1"/>
  <c r="R192" i="1" s="1"/>
  <c r="L192" i="1"/>
  <c r="M192" i="1" s="1"/>
  <c r="P191" i="1"/>
  <c r="O191" i="1"/>
  <c r="N191" i="1"/>
  <c r="L191" i="1"/>
  <c r="Q191" i="1" s="1"/>
  <c r="P190" i="1"/>
  <c r="O190" i="1"/>
  <c r="N190" i="1"/>
  <c r="L190" i="1"/>
  <c r="Q190" i="1" s="1"/>
  <c r="P189" i="1"/>
  <c r="O189" i="1"/>
  <c r="N189" i="1"/>
  <c r="L189" i="1"/>
  <c r="Q189" i="1" s="1"/>
  <c r="N188" i="1"/>
  <c r="K188" i="1"/>
  <c r="L188" i="1" s="1"/>
  <c r="J188" i="1"/>
  <c r="O188" i="1" s="1"/>
  <c r="P187" i="1"/>
  <c r="O187" i="1"/>
  <c r="N187" i="1"/>
  <c r="L187" i="1"/>
  <c r="Q187" i="1" s="1"/>
  <c r="N186" i="1"/>
  <c r="K186" i="1"/>
  <c r="P186" i="1" s="1"/>
  <c r="J186" i="1"/>
  <c r="O186" i="1" s="1"/>
  <c r="P185" i="1"/>
  <c r="O185" i="1"/>
  <c r="N185" i="1"/>
  <c r="L185" i="1"/>
  <c r="Q185" i="1" s="1"/>
  <c r="P184" i="1"/>
  <c r="O184" i="1"/>
  <c r="N184" i="1"/>
  <c r="L184" i="1"/>
  <c r="Q184" i="1" s="1"/>
  <c r="P183" i="1"/>
  <c r="N183" i="1"/>
  <c r="L183" i="1"/>
  <c r="M183" i="1" s="1"/>
  <c r="R183" i="1" s="1"/>
  <c r="J183" i="1"/>
  <c r="O183" i="1" s="1"/>
  <c r="P182" i="1"/>
  <c r="N182" i="1"/>
  <c r="L182" i="1"/>
  <c r="Q182" i="1" s="1"/>
  <c r="J182" i="1"/>
  <c r="O182" i="1" s="1"/>
  <c r="O181" i="1"/>
  <c r="N181" i="1"/>
  <c r="K181" i="1"/>
  <c r="P181" i="1" s="1"/>
  <c r="R179" i="1"/>
  <c r="Q179" i="1"/>
  <c r="P179" i="1"/>
  <c r="O179" i="1"/>
  <c r="N178" i="1"/>
  <c r="I178" i="1" s="1"/>
  <c r="M178" i="1"/>
  <c r="L178" i="1"/>
  <c r="K178" i="1"/>
  <c r="J178" i="1"/>
  <c r="M177" i="1"/>
  <c r="L177" i="1"/>
  <c r="K177" i="1"/>
  <c r="J177" i="1"/>
  <c r="I177" i="1"/>
  <c r="N176" i="1"/>
  <c r="N179" i="1" s="1"/>
  <c r="M176" i="1"/>
  <c r="L176" i="1"/>
  <c r="K176" i="1"/>
  <c r="J176" i="1"/>
  <c r="M175" i="1"/>
  <c r="L175" i="1"/>
  <c r="K175" i="1"/>
  <c r="J175" i="1"/>
  <c r="I175" i="1"/>
  <c r="M174" i="1"/>
  <c r="L174" i="1"/>
  <c r="K174" i="1"/>
  <c r="J174" i="1"/>
  <c r="I174" i="1"/>
  <c r="I176" i="1"/>
  <c r="Q171" i="1"/>
  <c r="R171" i="1" s="1"/>
  <c r="M171" i="1" s="1"/>
  <c r="K171" i="1"/>
  <c r="Q170" i="1"/>
  <c r="R170" i="1" s="1"/>
  <c r="M170" i="1" s="1"/>
  <c r="K170" i="1"/>
  <c r="Q169" i="1"/>
  <c r="R169" i="1" s="1"/>
  <c r="M169" i="1" s="1"/>
  <c r="K169" i="1"/>
  <c r="M168" i="1"/>
  <c r="L168" i="1"/>
  <c r="K168" i="1"/>
  <c r="I168" i="1"/>
  <c r="M167" i="1"/>
  <c r="L167" i="1"/>
  <c r="K167" i="1"/>
  <c r="I167" i="1"/>
  <c r="O166" i="1"/>
  <c r="M166" i="1"/>
  <c r="L166" i="1"/>
  <c r="K166" i="1"/>
  <c r="I166" i="1"/>
  <c r="Q165" i="1"/>
  <c r="R165" i="1" s="1"/>
  <c r="M165" i="1" s="1"/>
  <c r="K165" i="1"/>
  <c r="I165" i="1"/>
  <c r="Q164" i="1"/>
  <c r="R164" i="1" s="1"/>
  <c r="M164" i="1" s="1"/>
  <c r="N164" i="1"/>
  <c r="I164" i="1" s="1"/>
  <c r="K164" i="1"/>
  <c r="M163" i="1"/>
  <c r="L163" i="1"/>
  <c r="K163" i="1"/>
  <c r="I163" i="1"/>
  <c r="Q162" i="1"/>
  <c r="R162" i="1" s="1"/>
  <c r="M162" i="1" s="1"/>
  <c r="K162" i="1"/>
  <c r="Q161" i="1"/>
  <c r="R161" i="1" s="1"/>
  <c r="M161" i="1" s="1"/>
  <c r="K161" i="1"/>
  <c r="I161" i="1"/>
  <c r="P160" i="1"/>
  <c r="Q160" i="1" s="1"/>
  <c r="R160" i="1" s="1"/>
  <c r="M160" i="1" s="1"/>
  <c r="O160" i="1"/>
  <c r="I160" i="1"/>
  <c r="H160" i="1"/>
  <c r="G160" i="1"/>
  <c r="F160" i="1"/>
  <c r="E160" i="1"/>
  <c r="P159" i="1"/>
  <c r="Q159" i="1" s="1"/>
  <c r="R159" i="1" s="1"/>
  <c r="M159" i="1" s="1"/>
  <c r="O159" i="1"/>
  <c r="H159" i="1"/>
  <c r="G159" i="1"/>
  <c r="F159" i="1"/>
  <c r="E159" i="1"/>
  <c r="D159" i="1"/>
  <c r="I159" i="1" s="1"/>
  <c r="Q158" i="1"/>
  <c r="R158" i="1" s="1"/>
  <c r="M158" i="1" s="1"/>
  <c r="O158" i="1"/>
  <c r="K158" i="1"/>
  <c r="I158" i="1"/>
  <c r="E158" i="1"/>
  <c r="Q157" i="1"/>
  <c r="R157" i="1" s="1"/>
  <c r="M157" i="1" s="1"/>
  <c r="K157" i="1"/>
  <c r="I157" i="1"/>
  <c r="Q156" i="1"/>
  <c r="R156" i="1" s="1"/>
  <c r="M156" i="1" s="1"/>
  <c r="K156" i="1"/>
  <c r="I156" i="1"/>
  <c r="Q155" i="1"/>
  <c r="R155" i="1" s="1"/>
  <c r="M155" i="1" s="1"/>
  <c r="K155" i="1"/>
  <c r="I155" i="1"/>
  <c r="Q154" i="1"/>
  <c r="L154" i="1" s="1"/>
  <c r="K154" i="1"/>
  <c r="Q153" i="1"/>
  <c r="R153" i="1" s="1"/>
  <c r="M153" i="1" s="1"/>
  <c r="K153" i="1"/>
  <c r="I153" i="1"/>
  <c r="Q152" i="1"/>
  <c r="R152" i="1" s="1"/>
  <c r="M152" i="1" s="1"/>
  <c r="K152" i="1"/>
  <c r="I152" i="1"/>
  <c r="P151" i="1"/>
  <c r="Q151" i="1" s="1"/>
  <c r="O151" i="1"/>
  <c r="N151" i="1"/>
  <c r="H151" i="1"/>
  <c r="G151" i="1"/>
  <c r="F151" i="1"/>
  <c r="E151" i="1"/>
  <c r="D151" i="1"/>
  <c r="P150" i="1"/>
  <c r="Q150" i="1"/>
  <c r="L150" i="1" s="1"/>
  <c r="O150" i="1"/>
  <c r="N150" i="1"/>
  <c r="I150" i="1" s="1"/>
  <c r="H150" i="1"/>
  <c r="G150" i="1"/>
  <c r="F150" i="1"/>
  <c r="E150" i="1"/>
  <c r="D150" i="1"/>
  <c r="Q149" i="1"/>
  <c r="R149" i="1" s="1"/>
  <c r="M149" i="1" s="1"/>
  <c r="K149" i="1"/>
  <c r="I149" i="1"/>
  <c r="P148" i="1"/>
  <c r="Q148" i="1"/>
  <c r="R148" i="1" s="1"/>
  <c r="O148" i="1"/>
  <c r="N148" i="1"/>
  <c r="I148" i="1" s="1"/>
  <c r="H148" i="1"/>
  <c r="G148" i="1"/>
  <c r="F148" i="1"/>
  <c r="K148" i="1" s="1"/>
  <c r="E148" i="1"/>
  <c r="D148" i="1"/>
  <c r="Q147" i="1"/>
  <c r="R147" i="1" s="1"/>
  <c r="M147" i="1" s="1"/>
  <c r="K147" i="1"/>
  <c r="I147" i="1"/>
  <c r="E147" i="1"/>
  <c r="Q146" i="1"/>
  <c r="R146" i="1" s="1"/>
  <c r="M146" i="1" s="1"/>
  <c r="K146" i="1"/>
  <c r="I146" i="1"/>
  <c r="Q145" i="1"/>
  <c r="R145" i="1" s="1"/>
  <c r="M145" i="1" s="1"/>
  <c r="K145" i="1"/>
  <c r="I145" i="1"/>
  <c r="P144" i="1"/>
  <c r="Q144" i="1" s="1"/>
  <c r="R144" i="1" s="1"/>
  <c r="M144" i="1" s="1"/>
  <c r="N144" i="1"/>
  <c r="H144" i="1"/>
  <c r="G144" i="1"/>
  <c r="F144" i="1"/>
  <c r="D144" i="1"/>
  <c r="Q143" i="1"/>
  <c r="L143" i="1" s="1"/>
  <c r="K143" i="1"/>
  <c r="I143" i="1"/>
  <c r="Q142" i="1"/>
  <c r="R142" i="1" s="1"/>
  <c r="M142" i="1" s="1"/>
  <c r="N142" i="1"/>
  <c r="I142" i="1" s="1"/>
  <c r="K142" i="1"/>
  <c r="Q141" i="1"/>
  <c r="R141" i="1" s="1"/>
  <c r="M141" i="1" s="1"/>
  <c r="K141" i="1"/>
  <c r="I141" i="1"/>
  <c r="P140" i="1"/>
  <c r="I140" i="1"/>
  <c r="H140" i="1"/>
  <c r="G140" i="1"/>
  <c r="F140" i="1"/>
  <c r="Q139" i="1"/>
  <c r="R139" i="1" s="1"/>
  <c r="M139" i="1" s="1"/>
  <c r="K139" i="1"/>
  <c r="Q138" i="1"/>
  <c r="R138" i="1" s="1"/>
  <c r="M138" i="1" s="1"/>
  <c r="K138" i="1"/>
  <c r="I138" i="1"/>
  <c r="Q137" i="1"/>
  <c r="R137" i="1" s="1"/>
  <c r="M137" i="1" s="1"/>
  <c r="K137" i="1"/>
  <c r="P136" i="1"/>
  <c r="Q135" i="1"/>
  <c r="R135" i="1" s="1"/>
  <c r="M135" i="1" s="1"/>
  <c r="K135" i="1"/>
  <c r="Q134" i="1"/>
  <c r="R134" i="1" s="1"/>
  <c r="M134" i="1" s="1"/>
  <c r="K134" i="1"/>
  <c r="I134" i="1"/>
  <c r="P133" i="1"/>
  <c r="Q133" i="1" s="1"/>
  <c r="R133" i="1" s="1"/>
  <c r="M133" i="1" s="1"/>
  <c r="I133" i="1"/>
  <c r="P132" i="1"/>
  <c r="Q132" i="1" s="1"/>
  <c r="L132" i="1" s="1"/>
  <c r="I132" i="1"/>
  <c r="P131" i="1"/>
  <c r="O131" i="1"/>
  <c r="N131" i="1"/>
  <c r="H131" i="1"/>
  <c r="G131" i="1"/>
  <c r="F131" i="1"/>
  <c r="E131" i="1"/>
  <c r="D131" i="1"/>
  <c r="Q130" i="1"/>
  <c r="R130" i="1" s="1"/>
  <c r="M130" i="1" s="1"/>
  <c r="K130" i="1"/>
  <c r="I130" i="1"/>
  <c r="P129" i="1"/>
  <c r="K129" i="1" s="1"/>
  <c r="O129" i="1"/>
  <c r="N129" i="1"/>
  <c r="H129" i="1"/>
  <c r="G129" i="1"/>
  <c r="F129" i="1"/>
  <c r="E129" i="1"/>
  <c r="D129" i="1"/>
  <c r="Q128" i="1"/>
  <c r="R128" i="1" s="1"/>
  <c r="M128" i="1" s="1"/>
  <c r="K128" i="1"/>
  <c r="I128" i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Q127" i="1"/>
  <c r="R127" i="1" s="1"/>
  <c r="M127" i="1" s="1"/>
  <c r="K127" i="1"/>
  <c r="I127" i="1"/>
  <c r="N54" i="1"/>
  <c r="D87" i="1"/>
  <c r="Q85" i="1"/>
  <c r="R85" i="1" s="1"/>
  <c r="R84" i="1"/>
  <c r="P84" i="1"/>
  <c r="O84" i="1"/>
  <c r="N84" i="1"/>
  <c r="L84" i="1"/>
  <c r="Q84" i="1" s="1"/>
  <c r="R83" i="1"/>
  <c r="Q83" i="1"/>
  <c r="P83" i="1"/>
  <c r="O83" i="1"/>
  <c r="D83" i="1"/>
  <c r="N83" i="1" s="1"/>
  <c r="R77" i="1"/>
  <c r="P77" i="1"/>
  <c r="D69" i="1"/>
  <c r="D68" i="1"/>
  <c r="H66" i="1"/>
  <c r="G66" i="1"/>
  <c r="F66" i="1"/>
  <c r="D66" i="1"/>
  <c r="H64" i="1"/>
  <c r="G64" i="1"/>
  <c r="F64" i="1"/>
  <c r="D64" i="1"/>
  <c r="H63" i="1"/>
  <c r="G63" i="1"/>
  <c r="F63" i="1"/>
  <c r="D63" i="1"/>
  <c r="H61" i="1"/>
  <c r="G61" i="1"/>
  <c r="F61" i="1"/>
  <c r="D61" i="1"/>
  <c r="H60" i="1"/>
  <c r="R60" i="1"/>
  <c r="G60" i="1"/>
  <c r="Q60" i="1" s="1"/>
  <c r="F60" i="1"/>
  <c r="P60" i="1" s="1"/>
  <c r="E60" i="1"/>
  <c r="O60" i="1" s="1"/>
  <c r="D60" i="1"/>
  <c r="N60" i="1"/>
  <c r="P59" i="1"/>
  <c r="Q59" i="1" s="1"/>
  <c r="R59" i="1" s="1"/>
  <c r="H59" i="1"/>
  <c r="G59" i="1"/>
  <c r="F59" i="1"/>
  <c r="E59" i="1"/>
  <c r="D59" i="1"/>
  <c r="O58" i="1"/>
  <c r="O57" i="1" s="1"/>
  <c r="M58" i="1"/>
  <c r="H58" i="1"/>
  <c r="G58" i="1"/>
  <c r="Q58" i="1"/>
  <c r="F58" i="1"/>
  <c r="P58" i="1" s="1"/>
  <c r="D58" i="1"/>
  <c r="N58" i="1" s="1"/>
  <c r="N57" i="1" s="1"/>
  <c r="M57" i="1"/>
  <c r="H57" i="1"/>
  <c r="G57" i="1"/>
  <c r="F57" i="1"/>
  <c r="D57" i="1"/>
  <c r="P56" i="1"/>
  <c r="M56" i="1"/>
  <c r="R54" i="1"/>
  <c r="Q54" i="1"/>
  <c r="P54" i="1"/>
  <c r="O54" i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O16" i="1"/>
  <c r="P16" i="1"/>
  <c r="Q16" i="1"/>
  <c r="R16" i="1"/>
  <c r="O17" i="1"/>
  <c r="P17" i="1"/>
  <c r="Q17" i="1"/>
  <c r="R17" i="1"/>
  <c r="O18" i="1"/>
  <c r="P18" i="1"/>
  <c r="Q18" i="1"/>
  <c r="R18" i="1"/>
  <c r="O19" i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P6" i="1"/>
  <c r="Q6" i="1"/>
  <c r="R6" i="1"/>
  <c r="O6" i="1"/>
  <c r="N7" i="1"/>
  <c r="N8" i="1"/>
  <c r="N9" i="1"/>
  <c r="N10" i="1"/>
  <c r="N11" i="1"/>
  <c r="N12" i="1"/>
  <c r="N13" i="1"/>
  <c r="N14" i="1"/>
  <c r="N15" i="1"/>
  <c r="N16" i="1"/>
  <c r="N18" i="1"/>
  <c r="N19" i="1"/>
  <c r="N20" i="1"/>
  <c r="N21" i="1"/>
  <c r="N22" i="1"/>
  <c r="N6" i="1"/>
  <c r="K151" i="1"/>
  <c r="Q131" i="1"/>
  <c r="K131" i="1"/>
  <c r="Q136" i="1"/>
  <c r="R136" i="1" s="1"/>
  <c r="M136" i="1" s="1"/>
  <c r="K136" i="1"/>
  <c r="K150" i="1"/>
  <c r="K132" i="1" l="1"/>
  <c r="O172" i="1"/>
  <c r="I129" i="1"/>
  <c r="Q129" i="1"/>
  <c r="R129" i="1" s="1"/>
  <c r="M129" i="1" s="1"/>
  <c r="I144" i="1"/>
  <c r="K159" i="1"/>
  <c r="N172" i="1"/>
  <c r="K140" i="1"/>
  <c r="I151" i="1"/>
  <c r="O239" i="1"/>
  <c r="P172" i="1"/>
  <c r="M148" i="1"/>
  <c r="K133" i="1"/>
  <c r="R58" i="1"/>
  <c r="I131" i="1"/>
  <c r="K144" i="1"/>
  <c r="L131" i="1"/>
  <c r="K160" i="1"/>
  <c r="L145" i="1"/>
  <c r="M190" i="1"/>
  <c r="R190" i="1" s="1"/>
  <c r="L142" i="1"/>
  <c r="P188" i="1"/>
  <c r="P194" i="1" s="1"/>
  <c r="M182" i="1"/>
  <c r="R182" i="1" s="1"/>
  <c r="L169" i="1"/>
  <c r="M189" i="1"/>
  <c r="R189" i="1" s="1"/>
  <c r="M191" i="1"/>
  <c r="R191" i="1" s="1"/>
  <c r="L161" i="1"/>
  <c r="L128" i="1"/>
  <c r="L153" i="1"/>
  <c r="L130" i="1"/>
  <c r="L137" i="1"/>
  <c r="L148" i="1"/>
  <c r="M187" i="1"/>
  <c r="R187" i="1" s="1"/>
  <c r="L155" i="1"/>
  <c r="L152" i="1"/>
  <c r="L139" i="1"/>
  <c r="L147" i="1"/>
  <c r="L170" i="1"/>
  <c r="R132" i="1"/>
  <c r="M132" i="1" s="1"/>
  <c r="O48" i="1"/>
  <c r="P57" i="1"/>
  <c r="P88" i="1" s="1"/>
  <c r="R48" i="1"/>
  <c r="L157" i="1"/>
  <c r="L181" i="1"/>
  <c r="L144" i="1"/>
  <c r="R150" i="1"/>
  <c r="M150" i="1" s="1"/>
  <c r="L149" i="1"/>
  <c r="N88" i="1"/>
  <c r="Q48" i="1"/>
  <c r="P48" i="1"/>
  <c r="N194" i="1"/>
  <c r="L127" i="1"/>
  <c r="Q188" i="1"/>
  <c r="M188" i="1"/>
  <c r="R188" i="1" s="1"/>
  <c r="L160" i="1"/>
  <c r="L146" i="1"/>
  <c r="Q183" i="1"/>
  <c r="L141" i="1"/>
  <c r="L171" i="1"/>
  <c r="R131" i="1"/>
  <c r="M131" i="1" s="1"/>
  <c r="L134" i="1"/>
  <c r="L138" i="1"/>
  <c r="L165" i="1"/>
  <c r="R143" i="1"/>
  <c r="M143" i="1" s="1"/>
  <c r="R154" i="1"/>
  <c r="M154" i="1" s="1"/>
  <c r="M185" i="1"/>
  <c r="R185" i="1" s="1"/>
  <c r="L164" i="1"/>
  <c r="L159" i="1"/>
  <c r="N48" i="1"/>
  <c r="O88" i="1"/>
  <c r="R151" i="1"/>
  <c r="M151" i="1" s="1"/>
  <c r="L151" i="1"/>
  <c r="O194" i="1"/>
  <c r="Q56" i="1"/>
  <c r="L133" i="1"/>
  <c r="L136" i="1"/>
  <c r="M184" i="1"/>
  <c r="R184" i="1" s="1"/>
  <c r="Q140" i="1"/>
  <c r="L158" i="1"/>
  <c r="L135" i="1"/>
  <c r="L156" i="1"/>
  <c r="L162" i="1"/>
  <c r="L186" i="1"/>
  <c r="L129" i="1" l="1"/>
  <c r="M181" i="1"/>
  <c r="R181" i="1" s="1"/>
  <c r="Q181" i="1"/>
  <c r="Q186" i="1"/>
  <c r="M186" i="1"/>
  <c r="R186" i="1" s="1"/>
  <c r="R140" i="1"/>
  <c r="L140" i="1"/>
  <c r="Q172" i="1"/>
  <c r="R56" i="1"/>
  <c r="Q57" i="1"/>
  <c r="Q88" i="1" s="1"/>
  <c r="R194" i="1" l="1"/>
  <c r="Q194" i="1"/>
  <c r="M140" i="1"/>
  <c r="R172" i="1"/>
  <c r="R57" i="1"/>
  <c r="R88" i="1" s="1"/>
</calcChain>
</file>

<file path=xl/sharedStrings.xml><?xml version="1.0" encoding="utf-8"?>
<sst xmlns="http://schemas.openxmlformats.org/spreadsheetml/2006/main" count="1508" uniqueCount="654">
  <si>
    <t>ИТОГО</t>
  </si>
  <si>
    <t>№ п/п</t>
  </si>
  <si>
    <t>Наименование государственной услуги (работы)</t>
  </si>
  <si>
    <t>Единицы измерения</t>
  </si>
  <si>
    <t>Объем оказания государственной услуги (работы)</t>
  </si>
  <si>
    <t>Объем средств, запланированный на обеспечение государственной услуги (работы), в рамках субсидии на выполнение государственного задания, тыс. рублей</t>
  </si>
  <si>
    <t>2020 год (план)</t>
  </si>
  <si>
    <t>2021 год (план)</t>
  </si>
  <si>
    <t>х</t>
  </si>
  <si>
    <t>2018 год (отчет)</t>
  </si>
  <si>
    <t>2019 год (ожидаемое исполнение)</t>
  </si>
  <si>
    <t>2022 год (план)</t>
  </si>
  <si>
    <t>Комитет по физической культуре и спорту Ленинградской области</t>
  </si>
  <si>
    <t>Спортивная подготовка по олимпийским видам спорта. Плавание. Этап высшего спортивного мастерства</t>
  </si>
  <si>
    <t>чел.</t>
  </si>
  <si>
    <t>Организация мероприятий по подготовке спортивных сборных команд</t>
  </si>
  <si>
    <t>шт.</t>
  </si>
  <si>
    <t>Обеспечение участия спортивных сборных команд в официальных спортивных мероприятиях. Всероссийские</t>
  </si>
  <si>
    <t>Обеспечение участия спортивных сборных команд в официальных спортивных мероприятиях. Межрегиональные</t>
  </si>
  <si>
    <t>Организация и проведение официальных физкультурных (физкультурно-оздоровительных) мероприятий. Региональные</t>
  </si>
  <si>
    <t>Организация и проведение официальных спортивных мероприятий. Всероссийские</t>
  </si>
  <si>
    <t>Организация и проведение официальных спортивных мероприятий. Межрегиональные</t>
  </si>
  <si>
    <t>Организация и проведение официальных спортивных мероприятий. Региональные</t>
  </si>
  <si>
    <t>Спортивная подготовка по олимпийским видам спорта. Волейбол. Этап совершенствования спортивного мастерства</t>
  </si>
  <si>
    <t>Спортивная подготовка по олимпийским видам спорта. Водное поло. Этап высшего спортивного мастерства</t>
  </si>
  <si>
    <t>Спортивная подготовка по олимпийским видам спорта. Водное поло. Этап совершенствования спортивного мастерства</t>
  </si>
  <si>
    <t>Спортивная подготовка по олимпийским видам спорта. Водное поло. Тренировочный этап (этап спортивной специализации)</t>
  </si>
  <si>
    <t>Спортивная подготовка по олимпийским видам спорта. Синхронное плавание. Тренировочный этап (этап спортивной специализации)</t>
  </si>
  <si>
    <t>Спортивная подготовка по олимпийским видам спорта. Синхронное плавание. Этап совершенствования спортивного мастерства</t>
  </si>
  <si>
    <t>Спортивная подготовка по олимпийским видам спорта. Синхронное плавание. Этап высшего спортивного мастерства</t>
  </si>
  <si>
    <t>Спортивная подготовка по олимпийским видам спорта. Плавание. Этап совершенствования спортивного мастерства</t>
  </si>
  <si>
    <t>Спортивная подготовка по олимпийским видам спорта. Волейбол. Тренировочный этап (этап спортивной специализации)</t>
  </si>
  <si>
    <t>Проведение тестирования выполнения нормативов в рамках Всероссийского физкультурно-спортивного комплекса "Готов к труду и обороне" (ГТО)</t>
  </si>
  <si>
    <t>Обеспечение доступа к объектам спорта</t>
  </si>
  <si>
    <t>Обеспечение участия сборных команд Ленинградской области в официальных физкультурных (физкультурно-оздоровительных) мероприятиях. Межрегиональные</t>
  </si>
  <si>
    <t>Спортивная подготовка по олимпийским видам спорта. Фристайл. Этап высшего спортивного мастерства</t>
  </si>
  <si>
    <t>Спортивная подготовка по олимпийским видам спорта. Фристайл. Тренировочный этап (этап спортивной специализации)</t>
  </si>
  <si>
    <t>Спортивная подготовка по олимпийским видам спорта. Горнолыжный спорт. Этап высшего спортивного мастерства</t>
  </si>
  <si>
    <t>Спортивная подготовка по олимпийским видам спорта. Горнолыжный спорт. Этап совершенствования спортивного мастерства</t>
  </si>
  <si>
    <t>Спортивная подготовка по олимпийским видам спорта. Горнолыжный спорт. Тренировочный этап (этап спортивной специализации)</t>
  </si>
  <si>
    <t>Спортивная подготовка по олимпийским видам спорта. Горнолыжный спорт. Этап начальной подготовки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</si>
  <si>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</si>
  <si>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Обеспечение участия спортивных сборных команд в официальных спортивных мероприятиях. Международные</t>
  </si>
  <si>
    <t>Организация и проведение официальных спортивных мероприятий. Международные</t>
  </si>
  <si>
    <t>Организация и проведение официальных спортивных мероприятий. Межмуниципальные</t>
  </si>
  <si>
    <t>Организация и проведение официальных физкультурных (физкультурно-оздоровительных) мероприятий. Всероссийские</t>
  </si>
  <si>
    <t>Организация мероприятий по научно-методическому обеспечению спортивных сборных команд</t>
  </si>
  <si>
    <t>Организация и обеспечение координации деятельности физкультурно-спортивных организаций по подготовке спортивного резерва</t>
  </si>
  <si>
    <t>Обеспечение участия сборных команд Ленинградской области в официальных физкультурных (физкультурно-оздоровительных) мероприятиях. Всероссийские</t>
  </si>
  <si>
    <t>Пропаганда физической культуры, спорта и здорового образа жизни</t>
  </si>
  <si>
    <t>Обеспечение подготовки команд Ленинградской области к участию в межрегиональных, всероссийских и международных физкультурных мероприятиях</t>
  </si>
  <si>
    <t>Спортивная подготовка по олимпийским видам спорта. Фристайл. Этап совершенствования спортивного мастерства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</si>
  <si>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ГТО). Региональные</t>
  </si>
  <si>
    <t>Обеспечение участия сборных команд Ленинградской области в официальных физкультурных (физкультурно-оздоровительных) мероприятиях. Международные</t>
  </si>
  <si>
    <t>Спортивная подготовка по олимпийским видам спорта. Футбол. Тренировочный этап (этап спортивной специализации)</t>
  </si>
  <si>
    <t>Спортивная подготовка по олимпийским видам спорта. Футбол. Этап начальной подготовки</t>
  </si>
  <si>
    <t>час./год</t>
  </si>
  <si>
    <t>ед.</t>
  </si>
  <si>
    <t>-</t>
  </si>
  <si>
    <t>Норматив затрат на выполнение государственной услуги (работы)*, рублей</t>
  </si>
  <si>
    <t>Комитет по молодежной политике Ленинградской области</t>
  </si>
  <si>
    <t>мероприятия, единиц</t>
  </si>
  <si>
    <t>Комитет общего и профессионального образования Ленинградской области</t>
  </si>
  <si>
    <t>Реализация образовательных программ среднего профессионального образования- программ подготовки квалифицированных рабочих, служащих</t>
  </si>
  <si>
    <t>Реализация образовательных программ среднего профессионального образования- программ подготовки специалистов среднего звена (очное обучение)</t>
  </si>
  <si>
    <t>Реализация образовательных программ среднего профессионального образования- программ подготовки специалистов среднего звена (заочное обучение)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</si>
  <si>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</si>
  <si>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чел/час</t>
  </si>
  <si>
    <t>Реализация  образовательных программ высшего образования – программ бакалавриата (очное обучение)</t>
  </si>
  <si>
    <t>Реализация  образовательных программ высшего образования – программ бакалавриата (очно-заочное обучение)</t>
  </si>
  <si>
    <t>Реализация  образовательных программ высшего образования – программ бакалавриата (заочное обучение)</t>
  </si>
  <si>
    <t>Реализация  образовательных программ высшего образования – программ магистратура (очное обучение)</t>
  </si>
  <si>
    <t xml:space="preserve"> Реализация  образовательных программ высшего образования – программ магистратуры (заочное)</t>
  </si>
  <si>
    <t>Реализация образовательных программ высшего образования – программ подготовки научно-педагогических кадров в аспирантуре (очное обучение)</t>
  </si>
  <si>
    <t xml:space="preserve"> Реализация образовательных программ высшего образования – программ подготовки научно-педагогических кадров в аспирантуре (заочное)</t>
  </si>
  <si>
    <t xml:space="preserve">Реализация дополнительных профессиональных программ профессиональной переподготовки </t>
  </si>
  <si>
    <t xml:space="preserve">Реализация дополнительных профессиональных образовательных программ повышения квалификации  </t>
  </si>
  <si>
    <t xml:space="preserve"> 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</si>
  <si>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чел/дни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</si>
  <si>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</si>
  <si>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</si>
  <si>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</si>
  <si>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</si>
  <si>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 xml:space="preserve">Психолого-педагогическое консультирование обучающихся, их родителей (законных представителей) и педагогических работников        </t>
  </si>
  <si>
    <t xml:space="preserve">Психолого-медико-педагогическое обследование детей                                       </t>
  </si>
  <si>
    <t xml:space="preserve">Коррекционно-развивающая, компенсирующая и логопедическая помощь обучающимся  </t>
  </si>
  <si>
    <t>Реализация дополнительных общеразвивающих программ                                                       (очная)</t>
  </si>
  <si>
    <t>Организация проведения общественно-значимых мероприятий в сфере образования, науки и молодежной политики (работа)</t>
  </si>
  <si>
    <t>кол-во мероприятий</t>
  </si>
  <si>
    <t>Методическое обеспечение образовательной деятельности (работа) (постоянно)</t>
  </si>
  <si>
    <t>Методическое обеспечение образовательной деятельности (работа) (в плановой форме)</t>
  </si>
  <si>
    <t xml:space="preserve">Организация отдыха детей и молодежи </t>
  </si>
  <si>
    <t>чел.-дн.</t>
  </si>
  <si>
    <t>Реализация основных общеобразовательных программ начального общего образования</t>
  </si>
  <si>
    <t>Ведение региональной информационной системы обеспечения проведения ГИА обучающихся, освоивших основные образовательные программы основного общего и среднего общего образования, организационно-технологическое сопровождение проведения ГИА (Оценка качества образования) работа (работа)</t>
  </si>
  <si>
    <t>Информационно-технологическое обеспечение управления системой образования (работа)</t>
  </si>
  <si>
    <t>Организация и проведение олимпиад, конкурсов, мероприятий направленных на выявление и развитие у обучающихся интеллектуальных и творческих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(работа)</t>
  </si>
  <si>
    <t>Комитет по культуре Ленинградской облсти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</si>
  <si>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(Народное художественное творчество (по видам) - очная)</t>
  </si>
  <si>
    <t>человек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</si>
  <si>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(Социально-культурная деятельность ( по видам) - очная)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</si>
  <si>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(Социально-культурная деятельность ( по видам) - заочная)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</si>
  <si>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(Музыкальное искусство эстрады (по видам) - очная)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</si>
  <si>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(Инструментальное исполнительство (по видам инструментов) - очная)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</si>
  <si>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(Декоративно-прикладное искусство и народные промыслы (по видам) - очная)</t>
  </si>
  <si>
    <t>Реализация дополнительных профессиональных образовательных программ повышения квалификации (очная)</t>
  </si>
  <si>
    <t>Показ спектаклей (театральных постановок) (драма:стационар, большая форма)</t>
  </si>
  <si>
    <t>Показ спектаклей (театральных постановок)                                                               (драма: на выезде, большая форма)</t>
  </si>
  <si>
    <t>Показ спектаклей (театральных постановок)                                                                  (драма: на гастролях, большая форма)</t>
  </si>
  <si>
    <t>Показ спектаклей (театральных постановок) (драма:стационар, малая форма)</t>
  </si>
  <si>
    <t>Показ спектаклей (театральных постановок)                                                                  (драма: на выезде, малая форма)</t>
  </si>
  <si>
    <t>Показ спектаклей (театральных постановок)                                                                  (драма: на гастролях, малая форма)</t>
  </si>
  <si>
    <t>Показ концертов и концертных программ (на выезде)</t>
  </si>
  <si>
    <t>Показ концертов и концертных программ (на гастролях)</t>
  </si>
  <si>
    <t>Оказание туристско-информационных услуг (в стационарных условиях)</t>
  </si>
  <si>
    <t>Количество посещений, ед.</t>
  </si>
  <si>
    <t>Количество туров, ед.</t>
  </si>
  <si>
    <t>Оказание туристско-информационных услуг (вне стационара)</t>
  </si>
  <si>
    <t>Формирование, ведение баз данных, в том числе интернет-ресурсов в сфере туризма</t>
  </si>
  <si>
    <t>Количество работ, ед.</t>
  </si>
  <si>
    <t>Количество посетителей интернет-сайта, ед.</t>
  </si>
  <si>
    <t>Работы по продвижению туристских возможностей Ленинградской области на внутреннем и международном рынках (Проведение событийных и специализированных мероприятий по продвижению туристского потенциала Ленинградской области, направленных на привлечение туристов в Ленинградскую область)</t>
  </si>
  <si>
    <t>Количество мероприятий, ед.</t>
  </si>
  <si>
    <t>Работы по продвижению туристских возможностей Ленинградской области на внутреннем и международном рынках (Проведение конгрессно-выставочных мероприятий, организация участия представителей сферы туризма Ленинградской области в конгрессно-выставочных мероприятиях, проводимых за пределами области)</t>
  </si>
  <si>
    <t>Работы по продвижению туристских возможностей Ленинградской области на внутреннем и международном рынках (Разработка и изготовление информационных материалов о туристском потенциале Ленинградской области с использованием туристского бренда Ленинградской области (изготовление печатных материалов: карт, буклетов, справочников, путеводителей и т.п.), в том числе на иностранных языках)</t>
  </si>
  <si>
    <t>Количество информационных материалов, ед.</t>
  </si>
  <si>
    <t>Работы по продвижению туристских возможностей Ленинградской области на внутреннем и международном рынках (Разработка и изготовление презентационных материалов и сувенирной продукции с использованием туристского бренда Ленинградской области для вручения участникам и гостям мероприятий, проводимых на территории Ленинградской области, субъектов Российской Федерации и за рубежом, в том числе на иностранных языках)</t>
  </si>
  <si>
    <t>Количество наименований, ед.</t>
  </si>
  <si>
    <t>чел.×час</t>
  </si>
  <si>
    <t>15427.50</t>
  </si>
  <si>
    <t>Подготовка руководителей и специалистов спасательной службы (пункт 1.11.5 регионального перечня)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</si>
  <si>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</si>
  <si>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услуга</t>
  </si>
  <si>
    <t>Скорая, в том числе специализированная, медицинская помощь (за исключением санитарно-авиационной эвакуации)</t>
  </si>
  <si>
    <t>вызов</t>
  </si>
  <si>
    <t>Скорая, в том числе специализированная медицинская помощь (включая медицинскую эвакуацию) включенная в базовую программу обязательного медицинского страхования</t>
  </si>
  <si>
    <t>Первичная специализированная медицинская помощь, по профилю дерматовенерология (в части венерологии), не включенная в базовую программу обязательного медицинского страхования, амбулаторная помощь</t>
  </si>
  <si>
    <t>посещение</t>
  </si>
  <si>
    <t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граждан, не застрахованных по ОМС</t>
  </si>
  <si>
    <t>Первичная специализированная медицинская помощь, по профилю  психиатрия- наркология, в части наркологии, амбулаторная помощь</t>
  </si>
  <si>
    <t>Первичная специализированная медицинская помощь, по профилю  фтизиатрия, амбулаторная помощь</t>
  </si>
  <si>
    <t>Первичная специализированная медицинская помощь, по профилю инфекционные болезни (в части синдрома приобретенного иммунодефицита (ВИЧ-инфекции), амбулаторная помощь</t>
  </si>
  <si>
    <t>Первичная медико-санитарная помощь, в части профилактики (лечебная физкультура и спортивная медицина)</t>
  </si>
  <si>
    <t>Первичная медико-санитарная помощь, в части профилактики (лечебная физкультура и спортивная медицина с УМО)</t>
  </si>
  <si>
    <t>Первичная медико-санитарная помощь, в части диагностики и лечения по профилю психотерапия</t>
  </si>
  <si>
    <t>Первичная медико-санитарная помощь, (Прием (осмотр, консультация) врача-генетика )</t>
  </si>
  <si>
    <t xml:space="preserve">Первичная специализированная медико-санитарная помощь в амбулаторных условиях - посещения выездной патронажной службы паллиативной медицинской помощи детям  </t>
  </si>
  <si>
    <t>Первичная специализированная медико-санитарная помощь в амбулаторных условиях - посещения выездной патронажной службы паллиативной медицинской помощи</t>
  </si>
  <si>
    <t>Паллиативная медицинская помощь в амбулаторных условиях</t>
  </si>
  <si>
    <t>Первичная специализированная медицинская помощь, по профилю дерматовенерология (в части венерологии) в условиях дневного стационара.</t>
  </si>
  <si>
    <t>случай лечения</t>
  </si>
  <si>
    <t>Первичная специализированная помощь в условиях дневного стационара по профилю: фтизиатрия</t>
  </si>
  <si>
    <t>Первичная специализированная помощь в условиях дневного стационара по профилю: психотерапия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</si>
  <si>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онкология, в условиях стационара </t>
  </si>
  <si>
    <t>случай госпитализации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</si>
  <si>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акушерство и гинекология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</si>
  <si>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комбустиология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</si>
  <si>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абдоминальная хирургия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</si>
  <si>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нейрохирургия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</si>
  <si>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офтальмология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</si>
  <si>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сердечно-сосудистая хирургия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</si>
  <si>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травматология и ортопедия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</si>
  <si>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трансплантация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</si>
  <si>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эндокринология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</si>
  <si>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челюстно-лицевая хирургия 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</si>
  <si>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педиатрия в условиях стационара 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</si>
  <si>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урология в условиях стационара 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</si>
  <si>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дерматовенерология (в части венерологии) в условиях  стационара.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</si>
  <si>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психиатрия, в условиях стационара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</si>
  <si>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наркология, в условиях стационара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</si>
  <si>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Психотерапия в условиях стационара</t>
  </si>
  <si>
    <t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</si>
  <si>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 профилю инфекционные болезни (в части синдрома приобретенного иммунодефицита (ВИЧ-инфекции), в условиях стационара</t>
  </si>
  <si>
    <t xml:space="preserve">Санаторно-курортное лечение в условиях стационара: Туберкулез </t>
  </si>
  <si>
    <t>койко-день</t>
  </si>
  <si>
    <t>Паллиативная медицинская помощь в условиях стационара</t>
  </si>
  <si>
    <t>Экспертиза профессиональной пригодности и экспертиза связи заболевания с профессией</t>
  </si>
  <si>
    <t>экспертиза</t>
  </si>
  <si>
    <t>Изъятие, хранение и транспортировка органов и (или) тканей человека для трансплантации (работа)</t>
  </si>
  <si>
    <t>изъятие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</si>
  <si>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</t>
  </si>
  <si>
    <t>число обучающихся</t>
  </si>
  <si>
    <t>Реализация дополнительных профессиональных образовательных программ- программ повышения квалификации</t>
  </si>
  <si>
    <t>Медико-генетические консультации</t>
  </si>
  <si>
    <t>Медико-генетические лаборатории</t>
  </si>
  <si>
    <t>Профессиональное обучение и 
дополнительное профессиональное образование отдельных категорий граждан</t>
  </si>
  <si>
    <t>Профессиональное обучение и 
дополнительное профессиональное образование отдельных категорий граждан (охрана труда)</t>
  </si>
  <si>
    <t>Профессиональное обучение и 
дополнительное профессиональное образование отдельных категорий граждан (обучение граждан предпенсионного возраста)</t>
  </si>
  <si>
    <t xml:space="preserve">Реализация дополнительных профессиональных программ повышения квалификации </t>
  </si>
  <si>
    <t>чел./час</t>
  </si>
  <si>
    <t>Организация профессиональной
 ориентации граждан в целях выбора 
сферы деятельности (профессии),
 трудоустройства, 
прохождения профессионального
 обучения и получения
 дополнительного профессионального образования</t>
  </si>
  <si>
    <t>Организация опережающего
 профессионального обучения
 или стажировки в целях приобретения
 новых профессиональных навыков
 работников, находящихся под угрозой 
увольнения, работников предприятий, 
реализующих инвестиционные проекты</t>
  </si>
  <si>
    <t>Психологическая поддержка безработных граждан</t>
  </si>
  <si>
    <t>Организация и проведение мероприятий по профилактике производственного травматизма с использованием мобильного комплекса по охране труда</t>
  </si>
  <si>
    <t>Организация и проведение конгресса по охране труда</t>
  </si>
  <si>
    <t>Организация и проведение мероприятий по вопросам условий и охраны труда, профилактики производственного травматизма и профессиональной заболеваемости, направленных на сохранение и укрепление здоровья работающих граждан;</t>
  </si>
  <si>
    <t>Организация мероприятия по проведению областного конкурса профессионального мастерства «Лучший работник центра занятости населения Ленинградской области»</t>
  </si>
  <si>
    <t>Организация и проведение ежегодного смотра-конкурса "Лучшая организация работы в области охраны труда»</t>
  </si>
  <si>
    <t>Организация и проведение ежегодного смотра-конкурса "Лучший специалист по охране труда"</t>
  </si>
  <si>
    <t>Организация проживания граждан в период обучения в другой местности по направлению органов службы занятости населения</t>
  </si>
  <si>
    <t>число чел.-суток, ед</t>
  </si>
  <si>
    <t>Организация медицинского освидетельствования граждан, направленных на профессиональное обучение органами службы занятости населения.</t>
  </si>
  <si>
    <t>число осмотров, ед.</t>
  </si>
  <si>
    <t>Комитет по охране, контролю и регулированию использования объектов животного мира Ленинградской области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</si>
  <si>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 (Проведение подкормочных мероприятий)</t>
  </si>
  <si>
    <t>работа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</si>
  <si>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 (Заготовка и хранение кормов)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</si>
  <si>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 (Сохранение и поддержание видового разнообразия объектов животного мира, включая охотничьи ресурсы, на территории общедоступных охотничьих угодий, ООПТ и иных природных территориях)</t>
  </si>
  <si>
    <t>Проведение ветеринарно-санитарных мероприятий</t>
  </si>
  <si>
    <t>кв.м</t>
  </si>
  <si>
    <t>Оформление и выдача ветеринарных сопроводительных документов</t>
  </si>
  <si>
    <t>Проведение учёта и контроля за состоянием скотомогильников, включая сибиреязвенные</t>
  </si>
  <si>
    <t xml:space="preserve">Государственная работа
«Осуществление осмотра подконтрольных грузов и проведение дезинфекции транспортных средств»
</t>
  </si>
  <si>
    <t>Объем средств без норматива (постоянные затраты на содержание недвижимого имущества и на уплату налогов):</t>
  </si>
  <si>
    <t>Ленинградский областной комитет по управления государственным имуществом</t>
  </si>
  <si>
    <t>Представление в федеральный орган исполнительной власти, осуществляющий государственный кадастровый учет и государственную регистрацию прав, информации, необходимой для ведения Единого государственного реестра недвижимости (в электронном виде)</t>
  </si>
  <si>
    <t>Гб
(с 2019 - Единица)</t>
  </si>
  <si>
    <t>Представление в федеральный орган исполнительной власти, осуществляющий государственный кадастровый учет и государственную регистрацию прав, информации о данных рынка недвижимости (в электронном виде)</t>
  </si>
  <si>
    <t>Единица</t>
  </si>
  <si>
    <t>Представление копий хранящихся отчетов и документов, сформированных в ходе определения кадастровой стоимости, а также документов и материалов, которые использовались при определении уполномоченным государственным органам по их требованию (в бумажном виде)</t>
  </si>
  <si>
    <t>Представление копий хранящихся отчетов и документов, сформированных в ходе определения кадастровой стоимости, а также документов и материалов, которые использовались при определении уполномоченным государственным органам по их требованию (в электронном виде)</t>
  </si>
  <si>
    <t>Предоставление разъяснений, связанных с определением кадастровой стоимости (в электронном виде)</t>
  </si>
  <si>
    <t>Предоставление разъяснений, связанных с определением кадастровой стоимости (в бумажном виде)</t>
  </si>
  <si>
    <t>Рассмотрение обращений, связанных с наличием ошибок, допущенных при определении кадастровой стоимости (в электронном виде)</t>
  </si>
  <si>
    <t>Рассмотрение обращений, связанных с наличием ошибок, допущенных при определении кадастровой стоимости (в бумажном виде)</t>
  </si>
  <si>
    <t>Хранение копий отчетов и документов, формируемых в ходе определения кадастровой стоимости (в бумажном виде)</t>
  </si>
  <si>
    <t>Хранение копий отчетов и документов, формируемых в ходе определения кадастровой стоимости  (в электронном виде)</t>
  </si>
  <si>
    <t>Гб</t>
  </si>
  <si>
    <t>Хранение копий документов и материалов, использованных при определении кадастровой стоимости (в электронном виде)</t>
  </si>
  <si>
    <t>Хранение копий документов и материалов, использованных при определении кадастровой стоимости (на бумажном носителе)</t>
  </si>
  <si>
    <t>штука</t>
  </si>
  <si>
    <t>Определение кадастровой стоимости объектов недвижимости в соответствии со статьей 14 Федерального закона от 03.07.2016 № 237-ФЗ «О государственной кадастровой оценке» (в бумажном виде)</t>
  </si>
  <si>
    <t>Определение кадастровой стоимости объектов недвижимости в соответствии со статьей 14 Федерального закона от 03.07.2016 № 237-ФЗ «О государственной кадастровой оценке» (в электронном виде)</t>
  </si>
  <si>
    <t>Сбор, обработка, систематизация и накопление информации при определении кадастровой стоимости (в бумажном виде)</t>
  </si>
  <si>
    <t>Сбор, обработка, систематизация и накопление информации при определении кадастровой стоимости (в электронном виде)</t>
  </si>
  <si>
    <t>Определение кадастровой стоимости объектов недвижимости в соответствии со статьей 16 Федерального закона от 03.07.2016 № 237-ФЗ «О государственной кадастровой оценке» (в бумажном виде)</t>
  </si>
  <si>
    <t>Определение кадастровой стоимости объектов недвижимости в соответствии со статьей 16 Федерального закона от 03.07.2016 № 237-ФЗ «О государственной кадастровой оценке» (в электронном виде)</t>
  </si>
  <si>
    <t>Расходы на уплату налогов, в качестве объекта налогообложения по которым признается имущество государственного учреждения</t>
  </si>
  <si>
    <t>Комитет государственного заказа Ленинградской области</t>
  </si>
  <si>
    <t>Методическое и организационное обеспечение поддержки пользователей АИСГЗ ЛО по вопросам обеспечения, эксплуатации, сопровождения и развития региональной информационной системы "Государственный заказ Ленинградской области"</t>
  </si>
  <si>
    <t>- проведение консультаций</t>
  </si>
  <si>
    <t>- проведение семинаров</t>
  </si>
  <si>
    <t>- проведение рекомендаций</t>
  </si>
  <si>
    <t>8.1</t>
  </si>
  <si>
    <t>8.2</t>
  </si>
  <si>
    <t>8.3</t>
  </si>
  <si>
    <t>8.4</t>
  </si>
  <si>
    <t>8.5</t>
  </si>
  <si>
    <t>8.6</t>
  </si>
  <si>
    <t xml:space="preserve">Организация и проведение мероприятий </t>
  </si>
  <si>
    <t>Комитет по социальной защите населения Ленинградской области</t>
  </si>
  <si>
    <t>Государственные учреждения, предоставляющие социальные услуги получателям, в стационарной форме социального обслуживания с постоянным проживанием</t>
  </si>
  <si>
    <t>Государственные учреждения, предоставляющие социальные услуги получателям
в стационарной форме социального обслуживания с временным проживанием, в полустационарной форме социального обслуживания и на дому</t>
  </si>
  <si>
    <t>Комитет экономического развития и инвестиционной деятельности Ленинградской области</t>
  </si>
  <si>
    <r>
      <t xml:space="preserve">Проведение плановых диагностических мероприятий на особо опасные болезни животных (птиц) и болезни общие для человека и животных (птиц) - </t>
    </r>
    <r>
      <rPr>
        <sz val="11"/>
        <color indexed="8"/>
        <rFont val="Times New Roman"/>
        <family val="1"/>
        <charset val="204"/>
      </rPr>
      <t>туберкулинизация</t>
    </r>
  </si>
  <si>
    <r>
      <t xml:space="preserve">Проведение плановых диагностических мероприятий на особо опасные болезни животных (птиц) и болезни общие для человека и животных (птиц) - </t>
    </r>
    <r>
      <rPr>
        <sz val="11"/>
        <color indexed="8"/>
        <rFont val="Times New Roman"/>
        <family val="1"/>
        <charset val="204"/>
      </rPr>
      <t>отбор проб</t>
    </r>
  </si>
  <si>
    <r>
      <t xml:space="preserve">Проведение </t>
    </r>
    <r>
      <rPr>
        <sz val="11"/>
        <color indexed="8"/>
        <rFont val="Times New Roman"/>
        <family val="1"/>
        <charset val="204"/>
      </rPr>
      <t>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t>
    </r>
  </si>
  <si>
    <r>
      <t xml:space="preserve">Проведение </t>
    </r>
    <r>
      <rPr>
        <sz val="11"/>
        <color indexed="8"/>
        <rFont val="Times New Roman"/>
        <family val="1"/>
        <charset val="204"/>
      </rPr>
      <t xml:space="preserve">плановых профилактических вакцинаций животных (птиц) против особо опасных болезней животных и болезней, общих для человека и животных (птиц)
</t>
    </r>
  </si>
  <si>
    <r>
      <t xml:space="preserve">Проведение </t>
    </r>
    <r>
      <rPr>
        <sz val="11"/>
        <color indexed="8"/>
        <rFont val="Times New Roman"/>
        <family val="1"/>
        <charset val="204"/>
      </rPr>
      <t>ветеринарных организационных работ, включая учет и ответственное хранение лекарственных средств и препаратов для ветеринарного применения</t>
    </r>
  </si>
  <si>
    <r>
      <t xml:space="preserve">Проведение </t>
    </r>
    <r>
      <rPr>
        <sz val="11"/>
        <color indexed="8"/>
        <rFont val="Times New Roman"/>
        <family val="1"/>
        <charset val="204"/>
      </rPr>
      <t>ветеринарных обследований объектов, связанных с содержанием животных, переработкой, хранением и реализацией продукции и сырья животного происхождения</t>
    </r>
  </si>
  <si>
    <r>
      <t xml:space="preserve">Проведение государственного ветеринарного мониторинга остатков запрещенных и вредных веществ в организме живых животных и продуктах животного происхождения, включая отбор проб и их транспортировку - </t>
    </r>
    <r>
      <rPr>
        <sz val="11"/>
        <color indexed="8"/>
        <rFont val="Times New Roman"/>
        <family val="1"/>
        <charset val="204"/>
      </rPr>
      <t>проведение исследований</t>
    </r>
  </si>
  <si>
    <r>
      <t>Проведение государственного ветеринарного мониторинга остатков запрещенных и вредных веществ в организме живых животных и продуктах животного происхождения, включая отбор проб и их транспортировку -</t>
    </r>
    <r>
      <rPr>
        <sz val="11"/>
        <color indexed="8"/>
        <rFont val="Times New Roman"/>
        <family val="1"/>
        <charset val="204"/>
      </rPr>
      <t xml:space="preserve"> отбор проб</t>
    </r>
  </si>
  <si>
    <t>Подготовка руководителей и специалистов противопожарной службы (пункт 1.11.3 регионального перечня)</t>
  </si>
  <si>
    <t>Подготовка должностных лиц и специалистов гражданской обороны и  РСЧС органов исполнительной власти Ленинградской области, органов местного самоуправления и организаций (пункт 1.11.1 регионального перечня)</t>
  </si>
  <si>
    <t>Комитет Ленинградской области по туризму</t>
  </si>
  <si>
    <t>Комитет правопорядка и безопасности Ленинградской области</t>
  </si>
  <si>
    <t>Комитет по здравоохранению Ленинградской области</t>
  </si>
  <si>
    <t>Управление ветеринарии Ленинградской области</t>
  </si>
  <si>
    <t>Комитет по труду и занятости населения Ленинградской области</t>
  </si>
  <si>
    <r>
      <t>2019 год</t>
    </r>
    <r>
      <rPr>
        <sz val="11"/>
        <color indexed="8"/>
        <rFont val="Times New Roman"/>
        <family val="1"/>
        <charset val="204"/>
      </rPr>
      <t xml:space="preserve"> (ожидаемое исполнение)</t>
    </r>
  </si>
  <si>
    <t>Экологическое просвещение населения</t>
  </si>
  <si>
    <t>Организация и проведение работ по учету,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 (Учет объектов животного мира, отнесенных к объектам охоты и среды их обитания)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</si>
  <si>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 опасном положении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</si>
  <si>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</si>
  <si>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</si>
  <si>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
подростков и молодежи</t>
  </si>
  <si>
    <t xml:space="preserve">   Сведения о планируемых на очередной финансовый год и плановый период объемах оказания государственных услуг (работ) государственными бюджетными и государственными автономными учреждениями Ленинградской области, а также о планируемых объемах субсидий на их финансовое обеспечение в сравнении с ожидаемым исполнением за текущий 2019 финансовый год и исполнением за отчетный 2018 финансовый год</t>
  </si>
  <si>
    <t xml:space="preserve">ИТОГО </t>
  </si>
  <si>
    <t>Комитет по культуре и туризму Ленинградской области</t>
  </si>
  <si>
    <t>Управление делами Правительства Ленинградской области</t>
  </si>
  <si>
    <t>Комитет по сохранению культурного наследия Ленинградской области</t>
  </si>
  <si>
    <t>Комитет градостроительной политики Ленинградской области</t>
  </si>
  <si>
    <t>Профессиональное обучение и 
дополнительное профессиональное образование отдельных категорий граждан, в т.ч.</t>
  </si>
  <si>
    <t>Профессиональное обучение и 
дополнительное профессиональное образование отдельных категорий граждан (безработные граждане )</t>
  </si>
  <si>
    <t>Профессиональное обучение и 
дополнительное профессиональное образование отдельных категорий граждан (опережающее профессиональное обучение работников, находящихся под риском увольнения, работающих в режиме неполного рабочего времени, временной приостановки работ, предоставления отпусков без сохранения заработной платы, а также работников организаций (предприятий), осуществляющих реструктуризацию и (или) модернизацию производства в соответствии с инвестиционными проектами, направленными на импортозамещение и (или) повышение производительности труда)</t>
  </si>
  <si>
    <t>Профессиональное обучение и 
дополнительное профессиональное образование отдельных категорий граждан (лица, отбывающие наказание в местах лишения свободы)</t>
  </si>
  <si>
    <t>чел</t>
  </si>
  <si>
    <t>1.</t>
  </si>
  <si>
    <t>1.1.</t>
  </si>
  <si>
    <t>1.2.</t>
  </si>
  <si>
    <t>1.3.</t>
  </si>
  <si>
    <t>2.</t>
  </si>
  <si>
    <t>3.</t>
  </si>
  <si>
    <t>Размещение в государственной информационной системе градостроительной деятельности Ленинградской области (далее - ГИСОГД ЛО) сведений, документов и материалов, предусмотренных частью 1.2 статьи 57 Градостроительного кодекса Российской Федерации</t>
  </si>
  <si>
    <t>Распределение прав доступа пользователей к сведениям, документам и материалам, содержащимся в ГИСОГД ЛО</t>
  </si>
  <si>
    <t>Представление в федеральный орган исполнительной власти, осуществляющий государственный кадастровый учет и государственную регистрацию прав, имеющейся в распоряжении бюджетного учреждения информации, необходимой для ведения Единого государственного реестра недвижимости</t>
  </si>
  <si>
    <t>шт</t>
  </si>
  <si>
    <t>- количество проведенных консультаций</t>
  </si>
  <si>
    <t>- количество проведеных семинаров</t>
  </si>
  <si>
    <t>- количество методических рекомендаций</t>
  </si>
  <si>
    <t>- количество пользователей, обеспеченных возможностью осуществления ЮЗЭД</t>
  </si>
  <si>
    <t>Государственная работа «Осуществление осмотра подконтрольных грузов и проведение дезинфекции транспортных средств»</t>
  </si>
  <si>
    <t>Государственная работа 
« Профилактика бешенства среди животных без владельца»</t>
  </si>
  <si>
    <t>Отбор проб воды и их транспортировка для гидрохимических исследований</t>
  </si>
  <si>
    <t>Лабораторные исследования воды на гидрохимические показатели</t>
  </si>
  <si>
    <t>Скорая, в том числе специализированная медицинская помощь (включая медицинскую эвакуацию), включенная в базовую программу обязательного медицинского страхования</t>
  </si>
  <si>
    <t>обращение</t>
  </si>
  <si>
    <t>Первичная специализированная медицинская помощь, по профилю психиатрия-наркология, в части наркологии, амбулаторная помощь</t>
  </si>
  <si>
    <t>Первичная специализированная медицинская помощь, по профилю фтизиатрия, амбулаторная помощь</t>
  </si>
  <si>
    <t>Первичная специализированная медицинская помощь, по профилю дерматовенерология (в части венерологии) в условиях дневного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</si>
  <si>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акушерство и гинекология в условиях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</si>
  <si>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комбустиология в условиях стационара</t>
  </si>
  <si>
    <t xml:space="preserve">Высокотехнологичная медицинская помощь, не включенная в базовую программу обязательного медицинского страхования, по профилю хирургия в условиях стационара </t>
  </si>
  <si>
    <t>Высокотехнологичная медицинская помощь, не включенная в базовую программу обязательного медицинского страхования, по профилю нейрохирургия в условиях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</si>
  <si>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офтальмология в условиях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</si>
  <si>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сердечно-сосудистая хирургия в условиях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</si>
  <si>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травматология и ортопедия в условиях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</si>
  <si>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педиатрия в условиях стационара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</si>
  <si>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дерматовенерология (в части венерологии) в условиях  стационара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</si>
  <si>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общего, среднего образования</t>
  </si>
  <si>
    <t>Реализация дополнительных профессиональных образовательных программ-программ повышения квалификации</t>
  </si>
  <si>
    <t>Медико-генетические лаборатории (пренатальный скрининг, неонатальный скрининг, химико-токсикологические исследования, серологические исследования)</t>
  </si>
  <si>
    <t>исследование</t>
  </si>
  <si>
    <t>Координация деятельности службы медицины катастроф Ленинградской области и обеспечение готовности ее сил и средств к ликвидации медико-санитарных последствий чрезвычайных ситуаций на территории Ленинградской области</t>
  </si>
  <si>
    <t>Прием, хранение, доставка и передача медицинским и аптечным организациям Ленинградской области лекарственных средств, включая наркотические и психотропные средства, медицинские изделия, специализированные продукты лечебного питания, и осуществление организационных мероприятий по обеспечению льготных категорий граждан лекарственными средствами, включая наркотические и психотропные средства, медицинскими изделиями, специализированными продуктами лечебного питания</t>
  </si>
  <si>
    <t>Организация и проведение мероприятий по патриотическому воспитанию молодежи</t>
  </si>
  <si>
    <t>Организация и проведение мероприятий по увековечению памяти погибших при защите Отечества</t>
  </si>
  <si>
    <t>Организация и проведение мероприятий по созданию условий и возможностей для успешной социализации и самореализации молодежи</t>
  </si>
  <si>
    <t>Организация и проведение мероприятий по содействию участию молодежи в добровольческой (волонтерской) деятельности</t>
  </si>
  <si>
    <t>Организация и проведение мероприятий по содействию осуществлению международных 
и межрегиональных связей в сфере молодежной политики</t>
  </si>
  <si>
    <t>час.</t>
  </si>
  <si>
    <t>Организация и проведение официальных физкультурных мероприятий среди населения на территории Ленинградской области, включая мероприятия по реализации всероссийского физкультурно-спортивного комплекса "Готов к труду и обороне" (ГТО)</t>
  </si>
  <si>
    <t xml:space="preserve">Организация и проведение официальных физкультурных мероприятий на территории Ленинградской области среди обучающихся общеобразовательных организаций, образовательных организаций высшего образования, включая физкультурные мероприятия среди инвалидов и лиц </t>
  </si>
  <si>
    <t>Организация и проведение официальных спортивных соревнований на территории Ленинградской области</t>
  </si>
  <si>
    <t>Поддержка спортивных организаций, осуществляющих подготовку спортивного резерва по базовым видам спорта для сборных команд Российской Федерации</t>
  </si>
  <si>
    <t>Обеспечение тренировочной и соревновательной деятельности спортивного резерва(включая материально-техническое обеспечение</t>
  </si>
  <si>
    <t>Реализация дополнительных образовательных программ спортивной подготовки по олимпийским видам спорта: футбол</t>
  </si>
  <si>
    <t>"Организация и проведение официальных спортивных соревнований на территории Ленинградской области"- всероссийские</t>
  </si>
  <si>
    <t>"Организация и проведение официальных спортивных соревнований на территории Ленинградской области"- межрегиональные</t>
  </si>
  <si>
    <t>"Организация и проведение официальных спортивных соревнований на территории Ленинградской области"- региональные</t>
  </si>
  <si>
    <t>Обеспечение подготовки и участия спортивных сборных команд Ленинградской области в спортивных соревнованиях (включая материально-техническое обеспечение)" ТМ</t>
  </si>
  <si>
    <t>Предоставление государственной услуги по государственной регистрации отдельных актов гражданского состояния</t>
  </si>
  <si>
    <t>Публичный показ музейных предметов, музейных коллекций (в стационарных условиях)</t>
  </si>
  <si>
    <t>Публичный показ музейных предметов, музейных коллекций (вне стационара)</t>
  </si>
  <si>
    <t>Публичный показ музейных предметов, музейных коллекций (удалённо через интернет)</t>
  </si>
  <si>
    <t>Создание экспозиций (выставок) музеев, организация выездных выставок</t>
  </si>
  <si>
    <t>Формирование, учет, изучение, обеспечение физического сохранения и безопасности музейных предметов, музейных коллекций</t>
  </si>
  <si>
    <t>Ведение Государсвенного музейного каталога  Музейного фонда Российской Федерации</t>
  </si>
  <si>
    <t>Организация и проведение культурно-массовых мероприятий</t>
  </si>
  <si>
    <t>Введение в широкий оборот исследовательских и научно-популярных материалов по историко-культурному наследию</t>
  </si>
  <si>
    <t>площадь территории (кв.м.)</t>
  </si>
  <si>
    <t>Осуществление автотранспортного обслуживания Администрации Ленинградской области</t>
  </si>
  <si>
    <t>Осуществление автотранспортного обслуживания Законодательного собрания Ленинградской области</t>
  </si>
  <si>
    <t>Осуществление автотранспортного обслуживания государственных органов Ленинградской области</t>
  </si>
  <si>
    <t>Обеспечение автомобильным транспортом сенаторов Российской Федерации для осуществления ими своих полномочий на территории Ленинградской области</t>
  </si>
  <si>
    <t>Обеспечение автомобильным транспортом депутатов Государственной Думы Федерального Собрания Российской Федерации для осуществления ими своих полномочий на территории Ленинградской области</t>
  </si>
  <si>
    <t>машино-час</t>
  </si>
  <si>
    <t>процент (%)</t>
  </si>
  <si>
    <t>Реализация адаптированных основных образовательных программ профессионального обучения в нетиповом учреждении</t>
  </si>
  <si>
    <t>чел.-час</t>
  </si>
  <si>
    <t>Организация сопровождаемого проживания инвалидов и лиц с ограниченными возможностями здоровья, получивших образовательную услугу в нетиповом учреждении</t>
  </si>
  <si>
    <t>Реализация образовательных программ высшего образования - программ специалитета (очное обучение)</t>
  </si>
  <si>
    <t>Реализация  образовательных программ высшего образования – программ магистратура (очно-заочное обучение)</t>
  </si>
  <si>
    <t>Реализация дополнительных общеразвивающих программ  (очная)</t>
  </si>
  <si>
    <t>Реализация дополнительных общеразвивающих программ  (заочная)</t>
  </si>
  <si>
    <t>Содержание детей в государственных бюджетных учреждениях дополнительного образования при реализации дополнительных количество человек х на кол-во дней в год</t>
  </si>
  <si>
    <t>Реализация адаптированной образовательной программы дошкольного образования обучающиеся с ограниченными возможностями здоровья. Очная форма, группа полного дня</t>
  </si>
  <si>
    <t>Реализация адаптированной образовательной программы дошкольного образования обучающиеся с ограниченными возможностями здоровья. Очная форма, группа круглосуточного пребывания</t>
  </si>
  <si>
    <t>Присмотр и уход. Очная форма, группа полного дня</t>
  </si>
  <si>
    <t>Присмотр и уход. Очная форма, группа круглосуточного пребывания</t>
  </si>
  <si>
    <t>Реализация основных общеобразовательных программ дошкольного образования,группа полного дня</t>
  </si>
  <si>
    <t>Реализация основных общеобразовательных программ дошкольного образования. Адаптированная основная общеобразовательная программа, группа круглосуточного пербывания</t>
  </si>
  <si>
    <t xml:space="preserve">Основное общее образование 
Содержание детей </t>
  </si>
  <si>
    <t>Основное общее образование 
Содержание детей,проходящих обучение в специальных учебно-воспитательных учреждениях закрытого типа</t>
  </si>
  <si>
    <t xml:space="preserve">Среднее общее образование. Содержание детей  </t>
  </si>
  <si>
    <t xml:space="preserve">Начальное общее образование. Реализация адаптированных основных общеобразовательных программ. Нуждающиеся в длительном лечении. Очная форма. </t>
  </si>
  <si>
    <t>Начальное общее образование. Реализация адаптированных основных общеобразовательных программ. Обучающиеся с ограниченными возможностями здоровья (умственная отсталость). Очная форма</t>
  </si>
  <si>
    <t xml:space="preserve">Начальное общее образование. Реализация адаптированных основных общеобразовательных программ. Обучающиеся с задержкой психического развития. Очно-заочная форма. </t>
  </si>
  <si>
    <t xml:space="preserve">Начальное общее образование. Реализация адаптированных основных общеобразовательных программ. Обучающиеся с задержкой психического развития. Очная форма. </t>
  </si>
  <si>
    <t xml:space="preserve">Начальное общее образование. Реализация адаптированных основных общеобразовательных программ. Обучающиеся с растройством аутистического спектра. Очно-заочная форма. </t>
  </si>
  <si>
    <t xml:space="preserve">Начальное общее образование. Реализация адаптированных основных общеобразовательных программ. Слабослышащие и позднооглохшие. Очная форма. </t>
  </si>
  <si>
    <t xml:space="preserve">Начальное общее образование. Реализация адаптированных основных общеобразовательных программ. Тяжелые нарушения речи. Очная форма. </t>
  </si>
  <si>
    <t>Реализация основных общеобразовательных программ основного общего образования. Проходящие обучение в специальных учебно-воспитательных учреждениях закрытого типа. Очная форма.</t>
  </si>
  <si>
    <t>Реализация основных общеобразовательных программ основного общего образования. Обучающиеся с ограниченными возможностями здоровья (ОВЗ). Проходящие обучение в специальных учебно-воспитательных учреждениях закрытого типа. Очная форма.</t>
  </si>
  <si>
    <t>Реализация адаптированных основных общеобразовательных программ. Обучающиеся с ограниченными возможностями здоровья (ОВЗ). Проходящие обучение в специальных учебно-воспитательных учреждениях закрытого типа. Очная форма.</t>
  </si>
  <si>
    <t>Реализация основных общеобразовательных программ  основного общего образования. Нуждающиеся в длительном лечении. Очная форма.</t>
  </si>
  <si>
    <t>Основное общее образование. Реализация адаптированных основных общеобразовательных программ . Обучающиеся с ограниченными возможностями здоровья. Очная форма</t>
  </si>
  <si>
    <t>Основное общее образование. Реализация адаптированных основных общеобразовательных программ. Обучающиеся с ограниченными возможностями здоровья. Дети-инвалиды и инвалиды с нарушением опорно-двигательного аппарата, слепые и слабовидящие. Очно-заочная форма.</t>
  </si>
  <si>
    <t xml:space="preserve">Основное общее образование Реализация адаптированных основных общеобразовательных программ для детей с умственной отсталостью. Очная форма  </t>
  </si>
  <si>
    <t xml:space="preserve">Основное общее образование Реализация адаптированных основных общеобразовательных программ. Дети-инвалиды и инвалиды .  Очная форма. </t>
  </si>
  <si>
    <t xml:space="preserve">Основное общее образование Реализация адаптированных основных общеобразовательных программ. Дети-инвалиды и инвалиды .  Очно-заочная форма. </t>
  </si>
  <si>
    <t>Среднее общее образование. Реализация адаптированных основных общеобразовательных программ.Обучающиеся с ограниченными возможностями здоровья. Очная форма</t>
  </si>
  <si>
    <t>Среднее общее образование. Реализация адаптированных основных общеобразовательных программ. Дети-инвалиды и инвалиды. Очная форма</t>
  </si>
  <si>
    <t>м2</t>
  </si>
  <si>
    <t>число зрителей</t>
  </si>
  <si>
    <t>Создание концертов и концертных программ</t>
  </si>
  <si>
    <t>Создание спектаклей</t>
  </si>
  <si>
    <t>Показ кинофильмов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</si>
  <si>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
(Проведение опытных работ и сбор информации по утвержденным программам опытных работ «Снижение миграционной активности и мониторинг группировок кабана». Апробация с целью дальнейшего внедрения на территории Ленинградской области, формирования экспериментальной и методологической основы ведения охотничьего хозяйства)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</si>
  <si>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
(Передержка серой куропатки в целях выпуска в природу Ленинградской области)</t>
  </si>
  <si>
    <t>Экологическое просвещение населения
(Работа по организации выставки собак охотничьих пород в Ленинградской области, с проведением информационных семинаров по содержанию собак охотничьих пород, тренинги)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</si>
  <si>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
(Работа по сохранению объектов животного мира на территории Ленинградской области)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</si>
  <si>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
(Трофейное дело  в Ленинградской области)</t>
  </si>
  <si>
    <t>2024 год (первоначально утв.значения)</t>
  </si>
  <si>
    <t>2024 год (уточненные плановые значения)</t>
  </si>
  <si>
    <r>
      <t>2024 год</t>
    </r>
    <r>
      <rPr>
        <b/>
        <sz val="11"/>
        <color indexed="8"/>
        <rFont val="Times New Roman"/>
        <family val="1"/>
        <charset val="204"/>
      </rPr>
      <t xml:space="preserve"> (фактические значения)</t>
    </r>
  </si>
  <si>
    <t>2024 год (фактические значения)</t>
  </si>
  <si>
    <t>Комитет по природным ресурсам Ленинградской области</t>
  </si>
  <si>
    <t>4.</t>
  </si>
  <si>
    <t>5.1.</t>
  </si>
  <si>
    <t>5.2.</t>
  </si>
  <si>
    <t>5.3.</t>
  </si>
  <si>
    <t>Единиц</t>
  </si>
  <si>
    <t>Организация предоставления государственных, муниципальных и иных услуг в многофункциональных центрах предоставления государственных и муниципальных услуг</t>
  </si>
  <si>
    <t>Методическое и организационное обеспечение поддержки автоматизированной информационной системы "Государственный заказ Ленинградской области" по вопросам обеспечения, эксплуатации, сопровождения и развития информационных систем</t>
  </si>
  <si>
    <t>единиц</t>
  </si>
  <si>
    <t>Услуги:</t>
  </si>
  <si>
    <t>Предоставление разъяснений, связанных с определением кадастровой стоимости, в том числе о ее определении, в порядке, предусмотренном законодательством Российской Федерации</t>
  </si>
  <si>
    <t>Рассмотрение обращений об исправлении ошибок, допущенных при определении кадастровой стоимости (в электронном виде)</t>
  </si>
  <si>
    <t>Рассмотрение обращений об исправлении ошибок, допущенных при определении кадастровой стоимости (на бумажном носителе)</t>
  </si>
  <si>
    <t>Хранение копий отчетов об итогах государственной  кадастровой оценки и иных документов, формируемых в ходе определения кадастровой стоимости (в электронном виде)</t>
  </si>
  <si>
    <t>ГБ</t>
  </si>
  <si>
    <t>Хранение копий  документов и материалов, которые были использованны для целей определения кадастровой стоимости (в электронном виде)</t>
  </si>
  <si>
    <t>Хранение копий  документов и материалов, которые были использованны для целей определения кадастровой стоимости (в бумажном виде)</t>
  </si>
  <si>
    <t>Рассмотрение заявлений об установлении кадастровой стоимости объекта недвижимости в размере его рыночной стоимости</t>
  </si>
  <si>
    <t>Работы:</t>
  </si>
  <si>
    <t>Определение кадастровой стоимости объектов недвижимости в рамках государственной кадастровой оценки</t>
  </si>
  <si>
    <t>Сбор, обработка, систематизация и накопление информации, необходимой для определения кадастровой стоимости, в том числе о данных рынка недвижимости, а также информации, использованной при проведении государственной кадастровой оценки и формируемой в результате ее проведения</t>
  </si>
  <si>
    <t>Определение кадастровой стоимости вновь учтенных объектов недвижимости, ранее учтенных объектов недвижимости в случае внесения в Единый государственный реестр недвижимости сведений о них и объектов недвижимости, в отношении которых произошло изменение их количественных и (или) качественных характеристик, в период между датой проведения последней государственной кадастровой оценки и датой проведения очередной государственной оценки</t>
  </si>
  <si>
    <t>Подготовка руководителей и специалистов противопожарной службы      853000.Р.50.0.11.30002002</t>
  </si>
  <si>
    <t>Подготовка руководителей и специалистов спасательной службы       853000.Р.50.0.11.50002002</t>
  </si>
  <si>
    <t>Подготовка должностных лиц и специалистов органов исполнительной власти Ленинградской области, руководителей и работников подведомственных им учреждений в области гражданской обороны и защиты от чрезвычайных ситуаций      854200.Р.50.0.1.110004003</t>
  </si>
  <si>
    <t>Количество сведений, документов</t>
  </si>
  <si>
    <t>Количество пользователей</t>
  </si>
  <si>
    <t>Экологическое просвещение населения (Проведение конкурса рисунков среди детей Приозерксого района Ленинградской области "Обитатели нашего леса")</t>
  </si>
  <si>
    <t xml:space="preserve">Организация и проведение мероприятий по профилактике асоциального поведения 
в подростковой и молодежной среде, формированию здорового образа жизни, пропаганде семейных ценностей и содействию занятости молодежи
</t>
  </si>
  <si>
    <t>Единица          Человек</t>
  </si>
  <si>
    <t xml:space="preserve">
60
3750</t>
  </si>
  <si>
    <t xml:space="preserve">
78
4490</t>
  </si>
  <si>
    <t xml:space="preserve">
78
4534</t>
  </si>
  <si>
    <t xml:space="preserve">                    Единица          Человек             </t>
  </si>
  <si>
    <t xml:space="preserve">
350
13080</t>
  </si>
  <si>
    <t xml:space="preserve">
562
50708</t>
  </si>
  <si>
    <t xml:space="preserve">
566
50808</t>
  </si>
  <si>
    <t xml:space="preserve">                    Единица          Человек             Процент</t>
  </si>
  <si>
    <t xml:space="preserve">
122
13175
10</t>
  </si>
  <si>
    <t xml:space="preserve">
153
17789
10</t>
  </si>
  <si>
    <t xml:space="preserve">
157
17789
10</t>
  </si>
  <si>
    <t xml:space="preserve">                    Единица          Человек </t>
  </si>
  <si>
    <t xml:space="preserve">
5
100</t>
  </si>
  <si>
    <t xml:space="preserve">
  Единица          Человек             Процент    </t>
  </si>
  <si>
    <t xml:space="preserve">
143
34010
10</t>
  </si>
  <si>
    <t xml:space="preserve">
117
12094
15</t>
  </si>
  <si>
    <t xml:space="preserve">
117
12837
26</t>
  </si>
  <si>
    <t xml:space="preserve">
48</t>
  </si>
  <si>
    <t xml:space="preserve">
49
</t>
  </si>
  <si>
    <t xml:space="preserve">
54</t>
  </si>
  <si>
    <t xml:space="preserve"> Выдача разрешений на добычу охотничьих ресурсов на особо охраняемых природных территориях</t>
  </si>
  <si>
    <t>штук</t>
  </si>
  <si>
    <t xml:space="preserve"> Реализация мероприятий по обеспечению охраны, функционирования и управления особо охраняемыми природными территориями регионального значения в Ленинградской области</t>
  </si>
  <si>
    <t>проценты</t>
  </si>
  <si>
    <t>Реализация мероприятий по оснащению и поддержке особо охраняемых природных территорий регионального знаяения</t>
  </si>
  <si>
    <t>Создание и поддержание туристских маршрутов (туристских троп) организованных, обустроенных</t>
  </si>
  <si>
    <t>число посетителей, чел.</t>
  </si>
  <si>
    <t>количество выставок (экспозиций), ед.</t>
  </si>
  <si>
    <t>количество предметов, ед.</t>
  </si>
  <si>
    <t>количество проведенных мероприятий, ед.</t>
  </si>
  <si>
    <t>количество участников мероприятий, чел.</t>
  </si>
  <si>
    <t>Количество конференций, издательских проектов, ед.</t>
  </si>
  <si>
    <t>Обеспечение сохранности и  целостности историко-архитектурного комплекса, исторической среды и ландшафтов</t>
  </si>
  <si>
    <t>Проведение плановых диагностических мероприятий на особо опасные болезни животных (птиц) и болезни общие для человека и животных (птиц) - туберкулинизация</t>
  </si>
  <si>
    <t>Проведение плановых диагностических мероприятий на особо опасные болезни животных (птиц) и болезни общие для человека и животных (птиц) - отбор проб</t>
  </si>
  <si>
    <t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t>
  </si>
  <si>
    <t>Проведение плановых профилактических вакцинаций животных (птиц) против особо опасных болезней животных и болезней, общих для человека и животных (птиц)</t>
  </si>
  <si>
    <t>Проведение ветеринарных организационных работ, включая учет и ответственное хранение лекарственных средств и препаратов для ветеринарного применения</t>
  </si>
  <si>
    <t>Проведение ветеринарных обследований объектов, связанных с содержанием животных, переработкой, хранением и реализацией продукции и сырья животного происхождения</t>
  </si>
  <si>
    <t>Проведение государственного ветеринарного мониторинга остатков запрещенных и вредных веществ в организме живых животных и продуктах животного происхождения, включая отбор проб и их транспортировку - проведение исследований</t>
  </si>
  <si>
    <t>Проведение государственного ветеринарного мониторинга остатков запрещенных и вредных веществ в организме живых животных и продуктах животного происхождения, включая отбор проб и их транспортировку - отбор проб</t>
  </si>
  <si>
    <t>Управление делами Правительства Ленинградской области (ГБУ "Автобаза Правительства Ленинградской области")</t>
  </si>
  <si>
    <t>Управление делами Правительства Ленинградской области (ЛО ГБУ "Недвижимость")</t>
  </si>
  <si>
    <t>Обеспечение служебными помещениями Администрации Ленинградской области</t>
  </si>
  <si>
    <t>Квадратный метр</t>
  </si>
  <si>
    <t>Обеспечение помещениями и оборудованием для проведения выездных, в том числе протокольных мероприятий, рабочих встреч с участием Губернатора Ленинградской области и(или) по его поручению, а также проводимых с участием членов Правительства Ленинградской области, вице-губернаторов Ленинградской области (за исключением руководителя Представительства Губернатора и Правительства Ленинградской области при Правительстве Российской Федерации) на объекте в Приозерском районе Ленинградской области, д. Ягодное</t>
  </si>
  <si>
    <t>Обеспечение служебными помещениями государственных органов  Ленинградской области</t>
  </si>
  <si>
    <t>Предоставление сенаторам Российской Федерации служебных помещений для осуществления своих полномочий на территории Ленинградской области</t>
  </si>
  <si>
    <t>Предоставление депутатам Государственной Думы служебных помещений для осуществления своих полномочий на территории Ленинградской области</t>
  </si>
  <si>
    <t>Организация проживания инвалидов и граждан с ограниченными возможностями здоровья (ОВЗ) в период обучения в нетиповом учреждении</t>
  </si>
  <si>
    <t>Сопровождение трудоустройства инвалидов и граждан с ограниченными возможностями здоровья, получивших образовательную услугу в нетиповом учреждении</t>
  </si>
  <si>
    <t>консультация</t>
  </si>
  <si>
    <t>Обеспечение деятельности (услуги, работы) государственных учреждений</t>
  </si>
  <si>
    <t xml:space="preserve">Организация и проведение официальных физкультурных (физкультурно-оздоровительных) мероприятий: региональные </t>
  </si>
  <si>
    <t>Организация и проведение официальных физкультурных (физкультурно-оздоровительных) мероприятий: всероссийские</t>
  </si>
  <si>
    <t>Организация и проведение официальных спортивных
мероприятий: региональные</t>
  </si>
  <si>
    <t>Организация мероприятий по подготовке спортивного резерва и материально-технического обеспечения спортивного резерва по горнолыжному спорту</t>
  </si>
  <si>
    <t>Организация мероприятий по подготовке спортивного резерва и материально-технического обеспечения спортивного резерва по фристайлу</t>
  </si>
  <si>
    <t>Организация и проведение официальных физкультурных (физкультурно-оздоровительных) мероприятий. Региональные.</t>
  </si>
  <si>
    <t>Организация и проведение официальных физкультурных (физкультурно-оздоровительных) мероприятий. Всероссийские.</t>
  </si>
  <si>
    <t xml:space="preserve">Организация и обеспечение экспериментальной и инновационной деятельности в области физической  культуры и спорта  </t>
  </si>
  <si>
    <t xml:space="preserve"> 1/7/5</t>
  </si>
  <si>
    <t xml:space="preserve"> Организация и проведение официальных физкультурных мероприятий среди населения на территории Ленинградской области, включая мероприятия по реализации всероссийского физкультурно-спортивного комплекса "Готов к труду и обороне" (ГТО) региональные</t>
  </si>
  <si>
    <t>Осуществление функций и полномочий оператора государственной услуги «Физкультурно-оздоровительная услуга по физической подготовке и физическому развитию отдельных категорий граждан по программе «Плавание для всех»…</t>
  </si>
  <si>
    <t>Организация мероприятий по научно-методическому обеспечению спортивных сборных команд. Спортивные сборные команды Ленинградской области.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</si>
  <si>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(Народное художественное творчество (по видам) - очная) (услуга)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</si>
  <si>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(Социально-культурная деятельность ( по видам) - очная)(услуга)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</si>
  <si>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(Социально-культурная деятельность ( по видам) - заочная)(услуга)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</si>
  <si>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(Музыкальное искусство эстрады (по видам) - очная)(услуга)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</si>
  <si>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(Декоративно-прикладное искусство и народные промыслы (по видам) - очная)(услуга)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</si>
  <si>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(Хоровое дирижирование (по видам) - очная)(услуга)</t>
  </si>
  <si>
    <t>Реализация дополнительных профессиональных образовательных программ повышения квалификации (очная)(услуга)</t>
  </si>
  <si>
    <t>человеко--часов</t>
  </si>
  <si>
    <t xml:space="preserve">Показ (организация показа) спектаклей (театральных постановок)  (стационар, во всех формах)(услуга) </t>
  </si>
  <si>
    <t xml:space="preserve">Показ (организация показа) спектаклей (театральных постановок)  (на выезде, во всех формах)(услуга) </t>
  </si>
  <si>
    <t xml:space="preserve">Показ (организация показа) спектаклей (театральных постановок) (на гастролях, во всех формах)(услуга) </t>
  </si>
  <si>
    <t>Показ (организация показа) концертных программ (на выезде)(услуга)</t>
  </si>
  <si>
    <t>Показ (организация показа) концертных программ (на гастролях)(услуга)</t>
  </si>
  <si>
    <t>спектаклей</t>
  </si>
  <si>
    <t>концертов (программ)</t>
  </si>
  <si>
    <t xml:space="preserve">Организация работы клубных формирований и формирований самодеятельного народного творчества на базе учреждений культуры               </t>
  </si>
  <si>
    <t>количество проведенных мероприятий</t>
  </si>
  <si>
    <t>ДНТ</t>
  </si>
  <si>
    <t>Реализация дополнительных профессиональных программ повышения квалификации</t>
  </si>
  <si>
    <t>количество организованных программ, единиц</t>
  </si>
  <si>
    <t xml:space="preserve">Обеспечение сохранности и целостности историко-архитектурного комплекса, исторической среды и ландшафтов                                                                                                                                 </t>
  </si>
  <si>
    <t>количество туров, ед.</t>
  </si>
  <si>
    <t>количество посетителей интернет-сайта, ед.</t>
  </si>
  <si>
    <t>Работы по продвижению туристских возможностей Ленинградской области на внутреннем и международном рынках (Проведение событийных и специализированных мероприятий (праздники, фестивали, туристкие походы и слеты) по продвижению туристского потенциала Ленинградской области, направленных на привлечение туристов в Ленинградскую область)</t>
  </si>
  <si>
    <t>количество мероприятий, ед.</t>
  </si>
  <si>
    <t>Работы по продвижению туристских возможностей Ленинградской области на внутреннем и международном рынках (Проведение конгрессно-выставочных мероприятий, обеспечение участия Ленинградской области в конгрессно-выставочных мероприятиях на российском и международном туристских рынках)</t>
  </si>
  <si>
    <t>Работы по продвижению туристских возможностей Ленинградской области на внутреннем и международном рынках (Разработка и изготовление информационных материалов о туристских возможностях Ленинградской области с использованием туристского бренда Ленинградской области (изготовление печатных материалов: карт, буклетов, справочников, путеводителей и т.п.), в том числе на иностранных языках)</t>
  </si>
  <si>
    <t>количество информационных материалов, ед.</t>
  </si>
  <si>
    <t>Работы по продвижению туристских возможностей Ленинградской области на внутреннем и международном рынках (Разработка и изготовление презентационных материалов и сувенирной продукции с использованием туристского бренда и исторических символов Ленинградской области для вручения участникам и гостям мероприятий, проводимых на территории Ленинградской области, субъектов Российской Федерации и за рубежом, в том числе на иностранных языках)</t>
  </si>
  <si>
    <t>количество наименований, ед.</t>
  </si>
  <si>
    <t>Постоянные затраты на содержание имущества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</si>
  <si>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</si>
  <si>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</si>
  <si>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</si>
  <si>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</si>
  <si>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</si>
  <si>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</si>
  <si>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</si>
  <si>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</si>
  <si>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</si>
  <si>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</si>
  <si>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</si>
  <si>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</si>
  <si>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</si>
  <si>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</si>
  <si>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</si>
  <si>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</si>
  <si>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</si>
  <si>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</si>
  <si>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</si>
  <si>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</si>
  <si>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</si>
  <si>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</si>
  <si>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Организация участия во всероссийских и межрегиональных олимпиадах, иных интеллектуальных и(или) творческих конкурсах, физкультурных, спортивных мероприятиях</t>
  </si>
  <si>
    <t>23</t>
  </si>
  <si>
    <t>24</t>
  </si>
  <si>
    <t xml:space="preserve">Методическое обеспечение образовательной деятельности (работа) </t>
  </si>
  <si>
    <t>25</t>
  </si>
  <si>
    <t xml:space="preserve">Информационно-технологическое обеспечение образовательной деятельности </t>
  </si>
  <si>
    <t>26</t>
  </si>
  <si>
    <t>27</t>
  </si>
  <si>
    <t>28</t>
  </si>
  <si>
    <t>29</t>
  </si>
  <si>
    <t>30</t>
  </si>
  <si>
    <t>Организация и проведение мероприятий по гражданскому, патриотическому, духовно-нравственному и физическому воспитанию молодежи Ленинградской области</t>
  </si>
  <si>
    <t>31</t>
  </si>
  <si>
    <t>32</t>
  </si>
  <si>
    <t>33</t>
  </si>
  <si>
    <t>34</t>
  </si>
  <si>
    <t>35</t>
  </si>
  <si>
    <t>36</t>
  </si>
  <si>
    <t>37</t>
  </si>
  <si>
    <t>38</t>
  </si>
  <si>
    <t>Начальное общее образование 
Содержание детей (обучающиеся с ОВЗ)</t>
  </si>
  <si>
    <t>39</t>
  </si>
  <si>
    <t>Начальное общее образование 
Содержание детей (физические лица)</t>
  </si>
  <si>
    <t>40</t>
  </si>
  <si>
    <t>41</t>
  </si>
  <si>
    <t>42</t>
  </si>
  <si>
    <t>43</t>
  </si>
  <si>
    <t>44</t>
  </si>
  <si>
    <t xml:space="preserve">Начальное общее образование. Реализация адаптированных основных общеобразовательных программ.Дети-инвалидыи нарушеними опорно-двигательного аппарата, слепые и слабовидящие. Очная форма. </t>
  </si>
  <si>
    <t>45</t>
  </si>
  <si>
    <t>Начальное общее образование. Реализация адаптированных основных общеобразовательных программ.Дети-инвалиды и инвалиды (умственная отсталость). Очная форма</t>
  </si>
  <si>
    <t>46</t>
  </si>
  <si>
    <t>47</t>
  </si>
  <si>
    <t>48</t>
  </si>
  <si>
    <t>49</t>
  </si>
  <si>
    <t>50</t>
  </si>
  <si>
    <t>Начальное общее образование. Реализация адаптированных основных общеобразовательных программ. Проходящие обучение по сотоянию здоровья на дому (больница). Очно-заочная форма</t>
  </si>
  <si>
    <t>51</t>
  </si>
  <si>
    <t>Начальное общее образование. Реализация адаптированных основных общеобразовательных программ. Обучающиеся с ограниченными возможностями здоровья (умственная отсталость). Очно-заочная форма</t>
  </si>
  <si>
    <t>52</t>
  </si>
  <si>
    <t>53</t>
  </si>
  <si>
    <t>54</t>
  </si>
  <si>
    <t xml:space="preserve">Начальное общее образование. Реализация адаптированных основных общеобразовательных программ. Обучающиеся с ограниченными возможностями здоровья (слабовидящие).  Очная форма. </t>
  </si>
  <si>
    <t>55</t>
  </si>
  <si>
    <t>Начальное общее образование. Реализация адаптированных основных общеобразовательных программ. Обучающиеся с ограниченными возможностями здоровья (умственная отсталость). Дети-инвалиды и инвалиды. Очно-заочная форма.</t>
  </si>
  <si>
    <t>56</t>
  </si>
  <si>
    <t xml:space="preserve">Начальное общее образование. Реализация адаптированных основных общеобразовательных программ. Обучающиеся с ограниченными возможностями здоровья (нарушения опрорно-двигательного апарата). Очная форма. </t>
  </si>
  <si>
    <t>57</t>
  </si>
  <si>
    <t>Начальное общее образование. Реализация адаптированных основных общеобразовательных программ. Обучающиеся с задержкой психического развития. Очно-заочная форма</t>
  </si>
  <si>
    <t>58</t>
  </si>
  <si>
    <t>59</t>
  </si>
  <si>
    <t>60</t>
  </si>
  <si>
    <t>61</t>
  </si>
  <si>
    <t>62</t>
  </si>
  <si>
    <t xml:space="preserve">Основное общее образование. Реализация адаптированных основных общеобразовательных программ. Обучающинся с ЗПР. Очно-заочная форма. </t>
  </si>
  <si>
    <t>63</t>
  </si>
  <si>
    <t>64</t>
  </si>
  <si>
    <t>65</t>
  </si>
  <si>
    <t xml:space="preserve">Основное общее образование Реализация адаптированных основных общеобразовательных программ.  Дети-инвалиды и инвалиды . Очная форма </t>
  </si>
  <si>
    <t>66</t>
  </si>
  <si>
    <t xml:space="preserve">Основное общее образование Реализация адаптированных основных общеобразовательных программ для детей с ОВЗ (слепые). Очная форма  </t>
  </si>
  <si>
    <t>67</t>
  </si>
  <si>
    <t>68</t>
  </si>
  <si>
    <t>69</t>
  </si>
  <si>
    <t>70</t>
  </si>
  <si>
    <t xml:space="preserve">Основное общее образование Реализация адаптированных основных общеобразовательных программ. Обучающиеся с ОВЗ .  Очно-заочная форма. </t>
  </si>
  <si>
    <t>71</t>
  </si>
  <si>
    <t>Основное общее образование. Реализация адаптированных основных общеобразовательных программ . Обучающиеся с ограниченными возможностями здоровья (ЗПР). Очная форма</t>
  </si>
  <si>
    <t>72</t>
  </si>
  <si>
    <t>Основное общее образование. Реализация адаптированных основных общеобразовательных программ . Обучающиеся с ограниченными возможностями здоровья (слепые и слабовидящие). Очная форма</t>
  </si>
  <si>
    <t>73</t>
  </si>
  <si>
    <t>Основное общее образование. Реализация адаптированных основных общеобразовательных программ . Дети-инвалиды и инвалиды с нарушениями опорно-двигательного аппарата (слепые и слабовидящие). Очная форма</t>
  </si>
  <si>
    <t>74</t>
  </si>
  <si>
    <t>Основное общее образование. Реализация основных общеобразовательных программ. Обучающинеся проходящие обучение по состоянию здоровья на дому (больница). Очная форма</t>
  </si>
  <si>
    <t>75</t>
  </si>
  <si>
    <t>Среднее общее образование. Реализация основных общеобразовательных программ. Нуждающиеся в длительном лечении. Очная форма.</t>
  </si>
  <si>
    <t>76</t>
  </si>
  <si>
    <t xml:space="preserve">Среднее общее образование. Реализация основных общеобразовательных программ. Проходящие обучение по состоянию здоровья на дому (больница). Очно-заочная форма </t>
  </si>
  <si>
    <t>77</t>
  </si>
  <si>
    <t>78</t>
  </si>
  <si>
    <t>Первичная медико-санитарная помощь, в части диагностики и лечения по профилю психиатрия</t>
  </si>
  <si>
    <t>Судебно-психиатрическая экспертиза</t>
  </si>
  <si>
    <t>Первичная специализированная помощь в условиях дневного стационара по профилю: психиатрия</t>
  </si>
  <si>
    <t>Высокотехнологичная медицинская помощь, не включенная в базовую программу обязательного медицинского страхования, по профилю оториноларингология в условиях стационара</t>
  </si>
  <si>
    <t>Высокотехнологичная медицинская помощь, не включенная в базовую программу обязательного медицинского страхования, по профилю трансплантация в условиях стационара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</si>
  <si>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 психиатрия в условиях стационара</t>
  </si>
  <si>
    <t>Специализированная медицинская помощь в стационарных условиях</t>
  </si>
  <si>
    <t>чел.x час</t>
  </si>
  <si>
    <t>Психолого-педагогическое консультирование инвалидов и лиц с ограниченными возможностями здоровья, членов их семей*</t>
  </si>
  <si>
    <t>Оказание информационно-справочной поддержки граждан по вопросам инвалидности, социальной защиты, медико-социальной экспертизы и реабилитации, абилитации инвалидов *</t>
  </si>
  <si>
    <t>Рассмотрение обращений обучающихся, их родителей (законных представителей), членов их семей, информирование и консультирование об их правах и необходимых действиях по защите их прав*</t>
  </si>
  <si>
    <t>Реализация адаптированных основных образовательных программ профессионального обучения в нетиповом учреждении *</t>
  </si>
  <si>
    <t>Обеспечение доступа к  объектам спорта**</t>
  </si>
  <si>
    <t>** Субсидия на государственное задание на сумму 23 737 200,00 с 01.01.2024г.по не выделялась ввиду того, что на начало 2024 года спортивный комплекс Токсово не был введен в эксплуатацию и работа по обеспечению доступа к спортивным объектам на данном объекте спорта не утверждалась. СК "Токсово" был введен в эксплуатацию в ноябре 2024 года. Только в ноябре 2024г. в связи с окончанием строительства, комплекс был закреплен за учреждением по Распоряжению Ленинградского областного комитета по управлению государственным имуществом от 15.11.2024 № 1895 «О закреплении государственного недвижимого имущества Ленинградской области на праве оперативного управления за государственным автономным учреждением Ленинградской области «Спортивно-тренировочный центр Ленинградской области». Значение показателя на 2024 год и плановый период 2025 и 2026 годов в государственном задании увеличилось до 123909,75 часов (распоряжение комитета от 27.11.2024г. №1-5-556/2024), на что дополнительно была направлена субсидия на исполнение государственного задание на сумму 8 200 000,00 руб. В связи с переносом срока ввода объекта в эксплуатацию на ноябрь 2024 года, потребность на содержание снизилась до 8 200 000,00 руб., бюджетные ассигнования в размере 15 537 200,00 руб. были сняты при корректировка областного бюджета (Уточнение 2)</t>
  </si>
  <si>
    <t>Организация и проведение мероприятий по вопросам условий и охраны труда, профилактики производственного травматизма и профессиональной заболеваемости, направленных на сохранение и укрепление здоровья работающих граждан (семинар-конференция)***</t>
  </si>
  <si>
    <t xml:space="preserve">*** Объем оказания государственной услуги (работы) был утвержден распоряжением Комитета. Объем средств для обеспечения государственной услуги (работы) был учтен в рамках внесения изменений в областной закон "Об областном бюджете Ленинградской области на 2024 год и на плановый период 2025 и 2026 годов" (уточнение 1). </t>
  </si>
  <si>
    <t xml:space="preserve">* Объем оказания государственной услуги (работы) был утвержден распоряжением Комитета от 22.12.2023 №03-864. Кроме того, в течение года произведено перепрофилирование филиала ГАНПОУ ЛО "МЦСиТИ" на преимущественное оказание услуг участникам СВО, а также увеличилась стоимость оказания услуг, включая стоимость питания. Объем средств для обеспечения государственной услуги (работы) был учтен в рамках внесения изменений в областной закон "Об областном бюджете Ленинградской области на 2024 год и на плановый период 2025 и 2026 годов" (уточнение 2). </t>
  </si>
  <si>
    <t>Приложение 19</t>
  </si>
  <si>
    <t xml:space="preserve">Сведения о выполнении государственными бюджетными и автономными учреждениями Ленинградской области государственных заданий на оказание государственных услуг (выполнение работ), а также об объемах субсидий на финансовое обеспечение выполнения государственных заданий на оказание соответствующих услуг (выполнения работ)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</si>
</sst>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#,##0.00\ _₽"/>
    <numFmt numFmtId="167" formatCode="0.0"/>
    <numFmt numFmtId="168" formatCode="#,##0.000"/>
    <numFmt numFmtId="169" formatCode="#,##0.0\ _₽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9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6" fontId="9" fillId="0" borderId="0" xfId="0" applyNumberFormat="1" applyFont="1" applyFill="1"/>
    <xf numFmtId="4" fontId="9" fillId="0" borderId="0" xfId="0" applyNumberFormat="1" applyFont="1" applyFill="1"/>
    <xf numFmtId="166" fontId="9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4" fontId="12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2" fontId="10" fillId="0" borderId="1" xfId="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" fillId="0" borderId="2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7" fillId="0" borderId="0" xfId="0" applyFont="1" applyFill="1"/>
    <xf numFmtId="0" fontId="10" fillId="0" borderId="0" xfId="0" applyFont="1" applyFill="1"/>
    <xf numFmtId="165" fontId="10" fillId="0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left" wrapText="1"/>
    </xf>
    <xf numFmtId="165" fontId="9" fillId="0" borderId="1" xfId="0" applyNumberFormat="1" applyFont="1" applyFill="1" applyBorder="1" applyAlignment="1">
      <alignment horizontal="left" vertical="center" wrapText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5" fontId="0" fillId="0" borderId="1" xfId="0" applyNumberFormat="1" applyFont="1" applyFill="1" applyBorder="1"/>
    <xf numFmtId="165" fontId="10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165" fontId="12" fillId="2" borderId="1" xfId="0" applyNumberFormat="1" applyFont="1" applyFill="1" applyBorder="1" applyAlignment="1">
      <alignment horizontal="center" wrapText="1"/>
    </xf>
    <xf numFmtId="165" fontId="12" fillId="2" borderId="1" xfId="0" applyNumberFormat="1" applyFont="1" applyFill="1" applyBorder="1" applyAlignment="1">
      <alignment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165" fontId="1" fillId="0" borderId="8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left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4" fontId="0" fillId="0" borderId="0" xfId="0" applyNumberFormat="1" applyFont="1" applyFill="1"/>
    <xf numFmtId="0" fontId="9" fillId="0" borderId="1" xfId="0" applyFont="1" applyBorder="1" applyAlignment="1">
      <alignment horizontal="justify" wrapText="1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165" fontId="0" fillId="0" borderId="0" xfId="0" applyNumberFormat="1" applyFont="1" applyFill="1"/>
    <xf numFmtId="3" fontId="0" fillId="0" borderId="0" xfId="0" applyNumberFormat="1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wrapText="1"/>
    </xf>
    <xf numFmtId="165" fontId="3" fillId="0" borderId="6" xfId="0" applyNumberFormat="1" applyFont="1" applyFill="1" applyBorder="1" applyAlignment="1">
      <alignment horizontal="left" wrapText="1"/>
    </xf>
    <xf numFmtId="165" fontId="3" fillId="0" borderId="7" xfId="0" applyNumberFormat="1" applyFont="1" applyFill="1" applyBorder="1" applyAlignment="1">
      <alignment horizontal="left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69" fontId="9" fillId="0" borderId="3" xfId="0" applyNumberFormat="1" applyFont="1" applyFill="1" applyBorder="1" applyAlignment="1">
      <alignment horizontal="center" vertical="center"/>
    </xf>
    <xf numFmtId="169" fontId="9" fillId="0" borderId="4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4" xfId="2"/>
    <cellStyle name="Обычный_по кодам" xfId="3"/>
    <cellStyle name="Финансовый" xfId="4" builtinId="3"/>
    <cellStyle name="Финансовый 2" xfId="5"/>
  </cellStyles>
  <dxfs count="0"/>
  <tableStyles count="0" defaultTableStyle="TableStyleMedium2" defaultPivotStyle="PivotStyleLight16"/>
  <colors>
    <mruColors>
      <color rgb="FFFFFFCC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3"/>
  <sheetViews>
    <sheetView zoomScale="90" zoomScaleNormal="90" workbookViewId="0">
      <pane ySplit="239" topLeftCell="A240" activePane="bottomLeft" state="frozen"/>
      <selection pane="bottomLeft" activeCell="N243" sqref="N243:R243"/>
    </sheetView>
  </sheetViews>
  <sheetFormatPr defaultColWidth="9.140625" defaultRowHeight="15" x14ac:dyDescent="0.25"/>
  <cols>
    <col min="1" max="1" width="7.7109375" style="4" customWidth="1"/>
    <col min="2" max="2" width="46.140625" style="52" customWidth="1"/>
    <col min="3" max="3" width="19" style="27" bestFit="1" customWidth="1"/>
    <col min="4" max="4" width="16.42578125" style="4" customWidth="1"/>
    <col min="5" max="5" width="13" style="4" customWidth="1"/>
    <col min="6" max="6" width="14.7109375" style="4" customWidth="1"/>
    <col min="7" max="7" width="13.28515625" style="4" customWidth="1"/>
    <col min="8" max="8" width="14.28515625" style="4" customWidth="1"/>
    <col min="9" max="9" width="14.140625" style="4" hidden="1" customWidth="1"/>
    <col min="10" max="10" width="15.140625" style="4" hidden="1" customWidth="1"/>
    <col min="11" max="12" width="15.5703125" style="4" hidden="1" customWidth="1"/>
    <col min="13" max="13" width="15.140625" style="4" hidden="1" customWidth="1"/>
    <col min="14" max="14" width="15.28515625" style="4" customWidth="1"/>
    <col min="15" max="15" width="14.140625" style="4" customWidth="1"/>
    <col min="16" max="16" width="15.5703125" style="4" customWidth="1"/>
    <col min="17" max="17" width="14.42578125" style="4" customWidth="1"/>
    <col min="18" max="18" width="14.140625" style="4" customWidth="1"/>
    <col min="19" max="20" width="14" style="4" customWidth="1"/>
    <col min="21" max="21" width="28.140625" style="4" customWidth="1"/>
    <col min="22" max="22" width="19" style="4" customWidth="1"/>
    <col min="23" max="23" width="17.28515625" style="4" customWidth="1"/>
    <col min="24" max="24" width="11.85546875" style="4" customWidth="1"/>
    <col min="25" max="25" width="12.28515625" style="4" customWidth="1"/>
    <col min="26" max="26" width="12.7109375" style="4" customWidth="1"/>
    <col min="27" max="16384" width="9.140625" style="4"/>
  </cols>
  <sheetData>
    <row r="1" spans="1:22" s="2" customFormat="1" ht="60.75" customHeight="1" x14ac:dyDescent="0.25">
      <c r="A1" s="141" t="s">
        <v>276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22" s="2" customFormat="1" ht="54" customHeight="1" x14ac:dyDescent="0.25">
      <c r="A2" s="142" t="s">
        <v>1</v>
      </c>
      <c r="B2" s="143" t="s">
        <v>2</v>
      </c>
      <c r="C2" s="142" t="s">
        <v>3</v>
      </c>
      <c r="D2" s="142" t="s">
        <v>4</v>
      </c>
      <c r="E2" s="142"/>
      <c r="F2" s="142"/>
      <c r="G2" s="142"/>
      <c r="H2" s="142"/>
      <c r="I2" s="145" t="s">
        <v>59</v>
      </c>
      <c r="J2" s="146"/>
      <c r="K2" s="146"/>
      <c r="L2" s="146"/>
      <c r="M2" s="147"/>
      <c r="N2" s="142" t="s">
        <v>5</v>
      </c>
      <c r="O2" s="142"/>
      <c r="P2" s="142"/>
      <c r="Q2" s="142"/>
      <c r="R2" s="142"/>
    </row>
    <row r="3" spans="1:22" s="2" customFormat="1" ht="45" x14ac:dyDescent="0.25">
      <c r="A3" s="142"/>
      <c r="B3" s="144"/>
      <c r="C3" s="142"/>
      <c r="D3" s="28" t="s">
        <v>9</v>
      </c>
      <c r="E3" s="28" t="s">
        <v>269</v>
      </c>
      <c r="F3" s="28" t="s">
        <v>6</v>
      </c>
      <c r="G3" s="28" t="s">
        <v>7</v>
      </c>
      <c r="H3" s="28" t="s">
        <v>11</v>
      </c>
      <c r="I3" s="28" t="s">
        <v>9</v>
      </c>
      <c r="J3" s="28" t="s">
        <v>10</v>
      </c>
      <c r="K3" s="28" t="s">
        <v>6</v>
      </c>
      <c r="L3" s="28" t="s">
        <v>7</v>
      </c>
      <c r="M3" s="28" t="s">
        <v>11</v>
      </c>
      <c r="N3" s="28" t="s">
        <v>9</v>
      </c>
      <c r="O3" s="28" t="s">
        <v>10</v>
      </c>
      <c r="P3" s="28" t="s">
        <v>6</v>
      </c>
      <c r="Q3" s="28" t="s">
        <v>7</v>
      </c>
      <c r="R3" s="28" t="s">
        <v>11</v>
      </c>
    </row>
    <row r="4" spans="1:22" s="2" customFormat="1" ht="13.9" x14ac:dyDescent="0.25">
      <c r="A4" s="1">
        <v>1</v>
      </c>
      <c r="B4" s="48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28">
        <v>14</v>
      </c>
      <c r="O4" s="28">
        <v>15</v>
      </c>
      <c r="P4" s="28">
        <v>16</v>
      </c>
      <c r="Q4" s="28">
        <v>17</v>
      </c>
      <c r="R4" s="28">
        <v>18</v>
      </c>
    </row>
    <row r="5" spans="1:22" s="2" customFormat="1" ht="13.9" hidden="1" x14ac:dyDescent="0.25">
      <c r="A5" s="140" t="s">
        <v>12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22" s="2" customFormat="1" ht="41.45" hidden="1" x14ac:dyDescent="0.25">
      <c r="A6" s="1">
        <v>1</v>
      </c>
      <c r="B6" s="33" t="s">
        <v>13</v>
      </c>
      <c r="C6" s="1" t="s">
        <v>14</v>
      </c>
      <c r="D6" s="14">
        <v>1</v>
      </c>
      <c r="E6" s="14">
        <v>2</v>
      </c>
      <c r="F6" s="14">
        <v>2</v>
      </c>
      <c r="G6" s="14">
        <v>2</v>
      </c>
      <c r="H6" s="14">
        <v>2</v>
      </c>
      <c r="I6" s="14">
        <v>185810.03639999998</v>
      </c>
      <c r="J6" s="14">
        <v>508241.70399999997</v>
      </c>
      <c r="K6" s="14">
        <v>698832.34299999999</v>
      </c>
      <c r="L6" s="14">
        <v>889422.98200000008</v>
      </c>
      <c r="M6" s="14">
        <v>1080013.621</v>
      </c>
      <c r="N6" s="14">
        <f>D6*I6/1000</f>
        <v>185.81003639999997</v>
      </c>
      <c r="O6" s="14">
        <f>J6*E6/1000</f>
        <v>1016.4834079999999</v>
      </c>
      <c r="P6" s="14">
        <f>K6*F6/1000</f>
        <v>1397.6646860000001</v>
      </c>
      <c r="Q6" s="14">
        <f>L6*G6/1000</f>
        <v>1778.8459640000001</v>
      </c>
      <c r="R6" s="14">
        <f>M6*H6/1000</f>
        <v>2160.0272420000001</v>
      </c>
      <c r="S6" s="5"/>
      <c r="T6" s="5"/>
      <c r="U6" s="5"/>
      <c r="V6" s="5"/>
    </row>
    <row r="7" spans="1:22" s="2" customFormat="1" ht="41.45" hidden="1" x14ac:dyDescent="0.25">
      <c r="A7" s="1">
        <v>2</v>
      </c>
      <c r="B7" s="33" t="s">
        <v>30</v>
      </c>
      <c r="C7" s="1" t="s">
        <v>14</v>
      </c>
      <c r="D7" s="14">
        <v>6</v>
      </c>
      <c r="E7" s="14">
        <v>7</v>
      </c>
      <c r="F7" s="14">
        <v>7</v>
      </c>
      <c r="G7" s="14">
        <v>7</v>
      </c>
      <c r="H7" s="14">
        <v>7</v>
      </c>
      <c r="I7" s="14">
        <v>186916.29929999998</v>
      </c>
      <c r="J7" s="14">
        <v>276276.89199999999</v>
      </c>
      <c r="K7" s="14">
        <v>379880.72649999999</v>
      </c>
      <c r="L7" s="14">
        <v>483484.56099999999</v>
      </c>
      <c r="M7" s="14">
        <v>587088.39549999998</v>
      </c>
      <c r="N7" s="14">
        <f t="shared" ref="N7:N22" si="0">D7*I7/1000</f>
        <v>1121.4977957999999</v>
      </c>
      <c r="O7" s="14">
        <f t="shared" ref="O7:O24" si="1">J7*E7/1000</f>
        <v>1933.9382439999999</v>
      </c>
      <c r="P7" s="14">
        <f t="shared" ref="P7:P24" si="2">K7*F7/1000</f>
        <v>2659.1650855000003</v>
      </c>
      <c r="Q7" s="14">
        <f t="shared" ref="Q7:Q24" si="3">L7*G7/1000</f>
        <v>3384.3919270000001</v>
      </c>
      <c r="R7" s="14">
        <f t="shared" ref="R7:R24" si="4">M7*H7/1000</f>
        <v>4109.6187684999995</v>
      </c>
      <c r="S7" s="5"/>
      <c r="T7" s="5"/>
      <c r="U7" s="5"/>
      <c r="V7" s="5"/>
    </row>
    <row r="8" spans="1:22" s="2" customFormat="1" ht="41.45" hidden="1" x14ac:dyDescent="0.25">
      <c r="A8" s="1">
        <v>3</v>
      </c>
      <c r="B8" s="33" t="s">
        <v>29</v>
      </c>
      <c r="C8" s="1" t="s">
        <v>14</v>
      </c>
      <c r="D8" s="14">
        <v>5</v>
      </c>
      <c r="E8" s="14">
        <v>6</v>
      </c>
      <c r="F8" s="14">
        <v>6</v>
      </c>
      <c r="G8" s="14">
        <v>6</v>
      </c>
      <c r="H8" s="14">
        <v>6</v>
      </c>
      <c r="I8" s="14">
        <v>291649.2831</v>
      </c>
      <c r="J8" s="14">
        <v>409729.97599999997</v>
      </c>
      <c r="K8" s="14">
        <v>563378.71699999995</v>
      </c>
      <c r="L8" s="14">
        <v>717027.45799999998</v>
      </c>
      <c r="M8" s="14">
        <v>870676.19899999991</v>
      </c>
      <c r="N8" s="14">
        <f t="shared" si="0"/>
        <v>1458.2464155</v>
      </c>
      <c r="O8" s="14">
        <f t="shared" si="1"/>
        <v>2458.3798559999996</v>
      </c>
      <c r="P8" s="14">
        <f t="shared" si="2"/>
        <v>3380.2723019999999</v>
      </c>
      <c r="Q8" s="14">
        <f t="shared" si="3"/>
        <v>4302.1647479999992</v>
      </c>
      <c r="R8" s="14">
        <f t="shared" si="4"/>
        <v>5224.0571939999991</v>
      </c>
      <c r="S8" s="5"/>
      <c r="T8" s="5"/>
      <c r="U8" s="5"/>
      <c r="V8" s="5"/>
    </row>
    <row r="9" spans="1:22" s="2" customFormat="1" ht="41.45" hidden="1" x14ac:dyDescent="0.25">
      <c r="A9" s="1">
        <v>4</v>
      </c>
      <c r="B9" s="33" t="s">
        <v>28</v>
      </c>
      <c r="C9" s="1" t="s">
        <v>14</v>
      </c>
      <c r="D9" s="14">
        <v>9</v>
      </c>
      <c r="E9" s="14">
        <v>8</v>
      </c>
      <c r="F9" s="14">
        <v>8</v>
      </c>
      <c r="G9" s="14">
        <v>8</v>
      </c>
      <c r="H9" s="14">
        <v>8</v>
      </c>
      <c r="I9" s="14">
        <v>215014.55129999999</v>
      </c>
      <c r="J9" s="14">
        <v>292956.51200000005</v>
      </c>
      <c r="K9" s="14">
        <v>402815.20399999997</v>
      </c>
      <c r="L9" s="14">
        <v>512673.89600000001</v>
      </c>
      <c r="M9" s="14">
        <v>622532.58799999999</v>
      </c>
      <c r="N9" s="14">
        <f t="shared" si="0"/>
        <v>1935.1309616999999</v>
      </c>
      <c r="O9" s="14">
        <f t="shared" si="1"/>
        <v>2343.6520960000003</v>
      </c>
      <c r="P9" s="14">
        <f t="shared" si="2"/>
        <v>3222.521632</v>
      </c>
      <c r="Q9" s="14">
        <f t="shared" si="3"/>
        <v>4101.3911680000001</v>
      </c>
      <c r="R9" s="14">
        <f t="shared" si="4"/>
        <v>4980.2607040000003</v>
      </c>
      <c r="S9" s="5"/>
      <c r="T9" s="5"/>
      <c r="U9" s="5"/>
      <c r="V9" s="5"/>
    </row>
    <row r="10" spans="1:22" s="2" customFormat="1" ht="41.45" hidden="1" x14ac:dyDescent="0.25">
      <c r="A10" s="1">
        <v>5</v>
      </c>
      <c r="B10" s="33" t="s">
        <v>27</v>
      </c>
      <c r="C10" s="1" t="s">
        <v>14</v>
      </c>
      <c r="D10" s="14">
        <v>6</v>
      </c>
      <c r="E10" s="14">
        <v>12</v>
      </c>
      <c r="F10" s="14">
        <v>24</v>
      </c>
      <c r="G10" s="14">
        <v>24</v>
      </c>
      <c r="H10" s="14">
        <v>24</v>
      </c>
      <c r="I10" s="14">
        <v>159679.47149999999</v>
      </c>
      <c r="J10" s="14">
        <v>231793.47200000004</v>
      </c>
      <c r="K10" s="14">
        <v>318716.02400000003</v>
      </c>
      <c r="L10" s="14">
        <v>405638.576</v>
      </c>
      <c r="M10" s="14">
        <v>492561.12800000003</v>
      </c>
      <c r="N10" s="14">
        <f t="shared" si="0"/>
        <v>958.07682899999986</v>
      </c>
      <c r="O10" s="14">
        <f t="shared" si="1"/>
        <v>2781.5216640000003</v>
      </c>
      <c r="P10" s="14">
        <f t="shared" si="2"/>
        <v>7649.1845760000015</v>
      </c>
      <c r="Q10" s="14">
        <f t="shared" si="3"/>
        <v>9735.3258240000014</v>
      </c>
      <c r="R10" s="14">
        <f t="shared" si="4"/>
        <v>11821.467072000001</v>
      </c>
      <c r="S10" s="5"/>
      <c r="T10" s="5"/>
      <c r="U10" s="5"/>
      <c r="V10" s="5"/>
    </row>
    <row r="11" spans="1:22" s="2" customFormat="1" ht="41.45" hidden="1" x14ac:dyDescent="0.25">
      <c r="A11" s="1">
        <v>6</v>
      </c>
      <c r="B11" s="33" t="s">
        <v>24</v>
      </c>
      <c r="C11" s="1" t="s">
        <v>14</v>
      </c>
      <c r="D11" s="14">
        <v>10</v>
      </c>
      <c r="E11" s="14">
        <v>12</v>
      </c>
      <c r="F11" s="14">
        <v>12</v>
      </c>
      <c r="G11" s="14">
        <v>12</v>
      </c>
      <c r="H11" s="14">
        <v>12</v>
      </c>
      <c r="I11" s="14">
        <v>140860.24739999999</v>
      </c>
      <c r="J11" s="14">
        <v>215346.63599999997</v>
      </c>
      <c r="K11" s="14">
        <v>296101.62449999998</v>
      </c>
      <c r="L11" s="14">
        <v>376856.61299999995</v>
      </c>
      <c r="M11" s="14">
        <v>457611.60149999999</v>
      </c>
      <c r="N11" s="14">
        <f t="shared" si="0"/>
        <v>1408.602474</v>
      </c>
      <c r="O11" s="14">
        <f t="shared" si="1"/>
        <v>2584.1596319999999</v>
      </c>
      <c r="P11" s="14">
        <f t="shared" si="2"/>
        <v>3553.2194939999999</v>
      </c>
      <c r="Q11" s="14">
        <f t="shared" si="3"/>
        <v>4522.279356</v>
      </c>
      <c r="R11" s="14">
        <f t="shared" si="4"/>
        <v>5491.3392180000001</v>
      </c>
      <c r="S11" s="5"/>
      <c r="T11" s="5"/>
      <c r="U11" s="5"/>
      <c r="V11" s="5"/>
    </row>
    <row r="12" spans="1:22" s="2" customFormat="1" ht="41.45" hidden="1" x14ac:dyDescent="0.25">
      <c r="A12" s="1">
        <v>7</v>
      </c>
      <c r="B12" s="33" t="s">
        <v>25</v>
      </c>
      <c r="C12" s="1" t="s">
        <v>14</v>
      </c>
      <c r="D12" s="14">
        <v>27</v>
      </c>
      <c r="E12" s="14">
        <v>19</v>
      </c>
      <c r="F12" s="14">
        <v>19</v>
      </c>
      <c r="G12" s="14">
        <v>19</v>
      </c>
      <c r="H12" s="14">
        <v>19</v>
      </c>
      <c r="I12" s="14">
        <v>145056.54689999999</v>
      </c>
      <c r="J12" s="14">
        <v>213543.44</v>
      </c>
      <c r="K12" s="14">
        <v>293622.23</v>
      </c>
      <c r="L12" s="14">
        <v>373701.02</v>
      </c>
      <c r="M12" s="14">
        <v>453779.81</v>
      </c>
      <c r="N12" s="14">
        <f t="shared" si="0"/>
        <v>3916.5267663</v>
      </c>
      <c r="O12" s="14">
        <f t="shared" si="1"/>
        <v>4057.3253599999998</v>
      </c>
      <c r="P12" s="14">
        <f t="shared" si="2"/>
        <v>5578.822369999999</v>
      </c>
      <c r="Q12" s="14">
        <f t="shared" si="3"/>
        <v>7100.3193800000008</v>
      </c>
      <c r="R12" s="14">
        <f t="shared" si="4"/>
        <v>8621.81639</v>
      </c>
      <c r="S12" s="5"/>
      <c r="T12" s="5"/>
      <c r="U12" s="5"/>
      <c r="V12" s="5"/>
    </row>
    <row r="13" spans="1:22" s="2" customFormat="1" ht="41.45" hidden="1" x14ac:dyDescent="0.25">
      <c r="A13" s="1">
        <v>8</v>
      </c>
      <c r="B13" s="33" t="s">
        <v>26</v>
      </c>
      <c r="C13" s="1" t="s">
        <v>14</v>
      </c>
      <c r="D13" s="14">
        <v>36</v>
      </c>
      <c r="E13" s="14">
        <v>53</v>
      </c>
      <c r="F13" s="14">
        <v>78</v>
      </c>
      <c r="G13" s="14">
        <v>78</v>
      </c>
      <c r="H13" s="14">
        <v>78</v>
      </c>
      <c r="I13" s="14">
        <v>119953.4886</v>
      </c>
      <c r="J13" s="14">
        <v>177225.39199999999</v>
      </c>
      <c r="K13" s="14">
        <v>243684.91399999999</v>
      </c>
      <c r="L13" s="14">
        <v>310144.43599999999</v>
      </c>
      <c r="M13" s="14">
        <v>376603.95799999998</v>
      </c>
      <c r="N13" s="14">
        <f t="shared" si="0"/>
        <v>4318.3255895999991</v>
      </c>
      <c r="O13" s="14">
        <f t="shared" si="1"/>
        <v>9392.9457760000005</v>
      </c>
      <c r="P13" s="14">
        <f t="shared" si="2"/>
        <v>19007.423291999999</v>
      </c>
      <c r="Q13" s="14">
        <f t="shared" si="3"/>
        <v>24191.266007999999</v>
      </c>
      <c r="R13" s="14">
        <f t="shared" si="4"/>
        <v>29375.108723999998</v>
      </c>
      <c r="S13" s="5"/>
      <c r="T13" s="5"/>
      <c r="U13" s="5"/>
      <c r="V13" s="5"/>
    </row>
    <row r="14" spans="1:22" s="2" customFormat="1" ht="41.45" hidden="1" x14ac:dyDescent="0.25">
      <c r="A14" s="1">
        <v>9</v>
      </c>
      <c r="B14" s="33" t="s">
        <v>23</v>
      </c>
      <c r="C14" s="1" t="s">
        <v>14</v>
      </c>
      <c r="D14" s="14">
        <v>43</v>
      </c>
      <c r="E14" s="14">
        <v>43</v>
      </c>
      <c r="F14" s="14">
        <v>43</v>
      </c>
      <c r="G14" s="14">
        <v>43</v>
      </c>
      <c r="H14" s="14">
        <v>43</v>
      </c>
      <c r="I14" s="14">
        <v>155656.77929999999</v>
      </c>
      <c r="J14" s="14">
        <v>229367.95600000001</v>
      </c>
      <c r="K14" s="14">
        <v>315380.93949999998</v>
      </c>
      <c r="L14" s="14">
        <v>401393.92300000007</v>
      </c>
      <c r="M14" s="14">
        <v>487406.90649999998</v>
      </c>
      <c r="N14" s="14">
        <f t="shared" si="0"/>
        <v>6693.2415099</v>
      </c>
      <c r="O14" s="14">
        <f t="shared" si="1"/>
        <v>9862.8221080000003</v>
      </c>
      <c r="P14" s="14">
        <f t="shared" si="2"/>
        <v>13561.3803985</v>
      </c>
      <c r="Q14" s="14">
        <f t="shared" si="3"/>
        <v>17259.938689000002</v>
      </c>
      <c r="R14" s="14">
        <f t="shared" si="4"/>
        <v>20958.4969795</v>
      </c>
      <c r="S14" s="5"/>
      <c r="T14" s="5"/>
      <c r="U14" s="5"/>
      <c r="V14" s="5"/>
    </row>
    <row r="15" spans="1:22" s="2" customFormat="1" ht="41.45" hidden="1" x14ac:dyDescent="0.25">
      <c r="A15" s="1">
        <v>10</v>
      </c>
      <c r="B15" s="33" t="s">
        <v>31</v>
      </c>
      <c r="C15" s="1" t="s">
        <v>14</v>
      </c>
      <c r="D15" s="14">
        <v>24</v>
      </c>
      <c r="E15" s="14">
        <v>24</v>
      </c>
      <c r="F15" s="14">
        <v>24</v>
      </c>
      <c r="G15" s="14">
        <v>24</v>
      </c>
      <c r="H15" s="14">
        <v>24</v>
      </c>
      <c r="I15" s="14">
        <v>144564.6096</v>
      </c>
      <c r="J15" s="14">
        <v>212438.89600000001</v>
      </c>
      <c r="K15" s="14">
        <v>292103.48200000002</v>
      </c>
      <c r="L15" s="14">
        <v>371768.06799999997</v>
      </c>
      <c r="M15" s="14">
        <v>451432.65399999998</v>
      </c>
      <c r="N15" s="14">
        <f t="shared" si="0"/>
        <v>3469.5506304</v>
      </c>
      <c r="O15" s="14">
        <f t="shared" si="1"/>
        <v>5098.5335040000009</v>
      </c>
      <c r="P15" s="14">
        <f t="shared" si="2"/>
        <v>7010.4835679999997</v>
      </c>
      <c r="Q15" s="14">
        <f t="shared" si="3"/>
        <v>8922.4336319999984</v>
      </c>
      <c r="R15" s="14">
        <f t="shared" si="4"/>
        <v>10834.383695999999</v>
      </c>
      <c r="S15" s="5"/>
      <c r="T15" s="5"/>
      <c r="U15" s="5"/>
      <c r="V15" s="5"/>
    </row>
    <row r="16" spans="1:22" s="2" customFormat="1" ht="41.45" hidden="1" x14ac:dyDescent="0.25">
      <c r="A16" s="1">
        <v>11</v>
      </c>
      <c r="B16" s="33" t="s">
        <v>35</v>
      </c>
      <c r="C16" s="1" t="s">
        <v>14</v>
      </c>
      <c r="D16" s="14">
        <v>1</v>
      </c>
      <c r="E16" s="14">
        <v>2</v>
      </c>
      <c r="F16" s="14">
        <v>2</v>
      </c>
      <c r="G16" s="14">
        <v>2</v>
      </c>
      <c r="H16" s="14">
        <v>2</v>
      </c>
      <c r="I16" s="14">
        <v>338940</v>
      </c>
      <c r="J16" s="14">
        <v>538447.62</v>
      </c>
      <c r="K16" s="14">
        <v>740365.47750000004</v>
      </c>
      <c r="L16" s="14">
        <v>942283.33499999996</v>
      </c>
      <c r="M16" s="14">
        <v>1144201.1924999999</v>
      </c>
      <c r="N16" s="14">
        <f t="shared" si="0"/>
        <v>338.94</v>
      </c>
      <c r="O16" s="14">
        <f t="shared" si="1"/>
        <v>1076.8952400000001</v>
      </c>
      <c r="P16" s="14">
        <f t="shared" si="2"/>
        <v>1480.730955</v>
      </c>
      <c r="Q16" s="14">
        <f t="shared" si="3"/>
        <v>1884.5666699999999</v>
      </c>
      <c r="R16" s="14">
        <f t="shared" si="4"/>
        <v>2288.4023849999999</v>
      </c>
      <c r="S16" s="5"/>
      <c r="T16" s="5"/>
      <c r="U16" s="5"/>
      <c r="V16" s="5"/>
    </row>
    <row r="17" spans="1:26" s="2" customFormat="1" ht="41.45" hidden="1" x14ac:dyDescent="0.25">
      <c r="A17" s="1">
        <v>12</v>
      </c>
      <c r="B17" s="33" t="s">
        <v>51</v>
      </c>
      <c r="C17" s="1" t="s">
        <v>14</v>
      </c>
      <c r="D17" s="14">
        <v>0</v>
      </c>
      <c r="E17" s="14">
        <v>2</v>
      </c>
      <c r="F17" s="14">
        <v>2</v>
      </c>
      <c r="G17" s="14">
        <v>2</v>
      </c>
      <c r="H17" s="14">
        <v>2</v>
      </c>
      <c r="I17" s="14" t="s">
        <v>58</v>
      </c>
      <c r="J17" s="14">
        <v>483441.52</v>
      </c>
      <c r="K17" s="14">
        <v>664732.09</v>
      </c>
      <c r="L17" s="14">
        <v>846022.66</v>
      </c>
      <c r="M17" s="14">
        <v>1027313.23</v>
      </c>
      <c r="N17" s="14">
        <v>0</v>
      </c>
      <c r="O17" s="14">
        <f t="shared" si="1"/>
        <v>966.88304000000005</v>
      </c>
      <c r="P17" s="14">
        <f t="shared" si="2"/>
        <v>1329.4641799999999</v>
      </c>
      <c r="Q17" s="14">
        <f t="shared" si="3"/>
        <v>1692.0453200000002</v>
      </c>
      <c r="R17" s="14">
        <f t="shared" si="4"/>
        <v>2054.62646</v>
      </c>
      <c r="S17" s="5"/>
      <c r="T17" s="5"/>
      <c r="U17" s="5"/>
      <c r="V17" s="5"/>
    </row>
    <row r="18" spans="1:26" s="2" customFormat="1" ht="41.45" hidden="1" x14ac:dyDescent="0.25">
      <c r="A18" s="1">
        <v>13</v>
      </c>
      <c r="B18" s="33" t="s">
        <v>36</v>
      </c>
      <c r="C18" s="1" t="s">
        <v>14</v>
      </c>
      <c r="D18" s="14">
        <v>7</v>
      </c>
      <c r="E18" s="14">
        <v>15</v>
      </c>
      <c r="F18" s="14">
        <v>17</v>
      </c>
      <c r="G18" s="14">
        <v>19</v>
      </c>
      <c r="H18" s="14">
        <v>19</v>
      </c>
      <c r="I18" s="14">
        <v>169271.39099999997</v>
      </c>
      <c r="J18" s="14">
        <v>217914.76</v>
      </c>
      <c r="K18" s="14">
        <v>299632.79499999998</v>
      </c>
      <c r="L18" s="14">
        <v>381350.83</v>
      </c>
      <c r="M18" s="14">
        <v>463068.86499999999</v>
      </c>
      <c r="N18" s="14">
        <f t="shared" si="0"/>
        <v>1184.8997369999997</v>
      </c>
      <c r="O18" s="14">
        <f t="shared" si="1"/>
        <v>3268.7214000000004</v>
      </c>
      <c r="P18" s="14">
        <f t="shared" si="2"/>
        <v>5093.7575149999993</v>
      </c>
      <c r="Q18" s="14">
        <f t="shared" si="3"/>
        <v>7245.6657700000005</v>
      </c>
      <c r="R18" s="14">
        <f t="shared" si="4"/>
        <v>8798.3084350000008</v>
      </c>
      <c r="S18" s="5"/>
      <c r="T18" s="5"/>
      <c r="U18" s="5"/>
      <c r="V18" s="5"/>
    </row>
    <row r="19" spans="1:26" s="2" customFormat="1" ht="41.45" hidden="1" x14ac:dyDescent="0.25">
      <c r="A19" s="1">
        <v>14</v>
      </c>
      <c r="B19" s="33" t="s">
        <v>37</v>
      </c>
      <c r="C19" s="1" t="s">
        <v>14</v>
      </c>
      <c r="D19" s="14">
        <v>1</v>
      </c>
      <c r="E19" s="14">
        <v>1</v>
      </c>
      <c r="F19" s="14">
        <v>2</v>
      </c>
      <c r="G19" s="14">
        <v>2</v>
      </c>
      <c r="H19" s="14">
        <v>2</v>
      </c>
      <c r="I19" s="14">
        <v>338938.53899999999</v>
      </c>
      <c r="J19" s="14">
        <v>452700.32</v>
      </c>
      <c r="K19" s="14">
        <v>622462.93999999994</v>
      </c>
      <c r="L19" s="14">
        <v>792225.56</v>
      </c>
      <c r="M19" s="14">
        <v>961988.18</v>
      </c>
      <c r="N19" s="14">
        <f t="shared" si="0"/>
        <v>338.93853899999999</v>
      </c>
      <c r="O19" s="14">
        <f t="shared" si="1"/>
        <v>452.70032000000003</v>
      </c>
      <c r="P19" s="14">
        <f t="shared" si="2"/>
        <v>1244.9258799999998</v>
      </c>
      <c r="Q19" s="14">
        <f t="shared" si="3"/>
        <v>1584.4511200000002</v>
      </c>
      <c r="R19" s="14">
        <f t="shared" si="4"/>
        <v>1923.9763600000001</v>
      </c>
      <c r="S19" s="5"/>
      <c r="T19" s="5"/>
      <c r="U19" s="5"/>
      <c r="V19" s="5"/>
    </row>
    <row r="20" spans="1:26" s="2" customFormat="1" ht="41.45" hidden="1" x14ac:dyDescent="0.25">
      <c r="A20" s="1">
        <v>15</v>
      </c>
      <c r="B20" s="33" t="s">
        <v>38</v>
      </c>
      <c r="C20" s="1" t="s">
        <v>14</v>
      </c>
      <c r="D20" s="14">
        <v>2</v>
      </c>
      <c r="E20" s="14">
        <v>2</v>
      </c>
      <c r="F20" s="14">
        <v>3</v>
      </c>
      <c r="G20" s="14">
        <v>5</v>
      </c>
      <c r="H20" s="14">
        <v>5</v>
      </c>
      <c r="I20" s="14">
        <v>276377.43599999999</v>
      </c>
      <c r="J20" s="14">
        <v>368267.848</v>
      </c>
      <c r="K20" s="14">
        <v>506368.29100000003</v>
      </c>
      <c r="L20" s="14">
        <v>644468.73399999994</v>
      </c>
      <c r="M20" s="14">
        <v>782569.17700000003</v>
      </c>
      <c r="N20" s="14">
        <f t="shared" si="0"/>
        <v>552.75487199999998</v>
      </c>
      <c r="O20" s="14">
        <f t="shared" si="1"/>
        <v>736.53569600000003</v>
      </c>
      <c r="P20" s="14">
        <f t="shared" si="2"/>
        <v>1519.1048730000002</v>
      </c>
      <c r="Q20" s="14">
        <f t="shared" si="3"/>
        <v>3222.3436699999997</v>
      </c>
      <c r="R20" s="14">
        <f t="shared" si="4"/>
        <v>3912.8458850000002</v>
      </c>
      <c r="S20" s="5"/>
      <c r="T20" s="5"/>
      <c r="U20" s="5"/>
      <c r="V20" s="5"/>
    </row>
    <row r="21" spans="1:26" s="2" customFormat="1" ht="41.45" hidden="1" x14ac:dyDescent="0.25">
      <c r="A21" s="1">
        <v>16</v>
      </c>
      <c r="B21" s="33" t="s">
        <v>39</v>
      </c>
      <c r="C21" s="1" t="s">
        <v>14</v>
      </c>
      <c r="D21" s="14">
        <v>75</v>
      </c>
      <c r="E21" s="14">
        <v>109</v>
      </c>
      <c r="F21" s="14">
        <v>124</v>
      </c>
      <c r="G21" s="14">
        <v>126</v>
      </c>
      <c r="H21" s="14">
        <v>126</v>
      </c>
      <c r="I21" s="14">
        <v>182311.755</v>
      </c>
      <c r="J21" s="14">
        <v>243681.908</v>
      </c>
      <c r="K21" s="14">
        <v>335062.62349999999</v>
      </c>
      <c r="L21" s="14">
        <v>426443.33899999998</v>
      </c>
      <c r="M21" s="14">
        <v>517824.05450000003</v>
      </c>
      <c r="N21" s="14">
        <f t="shared" si="0"/>
        <v>13673.381625</v>
      </c>
      <c r="O21" s="14">
        <f t="shared" si="1"/>
        <v>26561.327971999999</v>
      </c>
      <c r="P21" s="14">
        <f t="shared" si="2"/>
        <v>41547.765313999997</v>
      </c>
      <c r="Q21" s="14">
        <f t="shared" si="3"/>
        <v>53731.860713999995</v>
      </c>
      <c r="R21" s="14">
        <f t="shared" si="4"/>
        <v>65245.830867000004</v>
      </c>
      <c r="S21" s="5"/>
      <c r="T21" s="5"/>
      <c r="U21" s="5"/>
      <c r="V21" s="5"/>
    </row>
    <row r="22" spans="1:26" s="2" customFormat="1" ht="41.45" hidden="1" x14ac:dyDescent="0.25">
      <c r="A22" s="1">
        <v>17</v>
      </c>
      <c r="B22" s="33" t="s">
        <v>40</v>
      </c>
      <c r="C22" s="1" t="s">
        <v>14</v>
      </c>
      <c r="D22" s="14">
        <v>125</v>
      </c>
      <c r="E22" s="14">
        <v>113</v>
      </c>
      <c r="F22" s="14">
        <v>110</v>
      </c>
      <c r="G22" s="14">
        <v>110</v>
      </c>
      <c r="H22" s="14">
        <v>110</v>
      </c>
      <c r="I22" s="14">
        <v>38355.851999999999</v>
      </c>
      <c r="J22" s="14">
        <v>51196.167999999998</v>
      </c>
      <c r="K22" s="14">
        <v>70394.731</v>
      </c>
      <c r="L22" s="14">
        <v>89593.294000000009</v>
      </c>
      <c r="M22" s="14">
        <v>108791.85699999999</v>
      </c>
      <c r="N22" s="14">
        <f t="shared" si="0"/>
        <v>4794.4814999999999</v>
      </c>
      <c r="O22" s="14">
        <f t="shared" si="1"/>
        <v>5785.1669840000004</v>
      </c>
      <c r="P22" s="14">
        <f t="shared" si="2"/>
        <v>7743.4204099999997</v>
      </c>
      <c r="Q22" s="14">
        <f t="shared" si="3"/>
        <v>9855.2623400000011</v>
      </c>
      <c r="R22" s="14">
        <f t="shared" si="4"/>
        <v>11967.10427</v>
      </c>
      <c r="S22" s="5"/>
      <c r="T22" s="5"/>
      <c r="U22" s="5"/>
      <c r="V22" s="5"/>
    </row>
    <row r="23" spans="1:26" s="2" customFormat="1" ht="41.45" hidden="1" x14ac:dyDescent="0.25">
      <c r="A23" s="1">
        <v>18</v>
      </c>
      <c r="B23" s="33" t="s">
        <v>54</v>
      </c>
      <c r="C23" s="1" t="s">
        <v>14</v>
      </c>
      <c r="D23" s="14">
        <v>0</v>
      </c>
      <c r="E23" s="14">
        <v>94</v>
      </c>
      <c r="F23" s="14">
        <v>94</v>
      </c>
      <c r="G23" s="14">
        <v>94</v>
      </c>
      <c r="H23" s="14">
        <v>94</v>
      </c>
      <c r="I23" s="14" t="s">
        <v>58</v>
      </c>
      <c r="J23" s="14">
        <v>286951.28399999999</v>
      </c>
      <c r="K23" s="14">
        <v>394558.01549999998</v>
      </c>
      <c r="L23" s="14">
        <v>502164.74699999997</v>
      </c>
      <c r="M23" s="14">
        <v>609771.47849999997</v>
      </c>
      <c r="N23" s="14">
        <v>0</v>
      </c>
      <c r="O23" s="14">
        <f t="shared" si="1"/>
        <v>26973.420695999997</v>
      </c>
      <c r="P23" s="14">
        <f t="shared" si="2"/>
        <v>37088.453456999996</v>
      </c>
      <c r="Q23" s="14">
        <f t="shared" si="3"/>
        <v>47203.486217999998</v>
      </c>
      <c r="R23" s="14">
        <f t="shared" si="4"/>
        <v>57318.518978999993</v>
      </c>
      <c r="S23" s="5"/>
      <c r="T23" s="5"/>
      <c r="U23" s="5"/>
      <c r="V23" s="5"/>
    </row>
    <row r="24" spans="1:26" s="2" customFormat="1" ht="27.6" hidden="1" x14ac:dyDescent="0.25">
      <c r="A24" s="1">
        <v>19</v>
      </c>
      <c r="B24" s="33" t="s">
        <v>55</v>
      </c>
      <c r="C24" s="1" t="s">
        <v>14</v>
      </c>
      <c r="D24" s="14">
        <v>0</v>
      </c>
      <c r="E24" s="14">
        <v>156</v>
      </c>
      <c r="F24" s="14">
        <v>156</v>
      </c>
      <c r="G24" s="14">
        <v>156</v>
      </c>
      <c r="H24" s="14">
        <v>156</v>
      </c>
      <c r="I24" s="14" t="s">
        <v>58</v>
      </c>
      <c r="J24" s="14">
        <v>70919.583999999988</v>
      </c>
      <c r="K24" s="14">
        <v>97514.427999999985</v>
      </c>
      <c r="L24" s="14">
        <v>124109.272</v>
      </c>
      <c r="M24" s="14">
        <v>150704.11600000001</v>
      </c>
      <c r="N24" s="14">
        <v>0</v>
      </c>
      <c r="O24" s="14">
        <f t="shared" si="1"/>
        <v>11063.455103999999</v>
      </c>
      <c r="P24" s="14">
        <f t="shared" si="2"/>
        <v>15212.250767999998</v>
      </c>
      <c r="Q24" s="14">
        <f t="shared" si="3"/>
        <v>19361.046431999999</v>
      </c>
      <c r="R24" s="14">
        <f t="shared" si="4"/>
        <v>23509.842096</v>
      </c>
      <c r="S24" s="5"/>
      <c r="T24" s="5"/>
      <c r="U24" s="5"/>
      <c r="V24" s="5"/>
    </row>
    <row r="25" spans="1:26" s="2" customFormat="1" ht="55.15" hidden="1" x14ac:dyDescent="0.25">
      <c r="A25" s="1">
        <v>20</v>
      </c>
      <c r="B25" s="33" t="s">
        <v>48</v>
      </c>
      <c r="C25" s="1" t="s">
        <v>16</v>
      </c>
      <c r="D25" s="14">
        <v>30</v>
      </c>
      <c r="E25" s="14">
        <v>34</v>
      </c>
      <c r="F25" s="14">
        <v>34</v>
      </c>
      <c r="G25" s="14">
        <v>34</v>
      </c>
      <c r="H25" s="14">
        <v>34</v>
      </c>
      <c r="I25" s="14" t="s">
        <v>58</v>
      </c>
      <c r="J25" s="14" t="s">
        <v>58</v>
      </c>
      <c r="K25" s="14" t="s">
        <v>58</v>
      </c>
      <c r="L25" s="14" t="s">
        <v>58</v>
      </c>
      <c r="M25" s="14" t="s">
        <v>58</v>
      </c>
      <c r="N25" s="14">
        <v>5599.6127000000006</v>
      </c>
      <c r="O25" s="14">
        <v>7619.2595600000004</v>
      </c>
      <c r="P25" s="14">
        <v>7924.0299423999995</v>
      </c>
      <c r="Q25" s="14">
        <v>8240.9911400960009</v>
      </c>
      <c r="R25" s="14">
        <v>8570.630785699841</v>
      </c>
      <c r="S25" s="7"/>
      <c r="T25" s="7"/>
      <c r="U25" s="7"/>
      <c r="V25" s="7"/>
      <c r="W25" s="6"/>
      <c r="X25" s="6"/>
      <c r="Y25" s="6"/>
      <c r="Z25" s="6"/>
    </row>
    <row r="26" spans="1:26" s="2" customFormat="1" ht="55.15" hidden="1" x14ac:dyDescent="0.25">
      <c r="A26" s="1">
        <v>21</v>
      </c>
      <c r="B26" s="33" t="s">
        <v>34</v>
      </c>
      <c r="C26" s="1" t="s">
        <v>16</v>
      </c>
      <c r="D26" s="14">
        <v>4</v>
      </c>
      <c r="E26" s="14">
        <v>12</v>
      </c>
      <c r="F26" s="14">
        <v>12</v>
      </c>
      <c r="G26" s="14">
        <v>12</v>
      </c>
      <c r="H26" s="14">
        <v>12</v>
      </c>
      <c r="I26" s="14" t="s">
        <v>58</v>
      </c>
      <c r="J26" s="14" t="s">
        <v>58</v>
      </c>
      <c r="K26" s="14" t="s">
        <v>58</v>
      </c>
      <c r="L26" s="14" t="s">
        <v>58</v>
      </c>
      <c r="M26" s="14" t="s">
        <v>58</v>
      </c>
      <c r="N26" s="14">
        <v>451.72270000000003</v>
      </c>
      <c r="O26" s="14">
        <v>1602.4492</v>
      </c>
      <c r="P26" s="14">
        <v>1666.5471680000001</v>
      </c>
      <c r="Q26" s="14">
        <v>1733.20905472</v>
      </c>
      <c r="R26" s="14">
        <v>1802.5374169088</v>
      </c>
      <c r="S26" s="7"/>
      <c r="T26" s="7"/>
      <c r="U26" s="7"/>
      <c r="V26" s="7"/>
      <c r="W26" s="6"/>
      <c r="X26" s="6"/>
      <c r="Y26" s="6"/>
    </row>
    <row r="27" spans="1:26" s="2" customFormat="1" ht="41.45" hidden="1" x14ac:dyDescent="0.25">
      <c r="A27" s="1">
        <v>22</v>
      </c>
      <c r="B27" s="33" t="s">
        <v>17</v>
      </c>
      <c r="C27" s="1" t="s">
        <v>16</v>
      </c>
      <c r="D27" s="14">
        <v>378</v>
      </c>
      <c r="E27" s="14">
        <v>345</v>
      </c>
      <c r="F27" s="14">
        <v>340</v>
      </c>
      <c r="G27" s="14">
        <v>340</v>
      </c>
      <c r="H27" s="14">
        <v>340</v>
      </c>
      <c r="I27" s="14" t="s">
        <v>58</v>
      </c>
      <c r="J27" s="14" t="s">
        <v>58</v>
      </c>
      <c r="K27" s="14" t="s">
        <v>58</v>
      </c>
      <c r="L27" s="14" t="s">
        <v>58</v>
      </c>
      <c r="M27" s="14" t="s">
        <v>58</v>
      </c>
      <c r="N27" s="14">
        <v>44910.083869999995</v>
      </c>
      <c r="O27" s="14">
        <v>68854.593639999992</v>
      </c>
      <c r="P27" s="14">
        <v>70570.96901769274</v>
      </c>
      <c r="Q27" s="14">
        <v>73393.807778400456</v>
      </c>
      <c r="R27" s="14">
        <v>76329.560089536477</v>
      </c>
      <c r="S27" s="7"/>
      <c r="T27" s="7"/>
      <c r="U27" s="7"/>
      <c r="V27" s="7"/>
      <c r="W27" s="6"/>
      <c r="X27" s="6"/>
      <c r="Y27" s="6"/>
    </row>
    <row r="28" spans="1:26" s="2" customFormat="1" ht="41.45" hidden="1" x14ac:dyDescent="0.25">
      <c r="A28" s="1">
        <v>23</v>
      </c>
      <c r="B28" s="33" t="s">
        <v>42</v>
      </c>
      <c r="C28" s="1" t="s">
        <v>16</v>
      </c>
      <c r="D28" s="14">
        <v>65</v>
      </c>
      <c r="E28" s="14">
        <v>59</v>
      </c>
      <c r="F28" s="14">
        <v>52</v>
      </c>
      <c r="G28" s="14">
        <v>52</v>
      </c>
      <c r="H28" s="14">
        <v>52</v>
      </c>
      <c r="I28" s="14" t="s">
        <v>58</v>
      </c>
      <c r="J28" s="14" t="s">
        <v>58</v>
      </c>
      <c r="K28" s="14" t="s">
        <v>58</v>
      </c>
      <c r="L28" s="14" t="s">
        <v>58</v>
      </c>
      <c r="M28" s="14" t="s">
        <v>58</v>
      </c>
      <c r="N28" s="14">
        <v>7478.7225899999994</v>
      </c>
      <c r="O28" s="14">
        <v>11653.554759999999</v>
      </c>
      <c r="P28" s="14">
        <v>10681.766803742372</v>
      </c>
      <c r="Q28" s="14">
        <v>11109.037475892066</v>
      </c>
      <c r="R28" s="14">
        <v>11553.398974927748</v>
      </c>
      <c r="S28" s="7"/>
      <c r="T28" s="7"/>
      <c r="U28" s="7"/>
      <c r="V28" s="7"/>
      <c r="W28" s="6"/>
      <c r="X28" s="6"/>
      <c r="Y28" s="6"/>
    </row>
    <row r="29" spans="1:26" s="2" customFormat="1" ht="41.45" hidden="1" x14ac:dyDescent="0.25">
      <c r="A29" s="1">
        <v>24</v>
      </c>
      <c r="B29" s="33" t="s">
        <v>18</v>
      </c>
      <c r="C29" s="1" t="s">
        <v>16</v>
      </c>
      <c r="D29" s="14">
        <v>64</v>
      </c>
      <c r="E29" s="14">
        <v>59</v>
      </c>
      <c r="F29" s="14">
        <v>59</v>
      </c>
      <c r="G29" s="14">
        <v>59</v>
      </c>
      <c r="H29" s="14">
        <v>59</v>
      </c>
      <c r="I29" s="14" t="s">
        <v>58</v>
      </c>
      <c r="J29" s="14" t="s">
        <v>58</v>
      </c>
      <c r="K29" s="14" t="s">
        <v>58</v>
      </c>
      <c r="L29" s="14" t="s">
        <v>58</v>
      </c>
      <c r="M29" s="14" t="s">
        <v>58</v>
      </c>
      <c r="N29" s="14">
        <v>8591.1547399999999</v>
      </c>
      <c r="O29" s="14">
        <v>16419.745340000001</v>
      </c>
      <c r="P29" s="14">
        <v>17076.535153600002</v>
      </c>
      <c r="Q29" s="14">
        <v>17759.596559744001</v>
      </c>
      <c r="R29" s="14">
        <v>18469.980422133758</v>
      </c>
      <c r="S29" s="7"/>
      <c r="T29" s="7"/>
      <c r="U29" s="7"/>
      <c r="V29" s="7"/>
      <c r="W29" s="6"/>
      <c r="X29" s="6"/>
      <c r="Y29" s="6"/>
    </row>
    <row r="30" spans="1:26" s="2" customFormat="1" ht="27.6" hidden="1" x14ac:dyDescent="0.25">
      <c r="A30" s="1">
        <v>25</v>
      </c>
      <c r="B30" s="33" t="s">
        <v>49</v>
      </c>
      <c r="C30" s="1" t="s">
        <v>16</v>
      </c>
      <c r="D30" s="14">
        <v>1827</v>
      </c>
      <c r="E30" s="14">
        <v>5</v>
      </c>
      <c r="F30" s="14">
        <v>5</v>
      </c>
      <c r="G30" s="14">
        <v>5</v>
      </c>
      <c r="H30" s="14">
        <v>5</v>
      </c>
      <c r="I30" s="14" t="s">
        <v>58</v>
      </c>
      <c r="J30" s="14" t="s">
        <v>58</v>
      </c>
      <c r="K30" s="14" t="s">
        <v>58</v>
      </c>
      <c r="L30" s="14" t="s">
        <v>58</v>
      </c>
      <c r="M30" s="14" t="s">
        <v>58</v>
      </c>
      <c r="N30" s="14">
        <v>75584.3</v>
      </c>
      <c r="O30" s="14">
        <v>3214.9300000000003</v>
      </c>
      <c r="P30" s="14">
        <v>3343.5272000000004</v>
      </c>
      <c r="Q30" s="14">
        <v>3477.2682880000002</v>
      </c>
      <c r="R30" s="14">
        <v>3616.3590195200004</v>
      </c>
      <c r="S30" s="7"/>
      <c r="T30" s="7"/>
      <c r="U30" s="7"/>
      <c r="V30" s="7"/>
      <c r="W30" s="6"/>
      <c r="X30" s="6"/>
      <c r="Y30" s="6"/>
    </row>
    <row r="31" spans="1:26" s="2" customFormat="1" ht="41.45" hidden="1" x14ac:dyDescent="0.25">
      <c r="A31" s="1">
        <v>26</v>
      </c>
      <c r="B31" s="33" t="s">
        <v>46</v>
      </c>
      <c r="C31" s="1" t="s">
        <v>16</v>
      </c>
      <c r="D31" s="14">
        <v>14</v>
      </c>
      <c r="E31" s="14">
        <v>12</v>
      </c>
      <c r="F31" s="14">
        <v>12</v>
      </c>
      <c r="G31" s="14">
        <v>12</v>
      </c>
      <c r="H31" s="14">
        <v>12</v>
      </c>
      <c r="I31" s="14" t="s">
        <v>58</v>
      </c>
      <c r="J31" s="14" t="s">
        <v>58</v>
      </c>
      <c r="K31" s="14" t="s">
        <v>58</v>
      </c>
      <c r="L31" s="14" t="s">
        <v>58</v>
      </c>
      <c r="M31" s="14" t="s">
        <v>58</v>
      </c>
      <c r="N31" s="14">
        <v>1832.6</v>
      </c>
      <c r="O31" s="14">
        <v>2334.64</v>
      </c>
      <c r="P31" s="14">
        <v>2428.0255999999995</v>
      </c>
      <c r="Q31" s="14">
        <v>2525.146624</v>
      </c>
      <c r="R31" s="14">
        <v>2626.1524889599996</v>
      </c>
      <c r="S31" s="7"/>
      <c r="T31" s="7"/>
      <c r="U31" s="7"/>
      <c r="V31" s="7"/>
      <c r="W31" s="6"/>
      <c r="X31" s="6"/>
      <c r="Y31" s="6"/>
    </row>
    <row r="32" spans="1:26" s="2" customFormat="1" ht="27.6" hidden="1" x14ac:dyDescent="0.25">
      <c r="A32" s="1">
        <v>27</v>
      </c>
      <c r="B32" s="33" t="s">
        <v>43</v>
      </c>
      <c r="C32" s="1" t="s">
        <v>16</v>
      </c>
      <c r="D32" s="14">
        <v>7</v>
      </c>
      <c r="E32" s="14">
        <v>5</v>
      </c>
      <c r="F32" s="14">
        <v>6</v>
      </c>
      <c r="G32" s="14">
        <v>6</v>
      </c>
      <c r="H32" s="14">
        <v>6</v>
      </c>
      <c r="I32" s="14" t="s">
        <v>58</v>
      </c>
      <c r="J32" s="14" t="s">
        <v>58</v>
      </c>
      <c r="K32" s="14" t="s">
        <v>58</v>
      </c>
      <c r="L32" s="14" t="s">
        <v>58</v>
      </c>
      <c r="M32" s="14" t="s">
        <v>58</v>
      </c>
      <c r="N32" s="14">
        <v>6356.97577</v>
      </c>
      <c r="O32" s="14">
        <v>1410.8813</v>
      </c>
      <c r="P32" s="14">
        <v>1760.7798624000002</v>
      </c>
      <c r="Q32" s="14">
        <v>1831.2110568960002</v>
      </c>
      <c r="R32" s="14">
        <v>1904.45949917184</v>
      </c>
      <c r="S32" s="7"/>
      <c r="T32" s="7"/>
      <c r="U32" s="7"/>
      <c r="V32" s="7"/>
      <c r="W32" s="6"/>
      <c r="X32" s="6"/>
      <c r="Y32" s="6"/>
    </row>
    <row r="33" spans="1:25" s="2" customFormat="1" ht="27.6" hidden="1" x14ac:dyDescent="0.25">
      <c r="A33" s="1">
        <v>28</v>
      </c>
      <c r="B33" s="33" t="s">
        <v>44</v>
      </c>
      <c r="C33" s="1" t="s">
        <v>16</v>
      </c>
      <c r="D33" s="14">
        <v>4</v>
      </c>
      <c r="E33" s="14">
        <v>15</v>
      </c>
      <c r="F33" s="14">
        <v>15</v>
      </c>
      <c r="G33" s="14">
        <v>15</v>
      </c>
      <c r="H33" s="14">
        <v>15</v>
      </c>
      <c r="I33" s="14" t="s">
        <v>58</v>
      </c>
      <c r="J33" s="14" t="s">
        <v>58</v>
      </c>
      <c r="K33" s="14" t="s">
        <v>58</v>
      </c>
      <c r="L33" s="14" t="s">
        <v>58</v>
      </c>
      <c r="M33" s="14" t="s">
        <v>58</v>
      </c>
      <c r="N33" s="14">
        <v>163.6</v>
      </c>
      <c r="O33" s="14">
        <v>2530.3454000000002</v>
      </c>
      <c r="P33" s="14">
        <v>2631.5592160000001</v>
      </c>
      <c r="Q33" s="14">
        <v>2736.8215846400003</v>
      </c>
      <c r="R33" s="14">
        <v>2846.2944480256001</v>
      </c>
      <c r="S33" s="7"/>
      <c r="T33" s="7"/>
      <c r="U33" s="7"/>
      <c r="V33" s="7"/>
      <c r="W33" s="6"/>
      <c r="X33" s="6"/>
      <c r="Y33" s="6"/>
    </row>
    <row r="34" spans="1:25" s="2" customFormat="1" ht="27.6" hidden="1" x14ac:dyDescent="0.25">
      <c r="A34" s="1">
        <v>29</v>
      </c>
      <c r="B34" s="33" t="s">
        <v>22</v>
      </c>
      <c r="C34" s="1" t="s">
        <v>16</v>
      </c>
      <c r="D34" s="14">
        <v>274</v>
      </c>
      <c r="E34" s="14">
        <v>347</v>
      </c>
      <c r="F34" s="14">
        <v>345</v>
      </c>
      <c r="G34" s="14">
        <v>345</v>
      </c>
      <c r="H34" s="14">
        <v>345</v>
      </c>
      <c r="I34" s="14" t="s">
        <v>58</v>
      </c>
      <c r="J34" s="14" t="s">
        <v>58</v>
      </c>
      <c r="K34" s="14" t="s">
        <v>58</v>
      </c>
      <c r="L34" s="14" t="s">
        <v>58</v>
      </c>
      <c r="M34" s="14" t="s">
        <v>58</v>
      </c>
      <c r="N34" s="14">
        <v>25146.114999999998</v>
      </c>
      <c r="O34" s="14">
        <v>60442.121549999996</v>
      </c>
      <c r="P34" s="14">
        <v>62497.502052276657</v>
      </c>
      <c r="Q34" s="14">
        <v>64997.402134367723</v>
      </c>
      <c r="R34" s="14">
        <v>67597.298219742428</v>
      </c>
      <c r="S34" s="7"/>
      <c r="T34" s="7"/>
      <c r="U34" s="7"/>
      <c r="V34" s="7"/>
      <c r="W34" s="6"/>
      <c r="X34" s="6"/>
      <c r="Y34" s="6"/>
    </row>
    <row r="35" spans="1:25" s="2" customFormat="1" ht="27.6" hidden="1" x14ac:dyDescent="0.25">
      <c r="A35" s="1">
        <v>30</v>
      </c>
      <c r="B35" s="33" t="s">
        <v>21</v>
      </c>
      <c r="C35" s="1" t="s">
        <v>16</v>
      </c>
      <c r="D35" s="14">
        <v>27</v>
      </c>
      <c r="E35" s="14">
        <v>31</v>
      </c>
      <c r="F35" s="14">
        <v>33</v>
      </c>
      <c r="G35" s="14">
        <v>33</v>
      </c>
      <c r="H35" s="14">
        <v>33</v>
      </c>
      <c r="I35" s="14" t="s">
        <v>58</v>
      </c>
      <c r="J35" s="14" t="s">
        <v>58</v>
      </c>
      <c r="K35" s="14" t="s">
        <v>58</v>
      </c>
      <c r="L35" s="14" t="s">
        <v>58</v>
      </c>
      <c r="M35" s="14" t="s">
        <v>58</v>
      </c>
      <c r="N35" s="14">
        <v>3792.4445999999998</v>
      </c>
      <c r="O35" s="14">
        <v>5643.69679</v>
      </c>
      <c r="P35" s="14">
        <v>6248.1185107354841</v>
      </c>
      <c r="Q35" s="14">
        <v>6498.0432511649033</v>
      </c>
      <c r="R35" s="14">
        <v>6757.9649812114985</v>
      </c>
      <c r="S35" s="7"/>
      <c r="T35" s="7"/>
      <c r="U35" s="7"/>
      <c r="V35" s="7"/>
      <c r="W35" s="6"/>
      <c r="X35" s="6"/>
      <c r="Y35" s="6"/>
    </row>
    <row r="36" spans="1:25" s="2" customFormat="1" ht="27.6" hidden="1" x14ac:dyDescent="0.25">
      <c r="A36" s="1">
        <v>31</v>
      </c>
      <c r="B36" s="33" t="s">
        <v>20</v>
      </c>
      <c r="C36" s="1" t="s">
        <v>16</v>
      </c>
      <c r="D36" s="14">
        <v>40</v>
      </c>
      <c r="E36" s="14">
        <v>56</v>
      </c>
      <c r="F36" s="14">
        <v>56</v>
      </c>
      <c r="G36" s="14">
        <v>56</v>
      </c>
      <c r="H36" s="14">
        <v>56</v>
      </c>
      <c r="I36" s="14" t="s">
        <v>58</v>
      </c>
      <c r="J36" s="14" t="s">
        <v>58</v>
      </c>
      <c r="K36" s="14" t="s">
        <v>58</v>
      </c>
      <c r="L36" s="14" t="s">
        <v>58</v>
      </c>
      <c r="M36" s="14" t="s">
        <v>58</v>
      </c>
      <c r="N36" s="14">
        <v>6257.4646299999995</v>
      </c>
      <c r="O36" s="14">
        <v>10980.761259999999</v>
      </c>
      <c r="P36" s="14">
        <v>11419.9917104</v>
      </c>
      <c r="Q36" s="14">
        <v>11876.791378815999</v>
      </c>
      <c r="R36" s="14">
        <v>12351.863033968639</v>
      </c>
      <c r="S36" s="7"/>
      <c r="T36" s="7"/>
      <c r="U36" s="7"/>
      <c r="V36" s="7"/>
      <c r="W36" s="6"/>
      <c r="X36" s="6"/>
      <c r="Y36" s="6"/>
    </row>
    <row r="37" spans="1:25" s="2" customFormat="1" ht="41.45" hidden="1" x14ac:dyDescent="0.25">
      <c r="A37" s="1">
        <v>32</v>
      </c>
      <c r="B37" s="33" t="s">
        <v>47</v>
      </c>
      <c r="C37" s="1" t="s">
        <v>16</v>
      </c>
      <c r="D37" s="14">
        <v>14</v>
      </c>
      <c r="E37" s="14">
        <v>0</v>
      </c>
      <c r="F37" s="14">
        <v>0</v>
      </c>
      <c r="G37" s="14">
        <v>0</v>
      </c>
      <c r="H37" s="14">
        <v>0</v>
      </c>
      <c r="I37" s="14" t="s">
        <v>58</v>
      </c>
      <c r="J37" s="14" t="s">
        <v>58</v>
      </c>
      <c r="K37" s="14" t="s">
        <v>58</v>
      </c>
      <c r="L37" s="14" t="s">
        <v>58</v>
      </c>
      <c r="M37" s="14" t="s">
        <v>58</v>
      </c>
      <c r="N37" s="14">
        <v>572.6</v>
      </c>
      <c r="O37" s="14">
        <v>0</v>
      </c>
      <c r="P37" s="14">
        <v>0</v>
      </c>
      <c r="Q37" s="14">
        <v>0</v>
      </c>
      <c r="R37" s="14">
        <v>0</v>
      </c>
      <c r="S37" s="7"/>
      <c r="T37" s="7"/>
      <c r="U37" s="7"/>
      <c r="V37" s="7"/>
      <c r="W37" s="6"/>
      <c r="X37" s="6"/>
      <c r="Y37" s="6"/>
    </row>
    <row r="38" spans="1:25" s="2" customFormat="1" ht="55.15" hidden="1" x14ac:dyDescent="0.25">
      <c r="A38" s="1">
        <v>33</v>
      </c>
      <c r="B38" s="33" t="s">
        <v>32</v>
      </c>
      <c r="C38" s="1" t="s">
        <v>16</v>
      </c>
      <c r="D38" s="14">
        <v>4</v>
      </c>
      <c r="E38" s="14">
        <v>0</v>
      </c>
      <c r="F38" s="14">
        <v>0</v>
      </c>
      <c r="G38" s="14">
        <v>0</v>
      </c>
      <c r="H38" s="14">
        <v>0</v>
      </c>
      <c r="I38" s="14" t="s">
        <v>58</v>
      </c>
      <c r="J38" s="14" t="s">
        <v>58</v>
      </c>
      <c r="K38" s="14" t="s">
        <v>58</v>
      </c>
      <c r="L38" s="14" t="s">
        <v>58</v>
      </c>
      <c r="M38" s="14" t="s">
        <v>58</v>
      </c>
      <c r="N38" s="14">
        <v>163.6</v>
      </c>
      <c r="O38" s="14">
        <v>0</v>
      </c>
      <c r="P38" s="14">
        <v>0</v>
      </c>
      <c r="Q38" s="14">
        <v>0</v>
      </c>
      <c r="R38" s="14">
        <v>0</v>
      </c>
      <c r="S38" s="7"/>
      <c r="T38" s="7"/>
      <c r="U38" s="7"/>
      <c r="V38" s="7"/>
      <c r="W38" s="6"/>
      <c r="X38" s="6"/>
      <c r="Y38" s="6"/>
    </row>
    <row r="39" spans="1:25" s="2" customFormat="1" ht="82.9" hidden="1" x14ac:dyDescent="0.25">
      <c r="A39" s="1">
        <v>34</v>
      </c>
      <c r="B39" s="33" t="s">
        <v>52</v>
      </c>
      <c r="C39" s="1" t="s">
        <v>16</v>
      </c>
      <c r="D39" s="14">
        <v>7</v>
      </c>
      <c r="E39" s="14">
        <v>11</v>
      </c>
      <c r="F39" s="14">
        <v>11</v>
      </c>
      <c r="G39" s="14">
        <v>11</v>
      </c>
      <c r="H39" s="14">
        <v>11</v>
      </c>
      <c r="I39" s="14" t="s">
        <v>58</v>
      </c>
      <c r="J39" s="14" t="s">
        <v>58</v>
      </c>
      <c r="K39" s="14" t="s">
        <v>58</v>
      </c>
      <c r="L39" s="14" t="s">
        <v>58</v>
      </c>
      <c r="M39" s="14" t="s">
        <v>58</v>
      </c>
      <c r="N39" s="14">
        <v>1486.3</v>
      </c>
      <c r="O39" s="14">
        <v>6288.2764800000004</v>
      </c>
      <c r="P39" s="14">
        <v>6539.8075392000019</v>
      </c>
      <c r="Q39" s="14">
        <v>6801.3998407680019</v>
      </c>
      <c r="R39" s="14">
        <v>7073.4558343987219</v>
      </c>
      <c r="S39" s="7"/>
      <c r="T39" s="7"/>
      <c r="U39" s="7"/>
      <c r="V39" s="7"/>
      <c r="W39" s="6"/>
      <c r="X39" s="6"/>
      <c r="Y39" s="6"/>
    </row>
    <row r="40" spans="1:25" s="2" customFormat="1" ht="27.6" hidden="1" x14ac:dyDescent="0.25">
      <c r="A40" s="1">
        <v>35</v>
      </c>
      <c r="B40" s="33" t="s">
        <v>15</v>
      </c>
      <c r="C40" s="1" t="s">
        <v>16</v>
      </c>
      <c r="D40" s="14">
        <v>190</v>
      </c>
      <c r="E40" s="14">
        <v>194</v>
      </c>
      <c r="F40" s="14">
        <v>194</v>
      </c>
      <c r="G40" s="14">
        <v>194</v>
      </c>
      <c r="H40" s="14">
        <v>194</v>
      </c>
      <c r="I40" s="14" t="s">
        <v>58</v>
      </c>
      <c r="J40" s="14" t="s">
        <v>58</v>
      </c>
      <c r="K40" s="14" t="s">
        <v>58</v>
      </c>
      <c r="L40" s="14" t="s">
        <v>58</v>
      </c>
      <c r="M40" s="14" t="s">
        <v>58</v>
      </c>
      <c r="N40" s="14">
        <v>30760.555899999999</v>
      </c>
      <c r="O40" s="14">
        <v>43074.041980000002</v>
      </c>
      <c r="P40" s="14">
        <v>44797.003659200003</v>
      </c>
      <c r="Q40" s="14">
        <v>46588.883805568003</v>
      </c>
      <c r="R40" s="14">
        <v>48452.439157790723</v>
      </c>
      <c r="S40" s="7"/>
      <c r="T40" s="7"/>
      <c r="U40" s="7"/>
      <c r="V40" s="7"/>
      <c r="W40" s="6"/>
      <c r="X40" s="6"/>
      <c r="Y40" s="6"/>
    </row>
    <row r="41" spans="1:25" s="2" customFormat="1" ht="41.45" hidden="1" x14ac:dyDescent="0.25">
      <c r="A41" s="1">
        <v>36</v>
      </c>
      <c r="B41" s="33" t="s">
        <v>19</v>
      </c>
      <c r="C41" s="1" t="s">
        <v>16</v>
      </c>
      <c r="D41" s="14">
        <v>65</v>
      </c>
      <c r="E41" s="14">
        <v>84</v>
      </c>
      <c r="F41" s="14">
        <v>81</v>
      </c>
      <c r="G41" s="14">
        <v>81</v>
      </c>
      <c r="H41" s="14">
        <v>81</v>
      </c>
      <c r="I41" s="14" t="s">
        <v>58</v>
      </c>
      <c r="J41" s="14" t="s">
        <v>58</v>
      </c>
      <c r="K41" s="14" t="s">
        <v>58</v>
      </c>
      <c r="L41" s="14" t="s">
        <v>58</v>
      </c>
      <c r="M41" s="14" t="s">
        <v>58</v>
      </c>
      <c r="N41" s="14">
        <v>6483.5103600000002</v>
      </c>
      <c r="O41" s="14">
        <v>23081.58152</v>
      </c>
      <c r="P41" s="14">
        <v>23147.528895771429</v>
      </c>
      <c r="Q41" s="14">
        <v>24073.430051602285</v>
      </c>
      <c r="R41" s="14">
        <v>25036.367253666376</v>
      </c>
      <c r="S41" s="7"/>
      <c r="T41" s="7"/>
      <c r="U41" s="7"/>
      <c r="V41" s="7"/>
      <c r="W41" s="6"/>
      <c r="X41" s="6"/>
      <c r="Y41" s="6"/>
    </row>
    <row r="42" spans="1:25" s="2" customFormat="1" ht="41.45" hidden="1" x14ac:dyDescent="0.25">
      <c r="A42" s="1">
        <v>37</v>
      </c>
      <c r="B42" s="33" t="s">
        <v>45</v>
      </c>
      <c r="C42" s="1" t="s">
        <v>16</v>
      </c>
      <c r="D42" s="14">
        <v>8</v>
      </c>
      <c r="E42" s="14">
        <v>36</v>
      </c>
      <c r="F42" s="14">
        <v>33</v>
      </c>
      <c r="G42" s="14">
        <v>33</v>
      </c>
      <c r="H42" s="14">
        <v>33</v>
      </c>
      <c r="I42" s="14" t="s">
        <v>58</v>
      </c>
      <c r="J42" s="14" t="s">
        <v>58</v>
      </c>
      <c r="K42" s="14" t="s">
        <v>58</v>
      </c>
      <c r="L42" s="14" t="s">
        <v>58</v>
      </c>
      <c r="M42" s="14" t="s">
        <v>58</v>
      </c>
      <c r="N42" s="14">
        <v>1191.22522</v>
      </c>
      <c r="O42" s="14">
        <v>12896.84</v>
      </c>
      <c r="P42" s="14">
        <v>12294.987466666666</v>
      </c>
      <c r="Q42" s="14">
        <v>12786.786965333333</v>
      </c>
      <c r="R42" s="14">
        <v>13298.258443946666</v>
      </c>
      <c r="S42" s="7"/>
      <c r="T42" s="7"/>
      <c r="U42" s="7"/>
      <c r="V42" s="7"/>
      <c r="W42" s="6"/>
      <c r="X42" s="6"/>
      <c r="Y42" s="6"/>
    </row>
    <row r="43" spans="1:25" s="2" customFormat="1" ht="13.9" hidden="1" x14ac:dyDescent="0.25">
      <c r="A43" s="1">
        <v>38</v>
      </c>
      <c r="B43" s="33" t="s">
        <v>33</v>
      </c>
      <c r="C43" s="1" t="s">
        <v>56</v>
      </c>
      <c r="D43" s="14">
        <v>43845.38</v>
      </c>
      <c r="E43" s="14">
        <v>84476</v>
      </c>
      <c r="F43" s="14">
        <v>84476</v>
      </c>
      <c r="G43" s="14">
        <v>84476</v>
      </c>
      <c r="H43" s="14">
        <v>84476</v>
      </c>
      <c r="I43" s="14" t="s">
        <v>58</v>
      </c>
      <c r="J43" s="14" t="s">
        <v>58</v>
      </c>
      <c r="K43" s="14" t="s">
        <v>58</v>
      </c>
      <c r="L43" s="14" t="s">
        <v>58</v>
      </c>
      <c r="M43" s="14" t="s">
        <v>58</v>
      </c>
      <c r="N43" s="14">
        <v>75270.720000000001</v>
      </c>
      <c r="O43" s="14">
        <v>96330.880000000005</v>
      </c>
      <c r="P43" s="14">
        <v>129921.3</v>
      </c>
      <c r="Q43" s="14">
        <v>104015.7</v>
      </c>
      <c r="R43" s="14">
        <v>108176.33</v>
      </c>
      <c r="S43" s="7"/>
      <c r="T43" s="7"/>
      <c r="U43" s="7"/>
      <c r="V43" s="7"/>
      <c r="W43" s="6"/>
      <c r="X43" s="6"/>
      <c r="Y43" s="6"/>
    </row>
    <row r="44" spans="1:25" s="2" customFormat="1" ht="13.9" hidden="1" x14ac:dyDescent="0.25">
      <c r="A44" s="153">
        <v>39</v>
      </c>
      <c r="B44" s="151" t="s">
        <v>41</v>
      </c>
      <c r="C44" s="1" t="s">
        <v>14</v>
      </c>
      <c r="D44" s="14">
        <v>90</v>
      </c>
      <c r="E44" s="14">
        <v>183</v>
      </c>
      <c r="F44" s="14">
        <v>169</v>
      </c>
      <c r="G44" s="14">
        <v>167</v>
      </c>
      <c r="H44" s="14">
        <v>167</v>
      </c>
      <c r="I44" s="14" t="s">
        <v>58</v>
      </c>
      <c r="J44" s="14" t="s">
        <v>58</v>
      </c>
      <c r="K44" s="14" t="s">
        <v>58</v>
      </c>
      <c r="L44" s="14" t="s">
        <v>58</v>
      </c>
      <c r="M44" s="14" t="s">
        <v>58</v>
      </c>
      <c r="N44" s="14">
        <v>0</v>
      </c>
      <c r="O44" s="14">
        <v>693</v>
      </c>
      <c r="P44" s="14">
        <v>720.72</v>
      </c>
      <c r="Q44" s="14">
        <v>749.54880000000003</v>
      </c>
      <c r="R44" s="14">
        <v>779.53075200000001</v>
      </c>
      <c r="S44" s="7"/>
      <c r="T44" s="7"/>
      <c r="U44" s="7"/>
      <c r="V44" s="7"/>
      <c r="W44" s="6"/>
      <c r="X44" s="6"/>
      <c r="Y44" s="6"/>
    </row>
    <row r="45" spans="1:25" s="2" customFormat="1" ht="13.9" hidden="1" x14ac:dyDescent="0.25">
      <c r="A45" s="154"/>
      <c r="B45" s="152"/>
      <c r="C45" s="1" t="s">
        <v>57</v>
      </c>
      <c r="D45" s="14">
        <v>81</v>
      </c>
      <c r="E45" s="14">
        <v>203</v>
      </c>
      <c r="F45" s="14">
        <v>203</v>
      </c>
      <c r="G45" s="14">
        <v>203</v>
      </c>
      <c r="H45" s="14">
        <v>203</v>
      </c>
      <c r="I45" s="14" t="s">
        <v>58</v>
      </c>
      <c r="J45" s="14" t="s">
        <v>58</v>
      </c>
      <c r="K45" s="14" t="s">
        <v>58</v>
      </c>
      <c r="L45" s="14" t="s">
        <v>58</v>
      </c>
      <c r="M45" s="14" t="s">
        <v>58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7"/>
      <c r="T45" s="7"/>
      <c r="U45" s="7"/>
      <c r="V45" s="7"/>
      <c r="W45" s="6"/>
      <c r="X45" s="6"/>
      <c r="Y45" s="6"/>
    </row>
    <row r="46" spans="1:25" s="2" customFormat="1" ht="55.15" hidden="1" x14ac:dyDescent="0.25">
      <c r="A46" s="1">
        <v>40</v>
      </c>
      <c r="B46" s="33" t="s">
        <v>50</v>
      </c>
      <c r="C46" s="1" t="s">
        <v>16</v>
      </c>
      <c r="D46" s="14">
        <v>2</v>
      </c>
      <c r="E46" s="14">
        <v>2</v>
      </c>
      <c r="F46" s="14">
        <v>2</v>
      </c>
      <c r="G46" s="14">
        <v>2</v>
      </c>
      <c r="H46" s="14">
        <v>2</v>
      </c>
      <c r="I46" s="14" t="s">
        <v>58</v>
      </c>
      <c r="J46" s="14" t="s">
        <v>58</v>
      </c>
      <c r="K46" s="14" t="s">
        <v>58</v>
      </c>
      <c r="L46" s="14" t="s">
        <v>58</v>
      </c>
      <c r="M46" s="14" t="s">
        <v>58</v>
      </c>
      <c r="N46" s="14">
        <v>245.73</v>
      </c>
      <c r="O46" s="14">
        <v>300.2398</v>
      </c>
      <c r="P46" s="14">
        <v>312.249392</v>
      </c>
      <c r="Q46" s="14">
        <v>324.73936767999999</v>
      </c>
      <c r="R46" s="14">
        <v>337.72894238719999</v>
      </c>
      <c r="S46" s="7"/>
      <c r="T46" s="7"/>
      <c r="U46" s="7"/>
      <c r="V46" s="7"/>
      <c r="W46" s="6"/>
      <c r="X46" s="6"/>
      <c r="Y46" s="6"/>
    </row>
    <row r="47" spans="1:25" s="2" customFormat="1" ht="55.15" hidden="1" x14ac:dyDescent="0.25">
      <c r="A47" s="1">
        <v>41</v>
      </c>
      <c r="B47" s="33" t="s">
        <v>53</v>
      </c>
      <c r="C47" s="1" t="s">
        <v>16</v>
      </c>
      <c r="D47" s="14">
        <v>0</v>
      </c>
      <c r="E47" s="14">
        <v>4</v>
      </c>
      <c r="F47" s="14">
        <v>2</v>
      </c>
      <c r="G47" s="14">
        <v>3</v>
      </c>
      <c r="H47" s="14">
        <v>3</v>
      </c>
      <c r="I47" s="14" t="s">
        <v>58</v>
      </c>
      <c r="J47" s="14" t="s">
        <v>58</v>
      </c>
      <c r="K47" s="14" t="s">
        <v>58</v>
      </c>
      <c r="L47" s="14" t="s">
        <v>58</v>
      </c>
      <c r="M47" s="14" t="s">
        <v>58</v>
      </c>
      <c r="N47" s="14">
        <v>0</v>
      </c>
      <c r="O47" s="14">
        <v>1920</v>
      </c>
      <c r="P47" s="14">
        <v>998.4</v>
      </c>
      <c r="Q47" s="14">
        <v>1557.5039999999999</v>
      </c>
      <c r="R47" s="14">
        <v>1619.8041599999999</v>
      </c>
      <c r="S47" s="7"/>
      <c r="T47" s="7"/>
      <c r="U47" s="7"/>
      <c r="V47" s="7"/>
      <c r="W47" s="6"/>
      <c r="X47" s="6"/>
      <c r="Y47" s="6"/>
    </row>
    <row r="48" spans="1:25" s="2" customFormat="1" ht="14.45" hidden="1" x14ac:dyDescent="0.3">
      <c r="A48" s="30"/>
      <c r="B48" s="10" t="s">
        <v>0</v>
      </c>
      <c r="C48" s="3" t="s">
        <v>8</v>
      </c>
      <c r="D48" s="3" t="s">
        <v>8</v>
      </c>
      <c r="E48" s="3" t="s">
        <v>8</v>
      </c>
      <c r="F48" s="3" t="s">
        <v>8</v>
      </c>
      <c r="G48" s="3" t="s">
        <v>8</v>
      </c>
      <c r="H48" s="3" t="s">
        <v>8</v>
      </c>
      <c r="I48" s="3" t="s">
        <v>8</v>
      </c>
      <c r="J48" s="3" t="s">
        <v>8</v>
      </c>
      <c r="K48" s="3" t="s">
        <v>8</v>
      </c>
      <c r="L48" s="3" t="s">
        <v>8</v>
      </c>
      <c r="M48" s="3" t="s">
        <v>8</v>
      </c>
      <c r="N48" s="51">
        <f>SUM(N6:N47)</f>
        <v>348687.44336160005</v>
      </c>
      <c r="O48" s="51">
        <f>SUM(O6:O47)</f>
        <v>495706.70668</v>
      </c>
      <c r="P48" s="51">
        <f>SUM(P6:P47)</f>
        <v>596261.35994608537</v>
      </c>
      <c r="Q48" s="51">
        <f>SUM(Q6:Q47)</f>
        <v>634156.40410768881</v>
      </c>
      <c r="R48" s="51">
        <f>SUM(R6:R47)</f>
        <v>699796.44564899639</v>
      </c>
      <c r="S48" s="5"/>
    </row>
    <row r="49" spans="1:19" s="2" customFormat="1" ht="13.9" hidden="1" x14ac:dyDescent="0.25">
      <c r="A49" s="140" t="s">
        <v>60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</row>
    <row r="50" spans="1:19" s="2" customFormat="1" ht="110.45" hidden="1" x14ac:dyDescent="0.25">
      <c r="A50" s="1">
        <v>1</v>
      </c>
      <c r="B50" s="33" t="s">
        <v>275</v>
      </c>
      <c r="C50" s="1" t="s">
        <v>61</v>
      </c>
      <c r="D50" s="14">
        <v>10</v>
      </c>
      <c r="E50" s="14">
        <v>23</v>
      </c>
      <c r="F50" s="14">
        <v>22</v>
      </c>
      <c r="G50" s="14">
        <v>22</v>
      </c>
      <c r="H50" s="14">
        <v>22</v>
      </c>
      <c r="I50" s="14"/>
      <c r="J50" s="14"/>
      <c r="K50" s="14"/>
      <c r="L50" s="14"/>
      <c r="M50" s="14"/>
      <c r="N50" s="14">
        <v>9465.5</v>
      </c>
      <c r="O50" s="14">
        <v>13057.7</v>
      </c>
      <c r="P50" s="14">
        <v>13000</v>
      </c>
      <c r="Q50" s="14">
        <v>13500</v>
      </c>
      <c r="R50" s="14">
        <v>14000</v>
      </c>
      <c r="S50" s="6"/>
    </row>
    <row r="51" spans="1:19" s="2" customFormat="1" ht="82.9" hidden="1" x14ac:dyDescent="0.25">
      <c r="A51" s="1">
        <v>2</v>
      </c>
      <c r="B51" s="33" t="s">
        <v>274</v>
      </c>
      <c r="C51" s="1" t="s">
        <v>61</v>
      </c>
      <c r="D51" s="14">
        <v>20</v>
      </c>
      <c r="E51" s="14">
        <v>15</v>
      </c>
      <c r="F51" s="14">
        <v>5</v>
      </c>
      <c r="G51" s="14">
        <v>5</v>
      </c>
      <c r="H51" s="14">
        <v>5</v>
      </c>
      <c r="I51" s="14"/>
      <c r="J51" s="14"/>
      <c r="K51" s="14"/>
      <c r="L51" s="14"/>
      <c r="M51" s="14"/>
      <c r="N51" s="14">
        <v>8930.7000000000007</v>
      </c>
      <c r="O51" s="14">
        <v>11583.442999999999</v>
      </c>
      <c r="P51" s="14">
        <v>10000</v>
      </c>
      <c r="Q51" s="14">
        <v>10000</v>
      </c>
      <c r="R51" s="14">
        <v>10000</v>
      </c>
    </row>
    <row r="52" spans="1:19" s="2" customFormat="1" ht="82.9" hidden="1" x14ac:dyDescent="0.25">
      <c r="A52" s="1">
        <v>3</v>
      </c>
      <c r="B52" s="33" t="s">
        <v>273</v>
      </c>
      <c r="C52" s="1" t="s">
        <v>61</v>
      </c>
      <c r="D52" s="14">
        <v>30</v>
      </c>
      <c r="E52" s="14">
        <v>33</v>
      </c>
      <c r="F52" s="14">
        <v>32</v>
      </c>
      <c r="G52" s="14">
        <v>32</v>
      </c>
      <c r="H52" s="14">
        <v>32</v>
      </c>
      <c r="I52" s="14"/>
      <c r="J52" s="14"/>
      <c r="K52" s="14"/>
      <c r="L52" s="14"/>
      <c r="M52" s="14"/>
      <c r="N52" s="14">
        <v>25317</v>
      </c>
      <c r="O52" s="14">
        <v>29056.857</v>
      </c>
      <c r="P52" s="14">
        <v>23300</v>
      </c>
      <c r="Q52" s="14">
        <v>27170</v>
      </c>
      <c r="R52" s="14">
        <v>27200</v>
      </c>
    </row>
    <row r="53" spans="1:19" s="2" customFormat="1" ht="69" hidden="1" x14ac:dyDescent="0.25">
      <c r="A53" s="1">
        <v>4</v>
      </c>
      <c r="B53" s="33" t="s">
        <v>272</v>
      </c>
      <c r="C53" s="1" t="s">
        <v>61</v>
      </c>
      <c r="D53" s="14">
        <v>6</v>
      </c>
      <c r="E53" s="14">
        <v>16</v>
      </c>
      <c r="F53" s="14">
        <v>4</v>
      </c>
      <c r="G53" s="14">
        <v>4</v>
      </c>
      <c r="H53" s="14">
        <v>4</v>
      </c>
      <c r="I53" s="14"/>
      <c r="J53" s="14"/>
      <c r="K53" s="14"/>
      <c r="L53" s="14"/>
      <c r="M53" s="14"/>
      <c r="N53" s="14">
        <v>25650</v>
      </c>
      <c r="O53" s="14">
        <v>18008</v>
      </c>
      <c r="P53" s="14">
        <v>14500</v>
      </c>
      <c r="Q53" s="14">
        <v>15000</v>
      </c>
      <c r="R53" s="14">
        <v>15000</v>
      </c>
    </row>
    <row r="54" spans="1:19" s="2" customFormat="1" ht="13.9" hidden="1" x14ac:dyDescent="0.25">
      <c r="A54" s="9"/>
      <c r="B54" s="10" t="s">
        <v>0</v>
      </c>
      <c r="C54" s="3"/>
      <c r="D54" s="11" t="s">
        <v>8</v>
      </c>
      <c r="E54" s="11" t="s">
        <v>8</v>
      </c>
      <c r="F54" s="11" t="s">
        <v>8</v>
      </c>
      <c r="G54" s="11" t="s">
        <v>8</v>
      </c>
      <c r="H54" s="11" t="s">
        <v>8</v>
      </c>
      <c r="I54" s="11" t="s">
        <v>8</v>
      </c>
      <c r="J54" s="11" t="s">
        <v>8</v>
      </c>
      <c r="K54" s="11" t="s">
        <v>8</v>
      </c>
      <c r="L54" s="11" t="s">
        <v>8</v>
      </c>
      <c r="M54" s="11" t="s">
        <v>8</v>
      </c>
      <c r="N54" s="51">
        <f>N50+N51+N52+N53</f>
        <v>69363.199999999997</v>
      </c>
      <c r="O54" s="51">
        <f>O50+O51+O52+O53</f>
        <v>71706</v>
      </c>
      <c r="P54" s="51">
        <f>P50+P51+P52+P53</f>
        <v>60800</v>
      </c>
      <c r="Q54" s="51">
        <f>Q50+Q51+Q52+Q53</f>
        <v>65670</v>
      </c>
      <c r="R54" s="51">
        <f>R50+R51+R52+R53</f>
        <v>66200</v>
      </c>
    </row>
    <row r="55" spans="1:19" s="2" customFormat="1" ht="13.9" hidden="1" x14ac:dyDescent="0.25">
      <c r="A55" s="150" t="s">
        <v>62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</row>
    <row r="56" spans="1:19" s="2" customFormat="1" ht="55.15" hidden="1" x14ac:dyDescent="0.25">
      <c r="A56" s="28">
        <v>1</v>
      </c>
      <c r="B56" s="42" t="s">
        <v>63</v>
      </c>
      <c r="C56" s="28" t="s">
        <v>14</v>
      </c>
      <c r="D56" s="49">
        <v>3401</v>
      </c>
      <c r="E56" s="14">
        <v>3429</v>
      </c>
      <c r="F56" s="14">
        <v>3383</v>
      </c>
      <c r="G56" s="14">
        <v>3383</v>
      </c>
      <c r="H56" s="14">
        <v>3383</v>
      </c>
      <c r="I56" s="14">
        <v>85290</v>
      </c>
      <c r="J56" s="14">
        <v>90000</v>
      </c>
      <c r="K56" s="14">
        <v>93600</v>
      </c>
      <c r="L56" s="14">
        <v>97344</v>
      </c>
      <c r="M56" s="14">
        <f>L56*1.06</f>
        <v>103184.64</v>
      </c>
      <c r="N56" s="49">
        <v>350520.4</v>
      </c>
      <c r="O56" s="14">
        <v>345337.4</v>
      </c>
      <c r="P56" s="14">
        <f>ROUND(1.0758*O56,0)</f>
        <v>371514</v>
      </c>
      <c r="Q56" s="14">
        <f>ROUND(1.050797*P56,0)</f>
        <v>390386</v>
      </c>
      <c r="R56" s="14">
        <f>ROUND(1.06*Q56,0)</f>
        <v>413809</v>
      </c>
    </row>
    <row r="57" spans="1:19" s="2" customFormat="1" ht="55.15" hidden="1" x14ac:dyDescent="0.25">
      <c r="A57" s="28">
        <v>2</v>
      </c>
      <c r="B57" s="42" t="s">
        <v>64</v>
      </c>
      <c r="C57" s="28" t="s">
        <v>14</v>
      </c>
      <c r="D57" s="49">
        <f>7823+920+469</f>
        <v>9212</v>
      </c>
      <c r="E57" s="14">
        <v>9709</v>
      </c>
      <c r="F57" s="14">
        <f>8396+1150+446</f>
        <v>9992</v>
      </c>
      <c r="G57" s="14">
        <f>8396+1150+446</f>
        <v>9992</v>
      </c>
      <c r="H57" s="14">
        <f>8396+1150+446</f>
        <v>9992</v>
      </c>
      <c r="I57" s="14">
        <v>86330</v>
      </c>
      <c r="J57" s="14">
        <v>91500</v>
      </c>
      <c r="K57" s="14">
        <v>95200</v>
      </c>
      <c r="L57" s="14">
        <v>99008</v>
      </c>
      <c r="M57" s="14">
        <f>L57*1.06</f>
        <v>104948.48000000001</v>
      </c>
      <c r="N57" s="49">
        <f>1358829.8-N56-N58-N59+119912.3</f>
        <v>1035867.04</v>
      </c>
      <c r="O57" s="49">
        <f>1467230.2-O56-O58-O59+151939.2</f>
        <v>1172173.1999999997</v>
      </c>
      <c r="P57" s="49">
        <f>1578517.8-P56-P58-P59</f>
        <v>1101171.7</v>
      </c>
      <c r="Q57" s="49">
        <f>1658701.2-Q56-Q58-Q59+158016.7</f>
        <v>1315540.0359999998</v>
      </c>
      <c r="R57" s="49">
        <f>1758223.3-R56-R58-R59+172285.77</f>
        <v>1399260.6141600001</v>
      </c>
    </row>
    <row r="58" spans="1:19" s="2" customFormat="1" ht="55.15" hidden="1" x14ac:dyDescent="0.25">
      <c r="A58" s="28">
        <v>3</v>
      </c>
      <c r="B58" s="42" t="s">
        <v>65</v>
      </c>
      <c r="C58" s="28" t="s">
        <v>14</v>
      </c>
      <c r="D58" s="49">
        <f>949+119</f>
        <v>1068</v>
      </c>
      <c r="E58" s="14">
        <v>1068</v>
      </c>
      <c r="F58" s="14">
        <f>912+99</f>
        <v>1011</v>
      </c>
      <c r="G58" s="14">
        <f>912+99</f>
        <v>1011</v>
      </c>
      <c r="H58" s="14">
        <f>912+99</f>
        <v>1011</v>
      </c>
      <c r="I58" s="14">
        <v>34520</v>
      </c>
      <c r="J58" s="14">
        <v>36600</v>
      </c>
      <c r="K58" s="14">
        <v>38100</v>
      </c>
      <c r="L58" s="14">
        <v>39624</v>
      </c>
      <c r="M58" s="14">
        <f>L58*1.06</f>
        <v>42001.440000000002</v>
      </c>
      <c r="N58" s="49">
        <f>D58*I58/1000</f>
        <v>36867.360000000001</v>
      </c>
      <c r="O58" s="49">
        <f>E58*J58/1000</f>
        <v>39088.800000000003</v>
      </c>
      <c r="P58" s="49">
        <f>F58*K58/1000</f>
        <v>38519.1</v>
      </c>
      <c r="Q58" s="49">
        <f>G58*L58/1000</f>
        <v>40059.864000000001</v>
      </c>
      <c r="R58" s="49">
        <f>H58*M58/1000</f>
        <v>42463.455840000002</v>
      </c>
    </row>
    <row r="59" spans="1:19" s="2" customFormat="1" ht="69" hidden="1" x14ac:dyDescent="0.25">
      <c r="A59" s="28">
        <v>4</v>
      </c>
      <c r="B59" s="42" t="s">
        <v>66</v>
      </c>
      <c r="C59" s="28" t="s">
        <v>67</v>
      </c>
      <c r="D59" s="49">
        <f>226800</f>
        <v>226800</v>
      </c>
      <c r="E59" s="14">
        <f>237600</f>
        <v>237600</v>
      </c>
      <c r="F59" s="14">
        <f>272700</f>
        <v>272700</v>
      </c>
      <c r="G59" s="14">
        <f>272700</f>
        <v>272700</v>
      </c>
      <c r="H59" s="14">
        <f>272700</f>
        <v>272700</v>
      </c>
      <c r="I59" s="14">
        <v>184</v>
      </c>
      <c r="J59" s="14">
        <v>197</v>
      </c>
      <c r="K59" s="14">
        <v>200</v>
      </c>
      <c r="L59" s="14">
        <v>208</v>
      </c>
      <c r="M59" s="14">
        <v>220</v>
      </c>
      <c r="N59" s="49">
        <v>55487.3</v>
      </c>
      <c r="O59" s="14">
        <v>62570</v>
      </c>
      <c r="P59" s="14">
        <f>ROUND(1.0758*O59,0)</f>
        <v>67313</v>
      </c>
      <c r="Q59" s="14">
        <f>ROUND(1.050797*P59,0)</f>
        <v>70732</v>
      </c>
      <c r="R59" s="14">
        <f>ROUND(1.06*Q59,0)</f>
        <v>74976</v>
      </c>
    </row>
    <row r="60" spans="1:19" s="2" customFormat="1" ht="69" hidden="1" x14ac:dyDescent="0.25">
      <c r="A60" s="28">
        <v>5</v>
      </c>
      <c r="B60" s="42" t="s">
        <v>66</v>
      </c>
      <c r="C60" s="28" t="s">
        <v>67</v>
      </c>
      <c r="D60" s="49">
        <f>72866</f>
        <v>72866</v>
      </c>
      <c r="E60" s="14">
        <f>75634</f>
        <v>75634</v>
      </c>
      <c r="F60" s="14">
        <f>81356</f>
        <v>81356</v>
      </c>
      <c r="G60" s="14">
        <f>81356</f>
        <v>81356</v>
      </c>
      <c r="H60" s="14">
        <f>81356</f>
        <v>81356</v>
      </c>
      <c r="I60" s="14">
        <v>809.3</v>
      </c>
      <c r="J60" s="14">
        <v>820</v>
      </c>
      <c r="K60" s="14">
        <v>860</v>
      </c>
      <c r="L60" s="14">
        <v>900</v>
      </c>
      <c r="M60" s="14">
        <v>950</v>
      </c>
      <c r="N60" s="49">
        <f>D60*I60/1000</f>
        <v>58970.453799999996</v>
      </c>
      <c r="O60" s="49">
        <f>E60*J60/1000</f>
        <v>62019.88</v>
      </c>
      <c r="P60" s="49">
        <f>F60*K60/1000</f>
        <v>69966.16</v>
      </c>
      <c r="Q60" s="49">
        <f>G60*L60/1000</f>
        <v>73220.399999999994</v>
      </c>
      <c r="R60" s="49">
        <f>H60*M60/1000</f>
        <v>77288.2</v>
      </c>
    </row>
    <row r="61" spans="1:19" s="2" customFormat="1" ht="41.45" hidden="1" x14ac:dyDescent="0.25">
      <c r="A61" s="28">
        <v>6</v>
      </c>
      <c r="B61" s="42" t="s">
        <v>68</v>
      </c>
      <c r="C61" s="28" t="s">
        <v>14</v>
      </c>
      <c r="D61" s="49">
        <f>696+1558</f>
        <v>2254</v>
      </c>
      <c r="E61" s="14">
        <v>2336</v>
      </c>
      <c r="F61" s="14">
        <f>778+1716</f>
        <v>2494</v>
      </c>
      <c r="G61" s="14">
        <f>778+1716</f>
        <v>2494</v>
      </c>
      <c r="H61" s="14">
        <f>778+1716</f>
        <v>2494</v>
      </c>
      <c r="I61" s="14">
        <v>146890</v>
      </c>
      <c r="J61" s="14">
        <v>155820</v>
      </c>
      <c r="K61" s="14">
        <v>162100</v>
      </c>
      <c r="L61" s="14">
        <v>168584</v>
      </c>
      <c r="M61" s="14">
        <v>178700</v>
      </c>
      <c r="N61" s="49">
        <v>331090.06</v>
      </c>
      <c r="O61" s="49">
        <v>363995.52</v>
      </c>
      <c r="P61" s="49">
        <v>404277.4</v>
      </c>
      <c r="Q61" s="49">
        <v>420448.49599999998</v>
      </c>
      <c r="R61" s="49">
        <v>445677.8</v>
      </c>
    </row>
    <row r="62" spans="1:19" s="2" customFormat="1" ht="41.45" hidden="1" x14ac:dyDescent="0.25">
      <c r="A62" s="28">
        <v>7</v>
      </c>
      <c r="B62" s="42" t="s">
        <v>69</v>
      </c>
      <c r="C62" s="28" t="s">
        <v>14</v>
      </c>
      <c r="D62" s="49">
        <v>18</v>
      </c>
      <c r="E62" s="14">
        <v>28</v>
      </c>
      <c r="F62" s="14">
        <v>58</v>
      </c>
      <c r="G62" s="14">
        <v>59</v>
      </c>
      <c r="H62" s="14">
        <v>60</v>
      </c>
      <c r="I62" s="14">
        <v>73450</v>
      </c>
      <c r="J62" s="14">
        <v>77910</v>
      </c>
      <c r="K62" s="14">
        <v>81050</v>
      </c>
      <c r="L62" s="14">
        <v>84300</v>
      </c>
      <c r="M62" s="14">
        <v>89350</v>
      </c>
      <c r="N62" s="49">
        <v>1322.1</v>
      </c>
      <c r="O62" s="49">
        <v>2181.48</v>
      </c>
      <c r="P62" s="49">
        <v>4700.8999999999996</v>
      </c>
      <c r="Q62" s="49">
        <v>4973.7</v>
      </c>
      <c r="R62" s="49">
        <v>5361</v>
      </c>
    </row>
    <row r="63" spans="1:19" s="2" customFormat="1" ht="41.45" hidden="1" x14ac:dyDescent="0.25">
      <c r="A63" s="28">
        <v>8</v>
      </c>
      <c r="B63" s="42" t="s">
        <v>70</v>
      </c>
      <c r="C63" s="28" t="s">
        <v>14</v>
      </c>
      <c r="D63" s="49">
        <f>158+875</f>
        <v>1033</v>
      </c>
      <c r="E63" s="14">
        <v>1016</v>
      </c>
      <c r="F63" s="14">
        <f>194+869</f>
        <v>1063</v>
      </c>
      <c r="G63" s="14">
        <f>194+869</f>
        <v>1063</v>
      </c>
      <c r="H63" s="14">
        <f>194+869</f>
        <v>1063</v>
      </c>
      <c r="I63" s="14">
        <v>58760</v>
      </c>
      <c r="J63" s="14">
        <v>62330</v>
      </c>
      <c r="K63" s="14">
        <v>64800</v>
      </c>
      <c r="L63" s="14">
        <v>67400</v>
      </c>
      <c r="M63" s="14">
        <v>71500</v>
      </c>
      <c r="N63" s="49">
        <v>60699.08</v>
      </c>
      <c r="O63" s="49">
        <v>63327.28</v>
      </c>
      <c r="P63" s="49">
        <v>68882.399999999994</v>
      </c>
      <c r="Q63" s="49">
        <v>71646.2</v>
      </c>
      <c r="R63" s="49">
        <v>76004.5</v>
      </c>
    </row>
    <row r="64" spans="1:19" s="2" customFormat="1" ht="41.45" hidden="1" x14ac:dyDescent="0.25">
      <c r="A64" s="28">
        <v>9</v>
      </c>
      <c r="B64" s="42" t="s">
        <v>71</v>
      </c>
      <c r="C64" s="28" t="s">
        <v>14</v>
      </c>
      <c r="D64" s="49">
        <f>53+210</f>
        <v>263</v>
      </c>
      <c r="E64" s="14">
        <v>288</v>
      </c>
      <c r="F64" s="14">
        <f>111+262</f>
        <v>373</v>
      </c>
      <c r="G64" s="14">
        <f>111+262</f>
        <v>373</v>
      </c>
      <c r="H64" s="14">
        <f>111+262</f>
        <v>373</v>
      </c>
      <c r="I64" s="14">
        <v>146890</v>
      </c>
      <c r="J64" s="14">
        <v>155820</v>
      </c>
      <c r="K64" s="14">
        <v>162100</v>
      </c>
      <c r="L64" s="14">
        <v>168584</v>
      </c>
      <c r="M64" s="14">
        <v>175350</v>
      </c>
      <c r="N64" s="49">
        <v>38632.07</v>
      </c>
      <c r="O64" s="49">
        <v>44876.160000000003</v>
      </c>
      <c r="P64" s="49">
        <v>60463.3</v>
      </c>
      <c r="Q64" s="49">
        <v>62881.832000000002</v>
      </c>
      <c r="R64" s="49">
        <v>65405.55</v>
      </c>
    </row>
    <row r="65" spans="1:18" s="2" customFormat="1" ht="27.6" hidden="1" x14ac:dyDescent="0.25">
      <c r="A65" s="28">
        <v>10</v>
      </c>
      <c r="B65" s="45" t="s">
        <v>72</v>
      </c>
      <c r="C65" s="28" t="s">
        <v>14</v>
      </c>
      <c r="D65" s="49">
        <v>184</v>
      </c>
      <c r="E65" s="14">
        <v>184</v>
      </c>
      <c r="F65" s="14">
        <v>186</v>
      </c>
      <c r="G65" s="14">
        <v>186</v>
      </c>
      <c r="H65" s="14">
        <v>186</v>
      </c>
      <c r="I65" s="14">
        <v>100409</v>
      </c>
      <c r="J65" s="14">
        <v>110000</v>
      </c>
      <c r="K65" s="14">
        <v>114000</v>
      </c>
      <c r="L65" s="14">
        <v>118500</v>
      </c>
      <c r="M65" s="14">
        <v>123200</v>
      </c>
      <c r="N65" s="49">
        <v>18475.256000000001</v>
      </c>
      <c r="O65" s="49">
        <v>20240</v>
      </c>
      <c r="P65" s="49">
        <v>21204</v>
      </c>
      <c r="Q65" s="49">
        <v>22041</v>
      </c>
      <c r="R65" s="49">
        <v>22915.200000000001</v>
      </c>
    </row>
    <row r="66" spans="1:18" s="2" customFormat="1" ht="55.15" hidden="1" x14ac:dyDescent="0.25">
      <c r="A66" s="28">
        <v>11</v>
      </c>
      <c r="B66" s="42" t="s">
        <v>73</v>
      </c>
      <c r="C66" s="28" t="s">
        <v>14</v>
      </c>
      <c r="D66" s="49">
        <f>9+28</f>
        <v>37</v>
      </c>
      <c r="E66" s="14">
        <v>37</v>
      </c>
      <c r="F66" s="49">
        <f>9+30</f>
        <v>39</v>
      </c>
      <c r="G66" s="49">
        <f>9+30</f>
        <v>39</v>
      </c>
      <c r="H66" s="49">
        <f>9+30</f>
        <v>39</v>
      </c>
      <c r="I66" s="14">
        <v>158100</v>
      </c>
      <c r="J66" s="14">
        <v>167590</v>
      </c>
      <c r="K66" s="14">
        <v>174290</v>
      </c>
      <c r="L66" s="14">
        <v>181260</v>
      </c>
      <c r="M66" s="14">
        <v>188510</v>
      </c>
      <c r="N66" s="49">
        <v>5849.7</v>
      </c>
      <c r="O66" s="49">
        <v>6200.83</v>
      </c>
      <c r="P66" s="49">
        <v>6797.31</v>
      </c>
      <c r="Q66" s="49">
        <v>7069.14</v>
      </c>
      <c r="R66" s="49">
        <v>7351.89</v>
      </c>
    </row>
    <row r="67" spans="1:18" s="2" customFormat="1" ht="41.45" hidden="1" x14ac:dyDescent="0.25">
      <c r="A67" s="28">
        <v>12</v>
      </c>
      <c r="B67" s="45" t="s">
        <v>74</v>
      </c>
      <c r="C67" s="28" t="s">
        <v>14</v>
      </c>
      <c r="D67" s="49">
        <v>116</v>
      </c>
      <c r="E67" s="14">
        <v>115</v>
      </c>
      <c r="F67" s="14">
        <v>121</v>
      </c>
      <c r="G67" s="14">
        <v>121</v>
      </c>
      <c r="H67" s="14">
        <v>121</v>
      </c>
      <c r="I67" s="14">
        <v>92164.42</v>
      </c>
      <c r="J67" s="14">
        <v>110000</v>
      </c>
      <c r="K67" s="14">
        <v>114000</v>
      </c>
      <c r="L67" s="14">
        <v>118500</v>
      </c>
      <c r="M67" s="14">
        <v>123200</v>
      </c>
      <c r="N67" s="49">
        <v>10691.07272</v>
      </c>
      <c r="O67" s="49">
        <v>12650</v>
      </c>
      <c r="P67" s="49">
        <v>13794</v>
      </c>
      <c r="Q67" s="49">
        <v>14338.5</v>
      </c>
      <c r="R67" s="49">
        <v>14907.2</v>
      </c>
    </row>
    <row r="68" spans="1:18" s="2" customFormat="1" ht="27.6" hidden="1" x14ac:dyDescent="0.25">
      <c r="A68" s="28">
        <v>13</v>
      </c>
      <c r="B68" s="42" t="s">
        <v>75</v>
      </c>
      <c r="C68" s="28" t="s">
        <v>67</v>
      </c>
      <c r="D68" s="49">
        <f>21550+358906+165541</f>
        <v>545997</v>
      </c>
      <c r="E68" s="14">
        <v>554386</v>
      </c>
      <c r="F68" s="14">
        <v>539292</v>
      </c>
      <c r="G68" s="14">
        <v>539292</v>
      </c>
      <c r="H68" s="14">
        <v>539292</v>
      </c>
      <c r="I68" s="14">
        <v>89.3</v>
      </c>
      <c r="J68" s="14">
        <v>92.87</v>
      </c>
      <c r="K68" s="14">
        <v>100</v>
      </c>
      <c r="L68" s="14">
        <v>104</v>
      </c>
      <c r="M68" s="14">
        <v>108</v>
      </c>
      <c r="N68" s="49">
        <v>48757.532100000004</v>
      </c>
      <c r="O68" s="49">
        <v>51485.827819999999</v>
      </c>
      <c r="P68" s="49">
        <v>53929.2</v>
      </c>
      <c r="Q68" s="49">
        <v>56086.368000000002</v>
      </c>
      <c r="R68" s="49">
        <v>58243.536</v>
      </c>
    </row>
    <row r="69" spans="1:18" s="2" customFormat="1" ht="41.45" hidden="1" x14ac:dyDescent="0.25">
      <c r="A69" s="28">
        <v>14</v>
      </c>
      <c r="B69" s="46" t="s">
        <v>76</v>
      </c>
      <c r="C69" s="28" t="s">
        <v>67</v>
      </c>
      <c r="D69" s="49">
        <f>560126+160396</f>
        <v>720522</v>
      </c>
      <c r="E69" s="14">
        <v>809300</v>
      </c>
      <c r="F69" s="14">
        <v>1120059</v>
      </c>
      <c r="G69" s="14">
        <v>1120059</v>
      </c>
      <c r="H69" s="14">
        <v>1120059</v>
      </c>
      <c r="I69" s="14">
        <v>89.3</v>
      </c>
      <c r="J69" s="14">
        <v>92.87</v>
      </c>
      <c r="K69" s="14">
        <v>100</v>
      </c>
      <c r="L69" s="14">
        <v>104</v>
      </c>
      <c r="M69" s="14">
        <v>108</v>
      </c>
      <c r="N69" s="49">
        <v>64342.614600000001</v>
      </c>
      <c r="O69" s="49">
        <v>75159.691000000006</v>
      </c>
      <c r="P69" s="49">
        <v>112005.9</v>
      </c>
      <c r="Q69" s="49">
        <v>116486.136</v>
      </c>
      <c r="R69" s="49">
        <v>120966.372</v>
      </c>
    </row>
    <row r="70" spans="1:18" s="2" customFormat="1" ht="151.9" hidden="1" x14ac:dyDescent="0.25">
      <c r="A70" s="28">
        <v>15</v>
      </c>
      <c r="B70" s="42" t="s">
        <v>77</v>
      </c>
      <c r="C70" s="28" t="s">
        <v>78</v>
      </c>
      <c r="D70" s="49">
        <v>12355</v>
      </c>
      <c r="E70" s="14">
        <v>12921</v>
      </c>
      <c r="F70" s="14">
        <v>13898</v>
      </c>
      <c r="G70" s="14">
        <v>13898</v>
      </c>
      <c r="H70" s="14">
        <v>13898</v>
      </c>
      <c r="I70" s="14">
        <v>1490</v>
      </c>
      <c r="J70" s="14">
        <v>1800</v>
      </c>
      <c r="K70" s="14">
        <v>1900</v>
      </c>
      <c r="L70" s="14">
        <v>2000</v>
      </c>
      <c r="M70" s="14">
        <v>2100</v>
      </c>
      <c r="N70" s="14">
        <v>18408.900000000001</v>
      </c>
      <c r="O70" s="14">
        <v>23257.8</v>
      </c>
      <c r="P70" s="14">
        <v>26406.2</v>
      </c>
      <c r="Q70" s="14">
        <v>27796</v>
      </c>
      <c r="R70" s="14">
        <v>29185.8</v>
      </c>
    </row>
    <row r="71" spans="1:18" s="2" customFormat="1" ht="41.45" hidden="1" x14ac:dyDescent="0.25">
      <c r="A71" s="28">
        <v>16</v>
      </c>
      <c r="B71" s="42" t="s">
        <v>79</v>
      </c>
      <c r="C71" s="28" t="s">
        <v>14</v>
      </c>
      <c r="D71" s="49">
        <v>310</v>
      </c>
      <c r="E71" s="14">
        <v>316</v>
      </c>
      <c r="F71" s="14">
        <v>316</v>
      </c>
      <c r="G71" s="14">
        <v>316</v>
      </c>
      <c r="H71" s="14">
        <v>316</v>
      </c>
      <c r="I71" s="14">
        <v>995100</v>
      </c>
      <c r="J71" s="14">
        <v>1044900</v>
      </c>
      <c r="K71" s="14">
        <v>1086700</v>
      </c>
      <c r="L71" s="14">
        <v>1130100</v>
      </c>
      <c r="M71" s="14">
        <v>1175400</v>
      </c>
      <c r="N71" s="14">
        <v>308481</v>
      </c>
      <c r="O71" s="14">
        <v>330188.40000000002</v>
      </c>
      <c r="P71" s="14">
        <v>343397.2</v>
      </c>
      <c r="Q71" s="14">
        <v>357111.6</v>
      </c>
      <c r="R71" s="14">
        <v>371426.4</v>
      </c>
    </row>
    <row r="72" spans="1:18" s="2" customFormat="1" ht="55.15" hidden="1" x14ac:dyDescent="0.25">
      <c r="A72" s="28">
        <v>17</v>
      </c>
      <c r="B72" s="43" t="s">
        <v>80</v>
      </c>
      <c r="C72" s="28" t="s">
        <v>14</v>
      </c>
      <c r="D72" s="49">
        <v>10</v>
      </c>
      <c r="E72" s="14">
        <v>11</v>
      </c>
      <c r="F72" s="14">
        <v>11</v>
      </c>
      <c r="G72" s="14">
        <v>11</v>
      </c>
      <c r="H72" s="14">
        <v>11</v>
      </c>
      <c r="I72" s="14">
        <v>995100</v>
      </c>
      <c r="J72" s="14">
        <v>1044900</v>
      </c>
      <c r="K72" s="14">
        <v>1086700</v>
      </c>
      <c r="L72" s="14">
        <v>1130100</v>
      </c>
      <c r="M72" s="14">
        <v>1175400</v>
      </c>
      <c r="N72" s="14">
        <v>9951</v>
      </c>
      <c r="O72" s="14">
        <v>11493.9</v>
      </c>
      <c r="P72" s="14">
        <v>11953.7</v>
      </c>
      <c r="Q72" s="14">
        <v>12431.1</v>
      </c>
      <c r="R72" s="14">
        <v>12929.4</v>
      </c>
    </row>
    <row r="73" spans="1:18" s="2" customFormat="1" ht="55.15" hidden="1" x14ac:dyDescent="0.25">
      <c r="A73" s="28">
        <v>18</v>
      </c>
      <c r="B73" s="43" t="s">
        <v>81</v>
      </c>
      <c r="C73" s="28" t="s">
        <v>14</v>
      </c>
      <c r="D73" s="49">
        <v>284</v>
      </c>
      <c r="E73" s="14">
        <v>284</v>
      </c>
      <c r="F73" s="14">
        <v>284</v>
      </c>
      <c r="G73" s="14">
        <v>284</v>
      </c>
      <c r="H73" s="14">
        <v>284</v>
      </c>
      <c r="I73" s="14">
        <v>57300</v>
      </c>
      <c r="J73" s="14">
        <v>60200</v>
      </c>
      <c r="K73" s="14">
        <v>62600</v>
      </c>
      <c r="L73" s="14">
        <v>65100</v>
      </c>
      <c r="M73" s="14">
        <v>67700</v>
      </c>
      <c r="N73" s="14">
        <v>70425.399999999994</v>
      </c>
      <c r="O73" s="14">
        <v>17096.8</v>
      </c>
      <c r="P73" s="14">
        <v>17778.400000000001</v>
      </c>
      <c r="Q73" s="14">
        <v>18488.400000000001</v>
      </c>
      <c r="R73" s="14">
        <v>19226.8</v>
      </c>
    </row>
    <row r="74" spans="1:18" s="2" customFormat="1" ht="55.15" hidden="1" x14ac:dyDescent="0.25">
      <c r="A74" s="28">
        <v>19</v>
      </c>
      <c r="B74" s="44" t="s">
        <v>82</v>
      </c>
      <c r="C74" s="28" t="s">
        <v>14</v>
      </c>
      <c r="D74" s="49">
        <v>173</v>
      </c>
      <c r="E74" s="14">
        <v>156</v>
      </c>
      <c r="F74" s="14">
        <v>165</v>
      </c>
      <c r="G74" s="14">
        <v>165</v>
      </c>
      <c r="H74" s="14">
        <v>165</v>
      </c>
      <c r="I74" s="14">
        <v>94500</v>
      </c>
      <c r="J74" s="14">
        <v>99200</v>
      </c>
      <c r="K74" s="14">
        <v>103200</v>
      </c>
      <c r="L74" s="14">
        <v>107200</v>
      </c>
      <c r="M74" s="14">
        <v>111500</v>
      </c>
      <c r="N74" s="14">
        <v>16348.5</v>
      </c>
      <c r="O74" s="14">
        <v>15475.2</v>
      </c>
      <c r="P74" s="14">
        <v>17028</v>
      </c>
      <c r="Q74" s="14">
        <v>17688</v>
      </c>
      <c r="R74" s="14">
        <v>18397.5</v>
      </c>
    </row>
    <row r="75" spans="1:18" s="2" customFormat="1" ht="41.45" hidden="1" x14ac:dyDescent="0.25">
      <c r="A75" s="28">
        <v>20</v>
      </c>
      <c r="B75" s="42" t="s">
        <v>83</v>
      </c>
      <c r="C75" s="28" t="s">
        <v>14</v>
      </c>
      <c r="D75" s="49">
        <v>6164</v>
      </c>
      <c r="E75" s="14">
        <v>6164</v>
      </c>
      <c r="F75" s="49">
        <v>6164</v>
      </c>
      <c r="G75" s="14">
        <v>6164</v>
      </c>
      <c r="H75" s="49">
        <v>6165</v>
      </c>
      <c r="I75" s="14">
        <v>190</v>
      </c>
      <c r="J75" s="14">
        <v>200</v>
      </c>
      <c r="K75" s="14">
        <v>210</v>
      </c>
      <c r="L75" s="14">
        <v>220</v>
      </c>
      <c r="M75" s="14">
        <v>230</v>
      </c>
      <c r="N75" s="49">
        <v>1171.0999999999999</v>
      </c>
      <c r="O75" s="14">
        <v>1232.8</v>
      </c>
      <c r="P75" s="14">
        <v>1294.4000000000001</v>
      </c>
      <c r="Q75" s="14">
        <v>1356.1</v>
      </c>
      <c r="R75" s="14">
        <v>1417.9</v>
      </c>
    </row>
    <row r="76" spans="1:18" s="2" customFormat="1" ht="27.6" hidden="1" x14ac:dyDescent="0.25">
      <c r="A76" s="28">
        <v>21</v>
      </c>
      <c r="B76" s="42" t="s">
        <v>84</v>
      </c>
      <c r="C76" s="28" t="s">
        <v>14</v>
      </c>
      <c r="D76" s="49">
        <v>1200</v>
      </c>
      <c r="E76" s="14">
        <v>1250</v>
      </c>
      <c r="F76" s="14">
        <v>1250</v>
      </c>
      <c r="G76" s="14">
        <v>1250</v>
      </c>
      <c r="H76" s="14">
        <v>1250</v>
      </c>
      <c r="I76" s="14">
        <v>7550</v>
      </c>
      <c r="J76" s="14">
        <v>7930</v>
      </c>
      <c r="K76" s="14">
        <v>8250</v>
      </c>
      <c r="L76" s="14">
        <v>8550</v>
      </c>
      <c r="M76" s="14">
        <v>8950</v>
      </c>
      <c r="N76" s="49">
        <v>9060</v>
      </c>
      <c r="O76" s="14">
        <v>9912.5</v>
      </c>
      <c r="P76" s="14">
        <v>10312.5</v>
      </c>
      <c r="Q76" s="14">
        <v>10687.5</v>
      </c>
      <c r="R76" s="14">
        <v>11187.5</v>
      </c>
    </row>
    <row r="77" spans="1:18" s="2" customFormat="1" ht="27.6" hidden="1" x14ac:dyDescent="0.25">
      <c r="A77" s="28">
        <v>22</v>
      </c>
      <c r="B77" s="42" t="s">
        <v>85</v>
      </c>
      <c r="C77" s="28" t="s">
        <v>14</v>
      </c>
      <c r="D77" s="49">
        <v>22</v>
      </c>
      <c r="E77" s="14">
        <v>25</v>
      </c>
      <c r="F77" s="14">
        <v>25</v>
      </c>
      <c r="G77" s="14">
        <v>25</v>
      </c>
      <c r="H77" s="14">
        <v>25</v>
      </c>
      <c r="I77" s="14">
        <v>71210</v>
      </c>
      <c r="J77" s="14">
        <v>74770</v>
      </c>
      <c r="K77" s="14">
        <v>77760</v>
      </c>
      <c r="L77" s="14">
        <v>80890</v>
      </c>
      <c r="M77" s="14">
        <v>84100</v>
      </c>
      <c r="N77" s="49">
        <v>1566.6</v>
      </c>
      <c r="O77" s="14">
        <v>1869.2</v>
      </c>
      <c r="P77" s="14">
        <f>F77*K77/1000</f>
        <v>1944</v>
      </c>
      <c r="Q77" s="14">
        <v>2002.2</v>
      </c>
      <c r="R77" s="14">
        <f>H77*M77/1000</f>
        <v>2102.5</v>
      </c>
    </row>
    <row r="78" spans="1:18" s="2" customFormat="1" ht="41.45" hidden="1" x14ac:dyDescent="0.25">
      <c r="A78" s="28">
        <v>23</v>
      </c>
      <c r="B78" s="42" t="s">
        <v>86</v>
      </c>
      <c r="C78" s="28" t="s">
        <v>67</v>
      </c>
      <c r="D78" s="49">
        <v>436096</v>
      </c>
      <c r="E78" s="14">
        <v>493286</v>
      </c>
      <c r="F78" s="14">
        <v>726000</v>
      </c>
      <c r="G78" s="14">
        <v>850000</v>
      </c>
      <c r="H78" s="14">
        <v>974000</v>
      </c>
      <c r="I78" s="14">
        <v>136.1</v>
      </c>
      <c r="J78" s="14">
        <v>150</v>
      </c>
      <c r="K78" s="14">
        <v>160</v>
      </c>
      <c r="L78" s="14">
        <v>170</v>
      </c>
      <c r="M78" s="14">
        <v>180</v>
      </c>
      <c r="N78" s="49">
        <v>59367</v>
      </c>
      <c r="O78" s="14">
        <v>73992.899999999994</v>
      </c>
      <c r="P78" s="14">
        <v>116160</v>
      </c>
      <c r="Q78" s="14">
        <v>144500</v>
      </c>
      <c r="R78" s="14">
        <v>175320</v>
      </c>
    </row>
    <row r="79" spans="1:18" s="2" customFormat="1" ht="41.45" hidden="1" x14ac:dyDescent="0.25">
      <c r="A79" s="28">
        <v>24</v>
      </c>
      <c r="B79" s="42" t="s">
        <v>87</v>
      </c>
      <c r="C79" s="28" t="s">
        <v>88</v>
      </c>
      <c r="D79" s="49">
        <v>164</v>
      </c>
      <c r="E79" s="14">
        <v>360</v>
      </c>
      <c r="F79" s="49">
        <v>360</v>
      </c>
      <c r="G79" s="14">
        <v>360</v>
      </c>
      <c r="H79" s="49">
        <v>360</v>
      </c>
      <c r="I79" s="14"/>
      <c r="J79" s="14"/>
      <c r="K79" s="14"/>
      <c r="L79" s="14"/>
      <c r="M79" s="14"/>
      <c r="N79" s="49">
        <v>1980</v>
      </c>
      <c r="O79" s="14">
        <v>4330</v>
      </c>
      <c r="P79" s="14">
        <v>4503</v>
      </c>
      <c r="Q79" s="14">
        <v>4680</v>
      </c>
      <c r="R79" s="14">
        <v>4870</v>
      </c>
    </row>
    <row r="80" spans="1:18" s="2" customFormat="1" ht="41.45" hidden="1" x14ac:dyDescent="0.25">
      <c r="A80" s="28">
        <v>25</v>
      </c>
      <c r="B80" s="42" t="s">
        <v>87</v>
      </c>
      <c r="C80" s="28" t="s">
        <v>88</v>
      </c>
      <c r="D80" s="49">
        <v>293</v>
      </c>
      <c r="E80" s="14">
        <v>293</v>
      </c>
      <c r="F80" s="14">
        <v>293</v>
      </c>
      <c r="G80" s="14">
        <v>293</v>
      </c>
      <c r="H80" s="14">
        <v>293</v>
      </c>
      <c r="I80" s="14"/>
      <c r="J80" s="14"/>
      <c r="K80" s="14"/>
      <c r="L80" s="14"/>
      <c r="M80" s="14"/>
      <c r="N80" s="49">
        <v>42293</v>
      </c>
      <c r="O80" s="14">
        <v>43985</v>
      </c>
      <c r="P80" s="14">
        <v>45750</v>
      </c>
      <c r="Q80" s="14">
        <v>47580</v>
      </c>
      <c r="R80" s="14">
        <v>49500</v>
      </c>
    </row>
    <row r="81" spans="1:18" s="2" customFormat="1" ht="27.6" hidden="1" x14ac:dyDescent="0.25">
      <c r="A81" s="28">
        <v>26</v>
      </c>
      <c r="B81" s="42" t="s">
        <v>89</v>
      </c>
      <c r="C81" s="28" t="s">
        <v>88</v>
      </c>
      <c r="D81" s="49">
        <v>65</v>
      </c>
      <c r="E81" s="14">
        <v>65</v>
      </c>
      <c r="F81" s="14">
        <v>65</v>
      </c>
      <c r="G81" s="14">
        <v>65</v>
      </c>
      <c r="H81" s="14">
        <v>65</v>
      </c>
      <c r="I81" s="14"/>
      <c r="J81" s="14"/>
      <c r="K81" s="14"/>
      <c r="L81" s="14"/>
      <c r="M81" s="14"/>
      <c r="N81" s="49">
        <v>2120</v>
      </c>
      <c r="O81" s="14">
        <v>2130</v>
      </c>
      <c r="P81" s="14">
        <v>2220</v>
      </c>
      <c r="Q81" s="14">
        <v>2310</v>
      </c>
      <c r="R81" s="14">
        <v>2400</v>
      </c>
    </row>
    <row r="82" spans="1:18" s="2" customFormat="1" ht="27.6" hidden="1" x14ac:dyDescent="0.25">
      <c r="A82" s="28">
        <v>27</v>
      </c>
      <c r="B82" s="42" t="s">
        <v>90</v>
      </c>
      <c r="C82" s="28" t="s">
        <v>88</v>
      </c>
      <c r="D82" s="49">
        <v>72</v>
      </c>
      <c r="E82" s="14">
        <v>120</v>
      </c>
      <c r="F82" s="14">
        <v>120</v>
      </c>
      <c r="G82" s="14">
        <v>120</v>
      </c>
      <c r="H82" s="14">
        <v>120</v>
      </c>
      <c r="I82" s="14"/>
      <c r="J82" s="14"/>
      <c r="K82" s="14"/>
      <c r="L82" s="14"/>
      <c r="M82" s="14"/>
      <c r="N82" s="49">
        <v>3700</v>
      </c>
      <c r="O82" s="14">
        <v>3900</v>
      </c>
      <c r="P82" s="14">
        <v>4100</v>
      </c>
      <c r="Q82" s="14">
        <v>4260</v>
      </c>
      <c r="R82" s="14">
        <v>4430</v>
      </c>
    </row>
    <row r="83" spans="1:18" s="2" customFormat="1" ht="13.9" hidden="1" x14ac:dyDescent="0.25">
      <c r="A83" s="28">
        <v>28</v>
      </c>
      <c r="B83" s="42" t="s">
        <v>91</v>
      </c>
      <c r="C83" s="28" t="s">
        <v>92</v>
      </c>
      <c r="D83" s="49">
        <f>33589+32496+4815+1197+8969</f>
        <v>81066</v>
      </c>
      <c r="E83" s="14">
        <v>89384</v>
      </c>
      <c r="F83" s="14">
        <v>89384</v>
      </c>
      <c r="G83" s="14">
        <v>89384</v>
      </c>
      <c r="H83" s="14">
        <v>89384</v>
      </c>
      <c r="I83" s="14">
        <v>1490</v>
      </c>
      <c r="J83" s="14">
        <v>1540</v>
      </c>
      <c r="K83" s="14">
        <v>1600</v>
      </c>
      <c r="L83" s="14">
        <v>1670</v>
      </c>
      <c r="M83" s="14">
        <v>1740</v>
      </c>
      <c r="N83" s="49">
        <f>D83*I83/1000+7000</f>
        <v>127788.34</v>
      </c>
      <c r="O83" s="14">
        <f>E83*J83/1000+7000</f>
        <v>144651.35999999999</v>
      </c>
      <c r="P83" s="14">
        <f>F83*K83/1000+7000</f>
        <v>150014.39999999999</v>
      </c>
      <c r="Q83" s="14">
        <f>G83*L83/1000+7000</f>
        <v>156271.28</v>
      </c>
      <c r="R83" s="14">
        <f>H83*M83/1000+7000</f>
        <v>162528.16</v>
      </c>
    </row>
    <row r="84" spans="1:18" s="2" customFormat="1" ht="27.6" hidden="1" x14ac:dyDescent="0.25">
      <c r="A84" s="28">
        <v>29</v>
      </c>
      <c r="B84" s="42" t="s">
        <v>93</v>
      </c>
      <c r="C84" s="28" t="s">
        <v>14</v>
      </c>
      <c r="D84" s="49">
        <v>285</v>
      </c>
      <c r="E84" s="14">
        <v>296</v>
      </c>
      <c r="F84" s="14">
        <v>295</v>
      </c>
      <c r="G84" s="14">
        <v>295</v>
      </c>
      <c r="H84" s="14">
        <v>295</v>
      </c>
      <c r="I84" s="14">
        <v>78960</v>
      </c>
      <c r="J84" s="14">
        <v>87860</v>
      </c>
      <c r="K84" s="14">
        <v>91400</v>
      </c>
      <c r="L84" s="14">
        <f>K84*1.04</f>
        <v>95056</v>
      </c>
      <c r="M84" s="14">
        <v>98858</v>
      </c>
      <c r="N84" s="49">
        <f>D84*I84/1000</f>
        <v>22503.599999999999</v>
      </c>
      <c r="O84" s="14">
        <f>E84*J84/1000</f>
        <v>26006.560000000001</v>
      </c>
      <c r="P84" s="14">
        <f>F84*K84/1000</f>
        <v>26963</v>
      </c>
      <c r="Q84" s="14">
        <f>G84*L84/1000</f>
        <v>28041.52</v>
      </c>
      <c r="R84" s="14">
        <f>H84*M84/1000</f>
        <v>29163.11</v>
      </c>
    </row>
    <row r="85" spans="1:18" s="2" customFormat="1" ht="96.6" hidden="1" x14ac:dyDescent="0.25">
      <c r="A85" s="28">
        <v>30</v>
      </c>
      <c r="B85" s="42" t="s">
        <v>94</v>
      </c>
      <c r="C85" s="28" t="s">
        <v>14</v>
      </c>
      <c r="D85" s="49">
        <v>92185</v>
      </c>
      <c r="E85" s="14">
        <v>111907</v>
      </c>
      <c r="F85" s="14">
        <v>119267</v>
      </c>
      <c r="G85" s="14">
        <v>119267</v>
      </c>
      <c r="H85" s="14">
        <v>119267</v>
      </c>
      <c r="I85" s="14"/>
      <c r="J85" s="14"/>
      <c r="K85" s="14"/>
      <c r="L85" s="14"/>
      <c r="M85" s="14"/>
      <c r="N85" s="49">
        <v>60900</v>
      </c>
      <c r="O85" s="14">
        <v>86839.831999999995</v>
      </c>
      <c r="P85" s="14">
        <v>92552</v>
      </c>
      <c r="Q85" s="14">
        <f>P85*1.04</f>
        <v>96254.080000000002</v>
      </c>
      <c r="R85" s="14">
        <f>Q85*1.04</f>
        <v>100104.24320000001</v>
      </c>
    </row>
    <row r="86" spans="1:18" s="2" customFormat="1" ht="27.6" hidden="1" x14ac:dyDescent="0.25">
      <c r="A86" s="28">
        <v>31</v>
      </c>
      <c r="B86" s="42" t="s">
        <v>95</v>
      </c>
      <c r="C86" s="28" t="s">
        <v>14</v>
      </c>
      <c r="D86" s="49">
        <v>6500</v>
      </c>
      <c r="E86" s="14">
        <v>6500</v>
      </c>
      <c r="F86" s="14">
        <v>6500</v>
      </c>
      <c r="G86" s="14">
        <v>6500</v>
      </c>
      <c r="H86" s="14">
        <v>6500</v>
      </c>
      <c r="I86" s="14"/>
      <c r="J86" s="14"/>
      <c r="K86" s="14"/>
      <c r="L86" s="14"/>
      <c r="M86" s="14"/>
      <c r="N86" s="49">
        <v>810</v>
      </c>
      <c r="O86" s="14">
        <v>845</v>
      </c>
      <c r="P86" s="14">
        <v>878</v>
      </c>
      <c r="Q86" s="14">
        <v>910</v>
      </c>
      <c r="R86" s="14">
        <v>950</v>
      </c>
    </row>
    <row r="87" spans="1:18" s="2" customFormat="1" ht="110.45" hidden="1" x14ac:dyDescent="0.25">
      <c r="A87" s="28">
        <v>32</v>
      </c>
      <c r="B87" s="42" t="s">
        <v>96</v>
      </c>
      <c r="C87" s="28" t="s">
        <v>14</v>
      </c>
      <c r="D87" s="49">
        <f>54394+6579+4308</f>
        <v>65281</v>
      </c>
      <c r="E87" s="14">
        <v>61643</v>
      </c>
      <c r="F87" s="49">
        <v>64100</v>
      </c>
      <c r="G87" s="49">
        <v>64100</v>
      </c>
      <c r="H87" s="49">
        <v>64100</v>
      </c>
      <c r="I87" s="50"/>
      <c r="J87" s="14"/>
      <c r="K87" s="50"/>
      <c r="L87" s="50"/>
      <c r="M87" s="50"/>
      <c r="N87" s="49">
        <v>56300</v>
      </c>
      <c r="O87" s="14">
        <v>50239.044999999998</v>
      </c>
      <c r="P87" s="14">
        <v>58280.3</v>
      </c>
      <c r="Q87" s="14">
        <v>60611</v>
      </c>
      <c r="R87" s="14">
        <v>63040</v>
      </c>
    </row>
    <row r="88" spans="1:18" s="2" customFormat="1" ht="13.9" hidden="1" x14ac:dyDescent="0.25">
      <c r="A88" s="19"/>
      <c r="B88" s="20" t="s">
        <v>0</v>
      </c>
      <c r="C88" s="25"/>
      <c r="D88" s="21" t="s">
        <v>8</v>
      </c>
      <c r="E88" s="21" t="s">
        <v>8</v>
      </c>
      <c r="F88" s="21" t="s">
        <v>8</v>
      </c>
      <c r="G88" s="21" t="s">
        <v>8</v>
      </c>
      <c r="H88" s="21" t="s">
        <v>8</v>
      </c>
      <c r="I88" s="21" t="s">
        <v>8</v>
      </c>
      <c r="J88" s="21" t="s">
        <v>8</v>
      </c>
      <c r="K88" s="21" t="s">
        <v>8</v>
      </c>
      <c r="L88" s="21" t="s">
        <v>8</v>
      </c>
      <c r="M88" s="21" t="s">
        <v>8</v>
      </c>
      <c r="N88" s="51">
        <f>SUM(N56:N87)</f>
        <v>2930746.4792200006</v>
      </c>
      <c r="O88" s="51">
        <f>SUM(O56:O87)</f>
        <v>3168752.365819999</v>
      </c>
      <c r="P88" s="51">
        <f>SUM(P56:P87)</f>
        <v>3326073.4699999997</v>
      </c>
      <c r="Q88" s="51">
        <f>SUM(Q56:Q87)</f>
        <v>3658888.452</v>
      </c>
      <c r="R88" s="51">
        <f>SUM(R56:R87)</f>
        <v>3882809.6311999992</v>
      </c>
    </row>
    <row r="89" spans="1:18" s="2" customFormat="1" ht="13.9" hidden="1" x14ac:dyDescent="0.25">
      <c r="A89" s="140" t="s">
        <v>97</v>
      </c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</row>
    <row r="90" spans="1:18" s="2" customFormat="1" ht="82.9" hidden="1" x14ac:dyDescent="0.25">
      <c r="A90" s="1">
        <v>1</v>
      </c>
      <c r="B90" s="33" t="s">
        <v>98</v>
      </c>
      <c r="C90" s="1" t="s">
        <v>99</v>
      </c>
      <c r="D90" s="49">
        <v>146</v>
      </c>
      <c r="E90" s="49">
        <v>146</v>
      </c>
      <c r="F90" s="49">
        <v>146</v>
      </c>
      <c r="G90" s="49">
        <v>146</v>
      </c>
      <c r="H90" s="49">
        <v>146</v>
      </c>
      <c r="I90" s="49">
        <v>227120.08</v>
      </c>
      <c r="J90" s="49">
        <v>235649.67</v>
      </c>
      <c r="K90" s="49">
        <v>247190.11352226255</v>
      </c>
      <c r="L90" s="49">
        <v>260235.53966226257</v>
      </c>
      <c r="M90" s="49">
        <v>276125.46949572256</v>
      </c>
      <c r="N90" s="49">
        <v>33159.53168</v>
      </c>
      <c r="O90" s="49">
        <v>34185.851820000003</v>
      </c>
      <c r="P90" s="49">
        <v>35870.756059999992</v>
      </c>
      <c r="Q90" s="49">
        <v>35870.756059999992</v>
      </c>
      <c r="R90" s="49">
        <v>35870.756059999992</v>
      </c>
    </row>
    <row r="91" spans="1:18" s="2" customFormat="1" ht="82.9" hidden="1" x14ac:dyDescent="0.25">
      <c r="A91" s="1">
        <v>2</v>
      </c>
      <c r="B91" s="33" t="s">
        <v>100</v>
      </c>
      <c r="C91" s="1" t="s">
        <v>99</v>
      </c>
      <c r="D91" s="49">
        <v>65</v>
      </c>
      <c r="E91" s="49">
        <v>65</v>
      </c>
      <c r="F91" s="49">
        <v>65</v>
      </c>
      <c r="G91" s="49">
        <v>65</v>
      </c>
      <c r="H91" s="49">
        <v>65</v>
      </c>
      <c r="I91" s="49">
        <v>127884.25</v>
      </c>
      <c r="J91" s="49">
        <v>132651.85</v>
      </c>
      <c r="K91" s="49">
        <v>139083.5612580243</v>
      </c>
      <c r="L91" s="49">
        <v>146349.16483802433</v>
      </c>
      <c r="M91" s="49">
        <v>155193.84031964419</v>
      </c>
      <c r="N91" s="49">
        <v>8312.4762499999997</v>
      </c>
      <c r="O91" s="49">
        <v>8524.8702499999999</v>
      </c>
      <c r="P91" s="49">
        <v>8942.9320500000013</v>
      </c>
      <c r="Q91" s="49">
        <v>8942.9320500000013</v>
      </c>
      <c r="R91" s="49">
        <v>8942.9320500000013</v>
      </c>
    </row>
    <row r="92" spans="1:18" s="2" customFormat="1" ht="82.9" hidden="1" x14ac:dyDescent="0.25">
      <c r="A92" s="1">
        <v>3</v>
      </c>
      <c r="B92" s="33" t="s">
        <v>101</v>
      </c>
      <c r="C92" s="1" t="s">
        <v>99</v>
      </c>
      <c r="D92" s="49">
        <v>96</v>
      </c>
      <c r="E92" s="49">
        <v>96</v>
      </c>
      <c r="F92" s="49">
        <v>96</v>
      </c>
      <c r="G92" s="49">
        <v>96</v>
      </c>
      <c r="H92" s="49">
        <v>96</v>
      </c>
      <c r="I92" s="49">
        <v>85074.96</v>
      </c>
      <c r="J92" s="49">
        <v>88259.49</v>
      </c>
      <c r="K92" s="49">
        <v>92570.313863919844</v>
      </c>
      <c r="L92" s="49">
        <v>97443.897463919842</v>
      </c>
      <c r="M92" s="49">
        <v>103380.75167231984</v>
      </c>
      <c r="N92" s="49">
        <v>8167.1961600000004</v>
      </c>
      <c r="O92" s="49">
        <v>8424.9110400000009</v>
      </c>
      <c r="P92" s="49">
        <v>8838.75072</v>
      </c>
      <c r="Q92" s="49">
        <v>8838.75072</v>
      </c>
      <c r="R92" s="49">
        <v>8838.75072</v>
      </c>
    </row>
    <row r="93" spans="1:18" s="2" customFormat="1" ht="82.9" hidden="1" x14ac:dyDescent="0.25">
      <c r="A93" s="1">
        <v>4</v>
      </c>
      <c r="B93" s="33" t="s">
        <v>102</v>
      </c>
      <c r="C93" s="1" t="s">
        <v>99</v>
      </c>
      <c r="D93" s="49">
        <v>27</v>
      </c>
      <c r="E93" s="49">
        <v>27</v>
      </c>
      <c r="F93" s="49">
        <v>27</v>
      </c>
      <c r="G93" s="49">
        <v>27</v>
      </c>
      <c r="H93" s="49">
        <v>27</v>
      </c>
      <c r="I93" s="49">
        <v>401709.66</v>
      </c>
      <c r="J93" s="49">
        <v>416887.02</v>
      </c>
      <c r="K93" s="49">
        <v>437457.17037633917</v>
      </c>
      <c r="L93" s="49">
        <v>460719.06063633919</v>
      </c>
      <c r="M93" s="49">
        <v>489062.82904647908</v>
      </c>
      <c r="N93" s="49">
        <v>10846.160819999999</v>
      </c>
      <c r="O93" s="49">
        <v>11215.44954</v>
      </c>
      <c r="P93" s="49">
        <v>11770.843859999999</v>
      </c>
      <c r="Q93" s="49">
        <v>11770.843859999999</v>
      </c>
      <c r="R93" s="49">
        <v>11770.843859999999</v>
      </c>
    </row>
    <row r="94" spans="1:18" s="2" customFormat="1" ht="96.6" hidden="1" x14ac:dyDescent="0.25">
      <c r="A94" s="1">
        <v>5</v>
      </c>
      <c r="B94" s="33" t="s">
        <v>103</v>
      </c>
      <c r="C94" s="1" t="s">
        <v>99</v>
      </c>
      <c r="D94" s="49">
        <v>27</v>
      </c>
      <c r="E94" s="49">
        <v>27</v>
      </c>
      <c r="F94" s="49">
        <v>27</v>
      </c>
      <c r="G94" s="49">
        <v>27</v>
      </c>
      <c r="H94" s="49">
        <v>27</v>
      </c>
      <c r="I94" s="49">
        <v>517835.92</v>
      </c>
      <c r="J94" s="49">
        <v>537835.92000000004</v>
      </c>
      <c r="K94" s="49">
        <v>565125.44276007405</v>
      </c>
      <c r="L94" s="49">
        <v>595992.31380007404</v>
      </c>
      <c r="M94" s="49">
        <v>633609.21964107396</v>
      </c>
      <c r="N94" s="49">
        <v>13981.56984</v>
      </c>
      <c r="O94" s="49">
        <v>14481.069840000002</v>
      </c>
      <c r="P94" s="49">
        <v>15217.886879999998</v>
      </c>
      <c r="Q94" s="49">
        <v>15217.886879999998</v>
      </c>
      <c r="R94" s="49">
        <v>15217.886879999998</v>
      </c>
    </row>
    <row r="95" spans="1:18" s="2" customFormat="1" ht="96.6" hidden="1" x14ac:dyDescent="0.25">
      <c r="A95" s="1">
        <v>6</v>
      </c>
      <c r="B95" s="33" t="s">
        <v>104</v>
      </c>
      <c r="C95" s="1" t="s">
        <v>99</v>
      </c>
      <c r="D95" s="49">
        <v>67</v>
      </c>
      <c r="E95" s="49">
        <v>67</v>
      </c>
      <c r="F95" s="49">
        <v>67</v>
      </c>
      <c r="G95" s="49">
        <v>67</v>
      </c>
      <c r="H95" s="49">
        <v>67</v>
      </c>
      <c r="I95" s="49">
        <v>318148.90999999997</v>
      </c>
      <c r="J95" s="49">
        <v>330211.25</v>
      </c>
      <c r="K95" s="49">
        <v>271550.78655079613</v>
      </c>
      <c r="L95" s="49">
        <v>271550.78655079613</v>
      </c>
      <c r="M95" s="49">
        <v>271550.78655079607</v>
      </c>
      <c r="N95" s="49">
        <v>21315.97697</v>
      </c>
      <c r="O95" s="49">
        <v>21923.153750000001</v>
      </c>
      <c r="P95" s="49">
        <v>23018.000749999999</v>
      </c>
      <c r="Q95" s="49">
        <v>23018.000749999999</v>
      </c>
      <c r="R95" s="49">
        <v>23018.000749999999</v>
      </c>
    </row>
    <row r="96" spans="1:18" s="2" customFormat="1" ht="41.45" hidden="1" x14ac:dyDescent="0.25">
      <c r="A96" s="1">
        <v>7</v>
      </c>
      <c r="B96" s="33" t="s">
        <v>105</v>
      </c>
      <c r="C96" s="1" t="s">
        <v>99</v>
      </c>
      <c r="D96" s="49">
        <v>200</v>
      </c>
      <c r="E96" s="49">
        <v>200</v>
      </c>
      <c r="F96" s="49">
        <v>200</v>
      </c>
      <c r="G96" s="49">
        <v>200</v>
      </c>
      <c r="H96" s="49">
        <v>200</v>
      </c>
      <c r="I96" s="49">
        <v>576.29</v>
      </c>
      <c r="J96" s="49">
        <v>597.16999999999996</v>
      </c>
      <c r="K96" s="49">
        <v>625.31726438432952</v>
      </c>
      <c r="L96" s="49">
        <v>657.09456438432949</v>
      </c>
      <c r="M96" s="49">
        <v>695.75693328432942</v>
      </c>
      <c r="N96" s="49">
        <v>115.258</v>
      </c>
      <c r="O96" s="49">
        <v>119.43</v>
      </c>
      <c r="P96" s="49">
        <v>125.06</v>
      </c>
      <c r="Q96" s="49">
        <v>126.06</v>
      </c>
      <c r="R96" s="49">
        <v>125.06</v>
      </c>
    </row>
    <row r="97" spans="1:18" s="2" customFormat="1" ht="27.6" hidden="1" x14ac:dyDescent="0.25">
      <c r="A97" s="1">
        <v>8</v>
      </c>
      <c r="B97" s="33" t="s">
        <v>106</v>
      </c>
      <c r="C97" s="1" t="s">
        <v>99</v>
      </c>
      <c r="D97" s="49">
        <v>96558</v>
      </c>
      <c r="E97" s="49">
        <v>96558</v>
      </c>
      <c r="F97" s="49">
        <v>97758</v>
      </c>
      <c r="G97" s="49">
        <v>97758</v>
      </c>
      <c r="H97" s="49">
        <v>97758</v>
      </c>
      <c r="I97" s="49">
        <v>1285.74</v>
      </c>
      <c r="J97" s="49">
        <v>1313.72</v>
      </c>
      <c r="K97" s="49">
        <v>1351.66</v>
      </c>
      <c r="L97" s="49">
        <v>1394.5729498182372</v>
      </c>
      <c r="M97" s="49">
        <v>1446.8635521582371</v>
      </c>
      <c r="N97" s="49">
        <v>124148.48291999999</v>
      </c>
      <c r="O97" s="49">
        <v>89069.225760000001</v>
      </c>
      <c r="P97" s="49">
        <v>93874.62827999999</v>
      </c>
      <c r="Q97" s="49">
        <v>94813.374562799989</v>
      </c>
      <c r="R97" s="49">
        <v>100445.85225960001</v>
      </c>
    </row>
    <row r="98" spans="1:18" s="2" customFormat="1" ht="27.6" hidden="1" x14ac:dyDescent="0.25">
      <c r="A98" s="1">
        <v>9</v>
      </c>
      <c r="B98" s="33" t="s">
        <v>107</v>
      </c>
      <c r="C98" s="1" t="s">
        <v>99</v>
      </c>
      <c r="D98" s="49">
        <v>30100</v>
      </c>
      <c r="E98" s="49">
        <v>30100</v>
      </c>
      <c r="F98" s="49">
        <v>30250</v>
      </c>
      <c r="G98" s="49">
        <v>30250</v>
      </c>
      <c r="H98" s="49">
        <v>30250</v>
      </c>
      <c r="I98" s="49">
        <v>1159.3599999999999</v>
      </c>
      <c r="J98" s="49">
        <v>1232.3699999999999</v>
      </c>
      <c r="K98" s="49">
        <v>1269.97</v>
      </c>
      <c r="L98" s="49">
        <v>1312.3934397521973</v>
      </c>
      <c r="M98" s="49">
        <v>1363.9819397321971</v>
      </c>
      <c r="N98" s="49">
        <v>34896.735999999997</v>
      </c>
      <c r="O98" s="49">
        <v>28184.336999999992</v>
      </c>
      <c r="P98" s="49">
        <v>29461.592499999999</v>
      </c>
      <c r="Q98" s="49">
        <v>29756.208425000001</v>
      </c>
      <c r="R98" s="49">
        <v>31523.903975000001</v>
      </c>
    </row>
    <row r="99" spans="1:18" s="2" customFormat="1" ht="27.6" hidden="1" x14ac:dyDescent="0.25">
      <c r="A99" s="1">
        <v>10</v>
      </c>
      <c r="B99" s="33" t="s">
        <v>108</v>
      </c>
      <c r="C99" s="1" t="s">
        <v>99</v>
      </c>
      <c r="D99" s="49">
        <v>6224</v>
      </c>
      <c r="E99" s="49">
        <v>6224</v>
      </c>
      <c r="F99" s="49">
        <v>6374</v>
      </c>
      <c r="G99" s="49">
        <v>6374</v>
      </c>
      <c r="H99" s="49">
        <v>6374</v>
      </c>
      <c r="I99" s="49">
        <v>2128.9499999999998</v>
      </c>
      <c r="J99" s="49">
        <v>2302.12</v>
      </c>
      <c r="K99" s="49">
        <v>2353.56</v>
      </c>
      <c r="L99" s="49">
        <v>2411.6452822154929</v>
      </c>
      <c r="M99" s="49">
        <v>2482.321127995493</v>
      </c>
      <c r="N99" s="49">
        <v>13250.584799999999</v>
      </c>
      <c r="O99" s="49">
        <v>12661.194880000001</v>
      </c>
      <c r="P99" s="49">
        <v>13289.391439999999</v>
      </c>
      <c r="Q99" s="49">
        <v>13422.285354400003</v>
      </c>
      <c r="R99" s="49">
        <v>14219.6488408</v>
      </c>
    </row>
    <row r="100" spans="1:18" s="2" customFormat="1" ht="27.6" hidden="1" x14ac:dyDescent="0.25">
      <c r="A100" s="1">
        <v>11</v>
      </c>
      <c r="B100" s="33" t="s">
        <v>109</v>
      </c>
      <c r="C100" s="1" t="s">
        <v>99</v>
      </c>
      <c r="D100" s="49">
        <v>30050</v>
      </c>
      <c r="E100" s="49">
        <v>30050</v>
      </c>
      <c r="F100" s="49">
        <v>30300</v>
      </c>
      <c r="G100" s="49">
        <v>30300</v>
      </c>
      <c r="H100" s="49">
        <v>30300</v>
      </c>
      <c r="I100" s="49">
        <v>1240.74</v>
      </c>
      <c r="J100" s="49">
        <v>1313.72</v>
      </c>
      <c r="K100" s="49">
        <v>1351.66</v>
      </c>
      <c r="L100" s="49">
        <v>1394.572949818237</v>
      </c>
      <c r="M100" s="49">
        <v>1446.8635521582371</v>
      </c>
      <c r="N100" s="49">
        <v>37284.237000000001</v>
      </c>
      <c r="O100" s="49">
        <v>31824.786</v>
      </c>
      <c r="P100" s="49">
        <v>33227.797999999995</v>
      </c>
      <c r="Q100" s="49">
        <v>33560.075979999994</v>
      </c>
      <c r="R100" s="49">
        <v>35553.743860000002</v>
      </c>
    </row>
    <row r="101" spans="1:18" s="2" customFormat="1" ht="27.6" hidden="1" x14ac:dyDescent="0.25">
      <c r="A101" s="1">
        <v>12</v>
      </c>
      <c r="B101" s="33" t="s">
        <v>110</v>
      </c>
      <c r="C101" s="1" t="s">
        <v>99</v>
      </c>
      <c r="D101" s="49">
        <v>17376</v>
      </c>
      <c r="E101" s="49">
        <v>17376</v>
      </c>
      <c r="F101" s="49">
        <v>17426</v>
      </c>
      <c r="G101" s="49">
        <v>17426</v>
      </c>
      <c r="H101" s="49">
        <v>17426</v>
      </c>
      <c r="I101" s="49">
        <v>1159.3599999999999</v>
      </c>
      <c r="J101" s="49">
        <v>1232.3699999999999</v>
      </c>
      <c r="K101" s="49">
        <v>1269.97</v>
      </c>
      <c r="L101" s="49">
        <v>1312.3934397521973</v>
      </c>
      <c r="M101" s="49">
        <v>1363.9819397321971</v>
      </c>
      <c r="N101" s="49">
        <v>20145.039359999999</v>
      </c>
      <c r="O101" s="49">
        <v>18826.511119999996</v>
      </c>
      <c r="P101" s="49">
        <v>19535.847220000003</v>
      </c>
      <c r="Q101" s="49">
        <v>19731.205692200001</v>
      </c>
      <c r="R101" s="49">
        <v>20903.356525400002</v>
      </c>
    </row>
    <row r="102" spans="1:18" s="2" customFormat="1" ht="27.6" hidden="1" x14ac:dyDescent="0.25">
      <c r="A102" s="1">
        <v>13</v>
      </c>
      <c r="B102" s="33" t="s">
        <v>111</v>
      </c>
      <c r="C102" s="1" t="s">
        <v>99</v>
      </c>
      <c r="D102" s="49">
        <v>5343</v>
      </c>
      <c r="E102" s="49">
        <v>5343</v>
      </c>
      <c r="F102" s="49">
        <v>5443</v>
      </c>
      <c r="G102" s="49">
        <v>5443</v>
      </c>
      <c r="H102" s="49">
        <v>5443</v>
      </c>
      <c r="I102" s="49">
        <v>2128.92</v>
      </c>
      <c r="J102" s="49">
        <v>2302.12</v>
      </c>
      <c r="K102" s="49">
        <v>2353.56</v>
      </c>
      <c r="L102" s="49">
        <v>2413.7212822154929</v>
      </c>
      <c r="M102" s="49">
        <v>2484.4780919954933</v>
      </c>
      <c r="N102" s="49">
        <v>11374.81956</v>
      </c>
      <c r="O102" s="49">
        <v>11513.77716</v>
      </c>
      <c r="P102" s="49">
        <v>12008.977079999999</v>
      </c>
      <c r="Q102" s="49">
        <v>12129.0668508</v>
      </c>
      <c r="R102" s="49">
        <v>12849.605475599999</v>
      </c>
    </row>
    <row r="103" spans="1:18" s="2" customFormat="1" ht="27.6" hidden="1" x14ac:dyDescent="0.25">
      <c r="A103" s="1">
        <v>14</v>
      </c>
      <c r="B103" s="33" t="s">
        <v>112</v>
      </c>
      <c r="C103" s="1" t="s">
        <v>99</v>
      </c>
      <c r="D103" s="49">
        <v>45500</v>
      </c>
      <c r="E103" s="49">
        <v>45500</v>
      </c>
      <c r="F103" s="49">
        <v>45700</v>
      </c>
      <c r="G103" s="49">
        <v>45700</v>
      </c>
      <c r="H103" s="49">
        <v>45700</v>
      </c>
      <c r="I103" s="49">
        <v>825.15</v>
      </c>
      <c r="J103" s="49">
        <v>849.9</v>
      </c>
      <c r="K103" s="49">
        <v>883.44</v>
      </c>
      <c r="L103" s="49">
        <v>921.38116071860918</v>
      </c>
      <c r="M103" s="49">
        <v>967.61515527860911</v>
      </c>
      <c r="N103" s="49">
        <v>37544.324999999997</v>
      </c>
      <c r="O103" s="49">
        <v>25130.43</v>
      </c>
      <c r="P103" s="49">
        <v>26663.207999999999</v>
      </c>
      <c r="Q103" s="49">
        <v>26929.840079999998</v>
      </c>
      <c r="R103" s="49">
        <v>28529.632559999998</v>
      </c>
    </row>
    <row r="104" spans="1:18" s="2" customFormat="1" ht="27.6" hidden="1" x14ac:dyDescent="0.25">
      <c r="A104" s="1">
        <v>15</v>
      </c>
      <c r="B104" s="33" t="s">
        <v>113</v>
      </c>
      <c r="C104" s="1" t="s">
        <v>99</v>
      </c>
      <c r="D104" s="49">
        <v>23000</v>
      </c>
      <c r="E104" s="49">
        <v>23000</v>
      </c>
      <c r="F104" s="49">
        <v>23000</v>
      </c>
      <c r="G104" s="49">
        <v>23000</v>
      </c>
      <c r="H104" s="49">
        <v>23000</v>
      </c>
      <c r="I104" s="49">
        <v>1001.78</v>
      </c>
      <c r="J104" s="49">
        <v>1027.95</v>
      </c>
      <c r="K104" s="49">
        <v>1064.1400000000001</v>
      </c>
      <c r="L104" s="49">
        <v>1103.5610950265982</v>
      </c>
      <c r="M104" s="49">
        <v>1152.4712821865983</v>
      </c>
      <c r="N104" s="49">
        <v>23040.94</v>
      </c>
      <c r="O104" s="49">
        <v>20192.849999999999</v>
      </c>
      <c r="P104" s="49">
        <v>21025.220000000005</v>
      </c>
      <c r="Q104" s="49">
        <v>21235.472200000004</v>
      </c>
      <c r="R104" s="49">
        <v>22496.985400000005</v>
      </c>
    </row>
    <row r="105" spans="1:18" s="2" customFormat="1" ht="13.9" hidden="1" x14ac:dyDescent="0.25">
      <c r="A105" s="9"/>
      <c r="B105" s="10" t="s">
        <v>0</v>
      </c>
      <c r="C105" s="3"/>
      <c r="D105" s="11" t="s">
        <v>8</v>
      </c>
      <c r="E105" s="11" t="s">
        <v>8</v>
      </c>
      <c r="F105" s="11" t="s">
        <v>8</v>
      </c>
      <c r="G105" s="11" t="s">
        <v>8</v>
      </c>
      <c r="H105" s="11" t="s">
        <v>8</v>
      </c>
      <c r="I105" s="11" t="s">
        <v>8</v>
      </c>
      <c r="J105" s="11" t="s">
        <v>8</v>
      </c>
      <c r="K105" s="11" t="s">
        <v>8</v>
      </c>
      <c r="L105" s="11" t="s">
        <v>8</v>
      </c>
      <c r="M105" s="11" t="s">
        <v>8</v>
      </c>
      <c r="N105" s="50">
        <f>SUM(N90:N104)</f>
        <v>397583.33435999998</v>
      </c>
      <c r="O105" s="50">
        <f>SUM(O90:O104)</f>
        <v>336277.84815999994</v>
      </c>
      <c r="P105" s="50">
        <f>SUM(P90:P104)</f>
        <v>352870.89283999999</v>
      </c>
      <c r="Q105" s="50">
        <f>SUM(Q90:Q104)</f>
        <v>355362.75946520001</v>
      </c>
      <c r="R105" s="50">
        <f>SUM(R90:R104)</f>
        <v>370306.95921639999</v>
      </c>
    </row>
    <row r="106" spans="1:18" s="2" customFormat="1" ht="13.9" hidden="1" x14ac:dyDescent="0.25">
      <c r="A106" s="140" t="s">
        <v>264</v>
      </c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</row>
    <row r="107" spans="1:18" s="2" customFormat="1" ht="27.6" hidden="1" x14ac:dyDescent="0.25">
      <c r="A107" s="1">
        <v>1</v>
      </c>
      <c r="B107" s="33" t="s">
        <v>114</v>
      </c>
      <c r="C107" s="1" t="s">
        <v>115</v>
      </c>
      <c r="D107" s="49">
        <v>200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>
        <v>5200.92</v>
      </c>
      <c r="O107" s="49">
        <v>7600</v>
      </c>
      <c r="P107" s="49">
        <v>5600</v>
      </c>
      <c r="Q107" s="49">
        <v>5824</v>
      </c>
      <c r="R107" s="49">
        <v>6057</v>
      </c>
    </row>
    <row r="108" spans="1:18" s="2" customFormat="1" ht="27.6" hidden="1" x14ac:dyDescent="0.25">
      <c r="A108" s="1"/>
      <c r="B108" s="33"/>
      <c r="C108" s="1" t="s">
        <v>116</v>
      </c>
      <c r="D108" s="49"/>
      <c r="E108" s="49">
        <v>12</v>
      </c>
      <c r="F108" s="49">
        <v>10</v>
      </c>
      <c r="G108" s="49">
        <v>11</v>
      </c>
      <c r="H108" s="49">
        <v>11</v>
      </c>
      <c r="I108" s="49"/>
      <c r="J108" s="49"/>
      <c r="K108" s="49"/>
      <c r="L108" s="49"/>
      <c r="M108" s="49"/>
      <c r="N108" s="49"/>
      <c r="O108" s="49"/>
      <c r="P108" s="49"/>
      <c r="Q108" s="49"/>
      <c r="R108" s="49"/>
    </row>
    <row r="109" spans="1:18" s="2" customFormat="1" ht="27.6" hidden="1" x14ac:dyDescent="0.25">
      <c r="A109" s="1">
        <v>2</v>
      </c>
      <c r="B109" s="33" t="s">
        <v>117</v>
      </c>
      <c r="C109" s="1" t="s">
        <v>115</v>
      </c>
      <c r="D109" s="49">
        <v>154</v>
      </c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</row>
    <row r="110" spans="1:18" s="2" customFormat="1" ht="27.6" hidden="1" x14ac:dyDescent="0.25">
      <c r="A110" s="1"/>
      <c r="B110" s="33"/>
      <c r="C110" s="1" t="s">
        <v>116</v>
      </c>
      <c r="D110" s="49"/>
      <c r="E110" s="49">
        <v>12</v>
      </c>
      <c r="F110" s="49">
        <v>10</v>
      </c>
      <c r="G110" s="49">
        <v>11</v>
      </c>
      <c r="H110" s="49">
        <v>11</v>
      </c>
      <c r="I110" s="49"/>
      <c r="J110" s="49"/>
      <c r="K110" s="49"/>
      <c r="L110" s="49"/>
      <c r="M110" s="49"/>
      <c r="N110" s="49"/>
      <c r="O110" s="49"/>
      <c r="P110" s="49"/>
      <c r="Q110" s="49"/>
      <c r="R110" s="49"/>
    </row>
    <row r="111" spans="1:18" s="2" customFormat="1" ht="27.6" hidden="1" x14ac:dyDescent="0.25">
      <c r="A111" s="1">
        <v>3</v>
      </c>
      <c r="B111" s="33" t="s">
        <v>118</v>
      </c>
      <c r="C111" s="1" t="s">
        <v>119</v>
      </c>
      <c r="D111" s="49">
        <v>1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>
        <v>500</v>
      </c>
      <c r="O111" s="49">
        <v>500</v>
      </c>
      <c r="P111" s="49">
        <v>500</v>
      </c>
      <c r="Q111" s="49">
        <v>520</v>
      </c>
      <c r="R111" s="49">
        <v>540.79999999999995</v>
      </c>
    </row>
    <row r="112" spans="1:18" s="2" customFormat="1" ht="41.45" hidden="1" x14ac:dyDescent="0.25">
      <c r="A112" s="1"/>
      <c r="B112" s="33"/>
      <c r="C112" s="1" t="s">
        <v>120</v>
      </c>
      <c r="D112" s="49"/>
      <c r="E112" s="49">
        <v>60000</v>
      </c>
      <c r="F112" s="49">
        <v>70000</v>
      </c>
      <c r="G112" s="49">
        <v>80000</v>
      </c>
      <c r="H112" s="49">
        <v>80000</v>
      </c>
      <c r="I112" s="49"/>
      <c r="J112" s="49"/>
      <c r="K112" s="49"/>
      <c r="L112" s="49"/>
      <c r="M112" s="49"/>
      <c r="N112" s="49"/>
      <c r="O112" s="49"/>
      <c r="P112" s="49"/>
      <c r="Q112" s="49"/>
      <c r="R112" s="49"/>
    </row>
    <row r="113" spans="1:18" s="2" customFormat="1" ht="110.45" hidden="1" x14ac:dyDescent="0.25">
      <c r="A113" s="1">
        <v>4</v>
      </c>
      <c r="B113" s="33" t="s">
        <v>121</v>
      </c>
      <c r="C113" s="1" t="s">
        <v>122</v>
      </c>
      <c r="D113" s="49"/>
      <c r="E113" s="49">
        <v>7</v>
      </c>
      <c r="F113" s="49">
        <v>8</v>
      </c>
      <c r="G113" s="49">
        <v>8</v>
      </c>
      <c r="H113" s="49">
        <v>8</v>
      </c>
      <c r="I113" s="49"/>
      <c r="J113" s="49"/>
      <c r="K113" s="49"/>
      <c r="L113" s="49"/>
      <c r="M113" s="49"/>
      <c r="N113" s="49"/>
      <c r="O113" s="49">
        <v>40000</v>
      </c>
      <c r="P113" s="49">
        <v>35600</v>
      </c>
      <c r="Q113" s="49">
        <v>37024</v>
      </c>
      <c r="R113" s="49">
        <v>38505</v>
      </c>
    </row>
    <row r="114" spans="1:18" s="2" customFormat="1" ht="110.45" hidden="1" x14ac:dyDescent="0.25">
      <c r="A114" s="1">
        <v>5</v>
      </c>
      <c r="B114" s="33" t="s">
        <v>123</v>
      </c>
      <c r="C114" s="1" t="s">
        <v>122</v>
      </c>
      <c r="D114" s="49"/>
      <c r="E114" s="49">
        <v>15</v>
      </c>
      <c r="F114" s="49">
        <v>12</v>
      </c>
      <c r="G114" s="49">
        <v>12</v>
      </c>
      <c r="H114" s="49">
        <v>12</v>
      </c>
      <c r="I114" s="49"/>
      <c r="J114" s="49"/>
      <c r="K114" s="49"/>
      <c r="L114" s="49"/>
      <c r="M114" s="49"/>
      <c r="N114" s="49"/>
      <c r="O114" s="49">
        <v>13000</v>
      </c>
      <c r="P114" s="49">
        <v>13000</v>
      </c>
      <c r="Q114" s="49">
        <v>13520</v>
      </c>
      <c r="R114" s="49">
        <v>14060.8</v>
      </c>
    </row>
    <row r="115" spans="1:18" s="2" customFormat="1" ht="138" hidden="1" x14ac:dyDescent="0.25">
      <c r="A115" s="1">
        <v>6</v>
      </c>
      <c r="B115" s="33" t="s">
        <v>124</v>
      </c>
      <c r="C115" s="1" t="s">
        <v>125</v>
      </c>
      <c r="D115" s="49"/>
      <c r="E115" s="49">
        <v>4</v>
      </c>
      <c r="F115" s="49">
        <v>4</v>
      </c>
      <c r="G115" s="49">
        <v>4</v>
      </c>
      <c r="H115" s="49">
        <v>4</v>
      </c>
      <c r="I115" s="49"/>
      <c r="J115" s="49"/>
      <c r="K115" s="49"/>
      <c r="L115" s="49"/>
      <c r="M115" s="49"/>
      <c r="N115" s="49"/>
      <c r="O115" s="49">
        <v>12900</v>
      </c>
      <c r="P115" s="49">
        <v>12900</v>
      </c>
      <c r="Q115" s="49">
        <v>13416</v>
      </c>
      <c r="R115" s="49">
        <v>13952.6</v>
      </c>
    </row>
    <row r="116" spans="1:18" s="2" customFormat="1" ht="138" hidden="1" x14ac:dyDescent="0.25">
      <c r="A116" s="1">
        <v>7</v>
      </c>
      <c r="B116" s="33" t="s">
        <v>126</v>
      </c>
      <c r="C116" s="1" t="s">
        <v>127</v>
      </c>
      <c r="D116" s="49"/>
      <c r="E116" s="49">
        <v>20</v>
      </c>
      <c r="F116" s="49">
        <v>20</v>
      </c>
      <c r="G116" s="49">
        <v>20</v>
      </c>
      <c r="H116" s="49">
        <v>20</v>
      </c>
      <c r="I116" s="49"/>
      <c r="J116" s="49"/>
      <c r="K116" s="49"/>
      <c r="L116" s="49"/>
      <c r="M116" s="49"/>
      <c r="N116" s="49"/>
      <c r="O116" s="49">
        <v>7900</v>
      </c>
      <c r="P116" s="49">
        <v>7900</v>
      </c>
      <c r="Q116" s="49">
        <v>8216</v>
      </c>
      <c r="R116" s="49">
        <v>8544.6</v>
      </c>
    </row>
    <row r="117" spans="1:18" s="2" customFormat="1" ht="13.9" hidden="1" x14ac:dyDescent="0.25">
      <c r="A117" s="9"/>
      <c r="B117" s="10" t="s">
        <v>0</v>
      </c>
      <c r="C117" s="3"/>
      <c r="D117" s="11" t="s">
        <v>8</v>
      </c>
      <c r="E117" s="11" t="s">
        <v>8</v>
      </c>
      <c r="F117" s="11" t="s">
        <v>8</v>
      </c>
      <c r="G117" s="11" t="s">
        <v>8</v>
      </c>
      <c r="H117" s="11" t="s">
        <v>8</v>
      </c>
      <c r="I117" s="11" t="s">
        <v>8</v>
      </c>
      <c r="J117" s="11" t="s">
        <v>8</v>
      </c>
      <c r="K117" s="11" t="s">
        <v>8</v>
      </c>
      <c r="L117" s="11" t="s">
        <v>8</v>
      </c>
      <c r="M117" s="11" t="s">
        <v>8</v>
      </c>
      <c r="N117" s="50">
        <f>SUM(N107:N116)</f>
        <v>5700.92</v>
      </c>
      <c r="O117" s="50">
        <f>SUM(O107:O116)</f>
        <v>81900</v>
      </c>
      <c r="P117" s="50">
        <f>SUM(P107:P116)</f>
        <v>75500</v>
      </c>
      <c r="Q117" s="50">
        <f>SUM(Q107:Q116)</f>
        <v>78520</v>
      </c>
      <c r="R117" s="50">
        <f>SUM(R107:R116)</f>
        <v>81660.800000000017</v>
      </c>
    </row>
    <row r="118" spans="1:18" s="2" customFormat="1" ht="13.9" hidden="1" x14ac:dyDescent="0.25">
      <c r="A118" s="140" t="s">
        <v>265</v>
      </c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</row>
    <row r="119" spans="1:18" s="2" customFormat="1" ht="41.45" hidden="1" x14ac:dyDescent="0.25">
      <c r="A119" s="1">
        <v>1</v>
      </c>
      <c r="B119" s="8" t="s">
        <v>262</v>
      </c>
      <c r="C119" s="22" t="s">
        <v>128</v>
      </c>
      <c r="D119" s="49">
        <v>110710</v>
      </c>
      <c r="E119" s="49">
        <v>69830</v>
      </c>
      <c r="F119" s="49">
        <v>83900</v>
      </c>
      <c r="G119" s="49">
        <v>83900</v>
      </c>
      <c r="H119" s="49">
        <v>83900</v>
      </c>
      <c r="I119" s="49">
        <v>102.83</v>
      </c>
      <c r="J119" s="49">
        <v>227.83</v>
      </c>
      <c r="K119" s="49"/>
      <c r="L119" s="49"/>
      <c r="M119" s="49"/>
      <c r="N119" s="49">
        <v>11384.31</v>
      </c>
      <c r="O119" s="49">
        <v>15909.3</v>
      </c>
      <c r="P119" s="49">
        <v>14889.44</v>
      </c>
      <c r="Q119" s="49" t="s">
        <v>129</v>
      </c>
      <c r="R119" s="49">
        <v>15985.76</v>
      </c>
    </row>
    <row r="120" spans="1:18" s="2" customFormat="1" ht="41.45" hidden="1" x14ac:dyDescent="0.25">
      <c r="A120" s="1">
        <v>2</v>
      </c>
      <c r="B120" s="8" t="s">
        <v>130</v>
      </c>
      <c r="C120" s="22" t="s">
        <v>128</v>
      </c>
      <c r="D120" s="49">
        <v>13014</v>
      </c>
      <c r="E120" s="49">
        <v>6312</v>
      </c>
      <c r="F120" s="49">
        <v>18302</v>
      </c>
      <c r="G120" s="49">
        <v>18302</v>
      </c>
      <c r="H120" s="49">
        <v>18302</v>
      </c>
      <c r="I120" s="49">
        <v>100.68</v>
      </c>
      <c r="J120" s="49">
        <v>300.60000000000002</v>
      </c>
      <c r="K120" s="49"/>
      <c r="L120" s="49"/>
      <c r="M120" s="49"/>
      <c r="N120" s="49">
        <v>1310.25</v>
      </c>
      <c r="O120" s="49">
        <v>1897.3</v>
      </c>
      <c r="P120" s="49">
        <v>3622.03</v>
      </c>
      <c r="Q120" s="49">
        <v>3752.8</v>
      </c>
      <c r="R120" s="49">
        <v>3888.72</v>
      </c>
    </row>
    <row r="121" spans="1:18" s="2" customFormat="1" ht="69" hidden="1" x14ac:dyDescent="0.25">
      <c r="A121" s="1">
        <v>3</v>
      </c>
      <c r="B121" s="8" t="s">
        <v>263</v>
      </c>
      <c r="C121" s="22" t="s">
        <v>128</v>
      </c>
      <c r="D121" s="49">
        <v>115256</v>
      </c>
      <c r="E121" s="49">
        <v>4088</v>
      </c>
      <c r="F121" s="49">
        <v>1400</v>
      </c>
      <c r="G121" s="49">
        <v>1400</v>
      </c>
      <c r="H121" s="49">
        <v>1400</v>
      </c>
      <c r="I121" s="49">
        <v>101.53</v>
      </c>
      <c r="J121" s="49">
        <v>141.46</v>
      </c>
      <c r="K121" s="49"/>
      <c r="L121" s="49"/>
      <c r="M121" s="49"/>
      <c r="N121" s="49">
        <v>11701.94</v>
      </c>
      <c r="O121" s="49">
        <v>578.20000000000005</v>
      </c>
      <c r="P121" s="49">
        <v>245.72</v>
      </c>
      <c r="Q121" s="49">
        <v>254.6</v>
      </c>
      <c r="R121" s="49">
        <v>263.82</v>
      </c>
    </row>
    <row r="122" spans="1:18" s="2" customFormat="1" ht="13.9" hidden="1" x14ac:dyDescent="0.25">
      <c r="A122" s="9"/>
      <c r="B122" s="10" t="s">
        <v>0</v>
      </c>
      <c r="C122" s="3"/>
      <c r="D122" s="11" t="s">
        <v>8</v>
      </c>
      <c r="E122" s="11" t="s">
        <v>8</v>
      </c>
      <c r="F122" s="11" t="s">
        <v>8</v>
      </c>
      <c r="G122" s="11" t="s">
        <v>8</v>
      </c>
      <c r="H122" s="11" t="s">
        <v>8</v>
      </c>
      <c r="I122" s="11" t="s">
        <v>8</v>
      </c>
      <c r="J122" s="11" t="s">
        <v>8</v>
      </c>
      <c r="K122" s="11" t="s">
        <v>8</v>
      </c>
      <c r="L122" s="11" t="s">
        <v>8</v>
      </c>
      <c r="M122" s="11" t="s">
        <v>8</v>
      </c>
      <c r="N122" s="50">
        <v>24396.5</v>
      </c>
      <c r="O122" s="50">
        <v>21153.4</v>
      </c>
      <c r="P122" s="50">
        <v>21815.200000000001</v>
      </c>
      <c r="Q122" s="50">
        <v>22645.8</v>
      </c>
      <c r="R122" s="50">
        <v>23509.7</v>
      </c>
    </row>
    <row r="123" spans="1:18" s="2" customFormat="1" ht="13.9" hidden="1" x14ac:dyDescent="0.25">
      <c r="A123" s="140" t="s">
        <v>253</v>
      </c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</row>
    <row r="124" spans="1:18" s="2" customFormat="1" ht="55.15" hidden="1" x14ac:dyDescent="0.25">
      <c r="A124" s="12">
        <v>1</v>
      </c>
      <c r="B124" s="41" t="s">
        <v>131</v>
      </c>
      <c r="C124" s="12" t="s">
        <v>132</v>
      </c>
      <c r="D124" s="49">
        <v>4014205</v>
      </c>
      <c r="E124" s="49">
        <v>4045061</v>
      </c>
      <c r="F124" s="49">
        <v>4364432.0000124304</v>
      </c>
      <c r="G124" s="49">
        <v>4381889</v>
      </c>
      <c r="H124" s="49">
        <v>4399417</v>
      </c>
      <c r="I124" s="49">
        <v>308.93</v>
      </c>
      <c r="J124" s="49">
        <v>303.22641313067999</v>
      </c>
      <c r="K124" s="49">
        <v>294.33176823714427</v>
      </c>
      <c r="L124" s="49">
        <v>304.13274612974493</v>
      </c>
      <c r="M124" s="49">
        <v>315.13293711010385</v>
      </c>
      <c r="N124" s="49">
        <v>1090223.3</v>
      </c>
      <c r="O124" s="49">
        <v>1231650.8</v>
      </c>
      <c r="P124" s="49">
        <v>1290437.1000000001</v>
      </c>
      <c r="Q124" s="49">
        <v>1338521</v>
      </c>
      <c r="R124" s="49">
        <v>1392245.2</v>
      </c>
    </row>
    <row r="125" spans="1:18" s="2" customFormat="1" ht="13.9" hidden="1" x14ac:dyDescent="0.25">
      <c r="A125" s="9"/>
      <c r="B125" s="10" t="s">
        <v>0</v>
      </c>
      <c r="C125" s="3"/>
      <c r="D125" s="11" t="s">
        <v>8</v>
      </c>
      <c r="E125" s="11" t="s">
        <v>8</v>
      </c>
      <c r="F125" s="11" t="s">
        <v>8</v>
      </c>
      <c r="G125" s="11" t="s">
        <v>8</v>
      </c>
      <c r="H125" s="11" t="s">
        <v>8</v>
      </c>
      <c r="I125" s="11" t="s">
        <v>8</v>
      </c>
      <c r="J125" s="11" t="s">
        <v>8</v>
      </c>
      <c r="K125" s="11" t="s">
        <v>8</v>
      </c>
      <c r="L125" s="11" t="s">
        <v>8</v>
      </c>
      <c r="M125" s="11" t="s">
        <v>8</v>
      </c>
      <c r="N125" s="50">
        <v>1090223.3</v>
      </c>
      <c r="O125" s="50">
        <v>1231650.8</v>
      </c>
      <c r="P125" s="50">
        <v>1290437.1000000001</v>
      </c>
      <c r="Q125" s="50">
        <v>1338521</v>
      </c>
      <c r="R125" s="50">
        <v>1392245.2</v>
      </c>
    </row>
    <row r="126" spans="1:18" s="2" customFormat="1" ht="13.9" hidden="1" x14ac:dyDescent="0.25">
      <c r="A126" s="140" t="s">
        <v>266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</row>
    <row r="127" spans="1:18" s="2" customFormat="1" ht="41.45" hidden="1" x14ac:dyDescent="0.25">
      <c r="A127" s="1">
        <v>1</v>
      </c>
      <c r="B127" s="33" t="s">
        <v>133</v>
      </c>
      <c r="C127" s="1" t="s">
        <v>134</v>
      </c>
      <c r="D127" s="49">
        <v>36194</v>
      </c>
      <c r="E127" s="49">
        <v>35274</v>
      </c>
      <c r="F127" s="49">
        <v>35610</v>
      </c>
      <c r="G127" s="49">
        <v>35610</v>
      </c>
      <c r="H127" s="49">
        <v>35610</v>
      </c>
      <c r="I127" s="49">
        <f>N127/D127*1000</f>
        <v>2028.0654252085983</v>
      </c>
      <c r="J127" s="49">
        <v>2216.4</v>
      </c>
      <c r="K127" s="49">
        <f>P127/F127*1000</f>
        <v>2349.3990452120197</v>
      </c>
      <c r="L127" s="49">
        <f t="shared" ref="L127:M146" si="5">Q127/G127*1000</f>
        <v>2443.3755686604891</v>
      </c>
      <c r="M127" s="49">
        <f>R127/H127*1000</f>
        <v>2541.1105914069085</v>
      </c>
      <c r="N127" s="49">
        <v>73403.8</v>
      </c>
      <c r="O127" s="49">
        <v>78181.3</v>
      </c>
      <c r="P127" s="49">
        <v>83662.100000000006</v>
      </c>
      <c r="Q127" s="49">
        <f>P127*1.04+0.02</f>
        <v>87008.604000000007</v>
      </c>
      <c r="R127" s="49">
        <f t="shared" ref="Q127:R144" si="6">Q127*1.04</f>
        <v>90488.948160000014</v>
      </c>
    </row>
    <row r="128" spans="1:18" s="2" customFormat="1" ht="55.15" hidden="1" x14ac:dyDescent="0.25">
      <c r="A128" s="1">
        <f>A127+1</f>
        <v>2</v>
      </c>
      <c r="B128" s="33" t="s">
        <v>135</v>
      </c>
      <c r="C128" s="1" t="s">
        <v>134</v>
      </c>
      <c r="D128" s="49">
        <v>2479</v>
      </c>
      <c r="E128" s="49">
        <v>2470</v>
      </c>
      <c r="F128" s="49">
        <v>2470</v>
      </c>
      <c r="G128" s="49">
        <v>2470</v>
      </c>
      <c r="H128" s="49">
        <v>2470</v>
      </c>
      <c r="I128" s="49">
        <f>N128/D128*1000</f>
        <v>43207.745058491324</v>
      </c>
      <c r="J128" s="49">
        <v>43746.39</v>
      </c>
      <c r="K128" s="49">
        <f>P128/F128*1000</f>
        <v>46265.587044534412</v>
      </c>
      <c r="L128" s="49">
        <f t="shared" si="5"/>
        <v>48116.19433198381</v>
      </c>
      <c r="M128" s="49">
        <f t="shared" si="5"/>
        <v>50040.82995951418</v>
      </c>
      <c r="N128" s="49">
        <v>107112</v>
      </c>
      <c r="O128" s="49">
        <v>110035.2</v>
      </c>
      <c r="P128" s="49">
        <v>114276</v>
      </c>
      <c r="Q128" s="49">
        <f>P128*1.04-0.04</f>
        <v>118847.00000000001</v>
      </c>
      <c r="R128" s="49">
        <f>Q128*1.04-0.03</f>
        <v>123600.85000000002</v>
      </c>
    </row>
    <row r="129" spans="1:18" s="2" customFormat="1" ht="69" hidden="1" x14ac:dyDescent="0.25">
      <c r="A129" s="1">
        <f t="shared" ref="A129:A171" si="7">A128+1</f>
        <v>3</v>
      </c>
      <c r="B129" s="33" t="s">
        <v>136</v>
      </c>
      <c r="C129" s="1" t="s">
        <v>137</v>
      </c>
      <c r="D129" s="49">
        <f>103487+16766</f>
        <v>120253</v>
      </c>
      <c r="E129" s="49">
        <f>109592+17041</f>
        <v>126633</v>
      </c>
      <c r="F129" s="49">
        <f>109156+17041</f>
        <v>126197</v>
      </c>
      <c r="G129" s="49">
        <f>109156+17041</f>
        <v>126197</v>
      </c>
      <c r="H129" s="49">
        <f>109156+17041</f>
        <v>126197</v>
      </c>
      <c r="I129" s="49">
        <f>N129/D129*1000</f>
        <v>644.37560809293745</v>
      </c>
      <c r="J129" s="49">
        <v>426.78</v>
      </c>
      <c r="K129" s="49">
        <f t="shared" ref="K129:M171" si="8">P129/F129*1000</f>
        <v>701.06896360452299</v>
      </c>
      <c r="L129" s="49">
        <f t="shared" si="5"/>
        <v>729.11172214870385</v>
      </c>
      <c r="M129" s="49">
        <f t="shared" si="5"/>
        <v>758.27619103465202</v>
      </c>
      <c r="N129" s="49">
        <f>41239.5+36248.6</f>
        <v>77488.100000000006</v>
      </c>
      <c r="O129" s="49">
        <f>46771.7+39848.4</f>
        <v>86620.1</v>
      </c>
      <c r="P129" s="49">
        <f>39298.1+49174.7</f>
        <v>88472.799999999988</v>
      </c>
      <c r="Q129" s="49">
        <f t="shared" si="6"/>
        <v>92011.711999999985</v>
      </c>
      <c r="R129" s="49">
        <f t="shared" si="6"/>
        <v>95692.180479999981</v>
      </c>
    </row>
    <row r="130" spans="1:18" s="2" customFormat="1" ht="96.6" hidden="1" x14ac:dyDescent="0.25">
      <c r="A130" s="1">
        <f t="shared" si="7"/>
        <v>4</v>
      </c>
      <c r="B130" s="33" t="s">
        <v>138</v>
      </c>
      <c r="C130" s="1" t="s">
        <v>137</v>
      </c>
      <c r="D130" s="49">
        <v>13967</v>
      </c>
      <c r="E130" s="49">
        <v>9977</v>
      </c>
      <c r="F130" s="49">
        <v>15605</v>
      </c>
      <c r="G130" s="49">
        <v>15605</v>
      </c>
      <c r="H130" s="49">
        <v>15605</v>
      </c>
      <c r="I130" s="49">
        <f>N130/D130*1000</f>
        <v>295.98338941791366</v>
      </c>
      <c r="J130" s="49">
        <v>402.53</v>
      </c>
      <c r="K130" s="49">
        <f t="shared" si="8"/>
        <v>402.60173021467483</v>
      </c>
      <c r="L130" s="49">
        <f t="shared" si="5"/>
        <v>418.70579942326179</v>
      </c>
      <c r="M130" s="49">
        <f t="shared" si="5"/>
        <v>435.45403140019226</v>
      </c>
      <c r="N130" s="49">
        <v>4134</v>
      </c>
      <c r="O130" s="49">
        <v>4016</v>
      </c>
      <c r="P130" s="49">
        <v>6282.6</v>
      </c>
      <c r="Q130" s="49">
        <f t="shared" si="6"/>
        <v>6533.9040000000005</v>
      </c>
      <c r="R130" s="49">
        <f t="shared" si="6"/>
        <v>6795.2601600000007</v>
      </c>
    </row>
    <row r="131" spans="1:18" s="2" customFormat="1" ht="41.45" hidden="1" x14ac:dyDescent="0.25">
      <c r="A131" s="1">
        <f t="shared" si="7"/>
        <v>5</v>
      </c>
      <c r="B131" s="33" t="s">
        <v>139</v>
      </c>
      <c r="C131" s="1" t="s">
        <v>137</v>
      </c>
      <c r="D131" s="49">
        <f>161739+14887+28224</f>
        <v>204850</v>
      </c>
      <c r="E131" s="49">
        <f>162846+13998+28480</f>
        <v>205324</v>
      </c>
      <c r="F131" s="49">
        <f>162911+13998+28480</f>
        <v>205389</v>
      </c>
      <c r="G131" s="49">
        <f>162911+13998+28480</f>
        <v>205389</v>
      </c>
      <c r="H131" s="49">
        <f>162911+13998+28480</f>
        <v>205389</v>
      </c>
      <c r="I131" s="49">
        <f t="shared" ref="I131:I168" si="9">N131/D131*1000</f>
        <v>681.25506468147421</v>
      </c>
      <c r="J131" s="49">
        <v>469.3</v>
      </c>
      <c r="K131" s="49">
        <f t="shared" si="8"/>
        <v>616.93810281952778</v>
      </c>
      <c r="L131" s="49">
        <f t="shared" si="5"/>
        <v>641.61567562040807</v>
      </c>
      <c r="M131" s="49">
        <f t="shared" si="5"/>
        <v>667.28030264522454</v>
      </c>
      <c r="N131" s="49">
        <f>70857.8+49598.7+19098.6</f>
        <v>139555.1</v>
      </c>
      <c r="O131" s="49">
        <f>52037.6+19782.2+76423.6</f>
        <v>148243.40000000002</v>
      </c>
      <c r="P131" s="49">
        <f>29684.2+20574+53694+22760.1</f>
        <v>126712.29999999999</v>
      </c>
      <c r="Q131" s="49">
        <f>P131*1.04+0.01</f>
        <v>131780.802</v>
      </c>
      <c r="R131" s="49">
        <f t="shared" si="6"/>
        <v>137052.03408000001</v>
      </c>
    </row>
    <row r="132" spans="1:18" s="2" customFormat="1" ht="41.45" hidden="1" x14ac:dyDescent="0.25">
      <c r="A132" s="1">
        <f t="shared" si="7"/>
        <v>6</v>
      </c>
      <c r="B132" s="33" t="s">
        <v>140</v>
      </c>
      <c r="C132" s="1" t="s">
        <v>137</v>
      </c>
      <c r="D132" s="49">
        <v>252156</v>
      </c>
      <c r="E132" s="49">
        <v>235620</v>
      </c>
      <c r="F132" s="49">
        <v>236303</v>
      </c>
      <c r="G132" s="49">
        <v>236303</v>
      </c>
      <c r="H132" s="49">
        <v>236303</v>
      </c>
      <c r="I132" s="49">
        <f t="shared" si="9"/>
        <v>459.48619108805661</v>
      </c>
      <c r="J132" s="49">
        <v>506.86</v>
      </c>
      <c r="K132" s="49">
        <f t="shared" si="8"/>
        <v>527.12999834957657</v>
      </c>
      <c r="L132" s="49">
        <f t="shared" si="5"/>
        <v>548.21519828355974</v>
      </c>
      <c r="M132" s="49">
        <f t="shared" si="5"/>
        <v>570.14380621490204</v>
      </c>
      <c r="N132" s="49">
        <v>115862.2</v>
      </c>
      <c r="O132" s="49">
        <v>124967.4</v>
      </c>
      <c r="P132" s="49">
        <f>68067.8+56494.6</f>
        <v>124562.4</v>
      </c>
      <c r="Q132" s="49">
        <f t="shared" si="6"/>
        <v>129544.89599999999</v>
      </c>
      <c r="R132" s="49">
        <f t="shared" si="6"/>
        <v>134726.69183999998</v>
      </c>
    </row>
    <row r="133" spans="1:18" s="2" customFormat="1" ht="55.15" hidden="1" x14ac:dyDescent="0.25">
      <c r="A133" s="1">
        <f t="shared" si="7"/>
        <v>7</v>
      </c>
      <c r="B133" s="33" t="s">
        <v>141</v>
      </c>
      <c r="C133" s="1" t="s">
        <v>137</v>
      </c>
      <c r="D133" s="49">
        <v>69821</v>
      </c>
      <c r="E133" s="49">
        <v>64868</v>
      </c>
      <c r="F133" s="49">
        <v>65480</v>
      </c>
      <c r="G133" s="49">
        <v>65480</v>
      </c>
      <c r="H133" s="49">
        <v>65480</v>
      </c>
      <c r="I133" s="49">
        <f>N133/D133*1000</f>
        <v>704.38550006445053</v>
      </c>
      <c r="J133" s="49">
        <v>770.32</v>
      </c>
      <c r="K133" s="49">
        <f t="shared" si="8"/>
        <v>801.09957238851564</v>
      </c>
      <c r="L133" s="49">
        <f t="shared" si="5"/>
        <v>833.14355528405622</v>
      </c>
      <c r="M133" s="49">
        <f t="shared" si="5"/>
        <v>866.46929749541857</v>
      </c>
      <c r="N133" s="49">
        <v>49180.9</v>
      </c>
      <c r="O133" s="49">
        <v>58361.9</v>
      </c>
      <c r="P133" s="49">
        <f>29576.6+22879.4</f>
        <v>52456</v>
      </c>
      <c r="Q133" s="49">
        <f t="shared" si="6"/>
        <v>54554.240000000005</v>
      </c>
      <c r="R133" s="49">
        <f t="shared" si="6"/>
        <v>56736.409600000006</v>
      </c>
    </row>
    <row r="134" spans="1:18" s="2" customFormat="1" ht="41.45" hidden="1" x14ac:dyDescent="0.25">
      <c r="A134" s="1">
        <f t="shared" si="7"/>
        <v>8</v>
      </c>
      <c r="B134" s="33" t="s">
        <v>142</v>
      </c>
      <c r="C134" s="1" t="s">
        <v>137</v>
      </c>
      <c r="D134" s="49">
        <v>42286</v>
      </c>
      <c r="E134" s="49">
        <v>43412</v>
      </c>
      <c r="F134" s="49">
        <v>44297</v>
      </c>
      <c r="G134" s="49">
        <v>44297</v>
      </c>
      <c r="H134" s="49">
        <v>44297</v>
      </c>
      <c r="I134" s="49">
        <f>N134/D134*1000</f>
        <v>494.82334578820411</v>
      </c>
      <c r="J134" s="49">
        <v>536.11</v>
      </c>
      <c r="K134" s="49">
        <f t="shared" si="8"/>
        <v>536.20109713976115</v>
      </c>
      <c r="L134" s="49">
        <f t="shared" si="5"/>
        <v>557.6491410253517</v>
      </c>
      <c r="M134" s="49">
        <f t="shared" si="5"/>
        <v>579.95510666636574</v>
      </c>
      <c r="N134" s="49">
        <v>20924.099999999999</v>
      </c>
      <c r="O134" s="49">
        <v>23273.5</v>
      </c>
      <c r="P134" s="49">
        <v>23752.1</v>
      </c>
      <c r="Q134" s="49">
        <f t="shared" si="6"/>
        <v>24702.184000000001</v>
      </c>
      <c r="R134" s="49">
        <f t="shared" si="6"/>
        <v>25690.271360000002</v>
      </c>
    </row>
    <row r="135" spans="1:18" s="2" customFormat="1" ht="41.45" hidden="1" x14ac:dyDescent="0.25">
      <c r="A135" s="1">
        <f t="shared" si="7"/>
        <v>9</v>
      </c>
      <c r="B135" s="33" t="s">
        <v>143</v>
      </c>
      <c r="C135" s="1" t="s">
        <v>137</v>
      </c>
      <c r="D135" s="49"/>
      <c r="E135" s="49"/>
      <c r="F135" s="49">
        <v>2000</v>
      </c>
      <c r="G135" s="49">
        <v>2000</v>
      </c>
      <c r="H135" s="49">
        <v>2000</v>
      </c>
      <c r="I135" s="49"/>
      <c r="J135" s="49"/>
      <c r="K135" s="49">
        <f t="shared" si="8"/>
        <v>7013.8</v>
      </c>
      <c r="L135" s="49">
        <f t="shared" si="5"/>
        <v>7294.3520000000008</v>
      </c>
      <c r="M135" s="49">
        <f t="shared" si="5"/>
        <v>7586.1260800000009</v>
      </c>
      <c r="N135" s="49"/>
      <c r="O135" s="49"/>
      <c r="P135" s="49">
        <v>14027.6</v>
      </c>
      <c r="Q135" s="49">
        <f t="shared" si="6"/>
        <v>14588.704000000002</v>
      </c>
      <c r="R135" s="49">
        <f t="shared" si="6"/>
        <v>15172.252160000002</v>
      </c>
    </row>
    <row r="136" spans="1:18" s="2" customFormat="1" ht="27.6" hidden="1" x14ac:dyDescent="0.25">
      <c r="A136" s="1">
        <f t="shared" si="7"/>
        <v>10</v>
      </c>
      <c r="B136" s="33" t="s">
        <v>144</v>
      </c>
      <c r="C136" s="1" t="s">
        <v>137</v>
      </c>
      <c r="D136" s="49">
        <v>0</v>
      </c>
      <c r="E136" s="49">
        <v>20551</v>
      </c>
      <c r="F136" s="49">
        <v>20551</v>
      </c>
      <c r="G136" s="49">
        <v>20551</v>
      </c>
      <c r="H136" s="49">
        <v>20551</v>
      </c>
      <c r="I136" s="49">
        <v>0</v>
      </c>
      <c r="J136" s="49">
        <v>386.49</v>
      </c>
      <c r="K136" s="49">
        <f t="shared" si="8"/>
        <v>401.9999026811347</v>
      </c>
      <c r="L136" s="49">
        <f t="shared" si="5"/>
        <v>418.07989878838021</v>
      </c>
      <c r="M136" s="49">
        <f t="shared" si="5"/>
        <v>434.80114836261015</v>
      </c>
      <c r="N136" s="49">
        <v>0</v>
      </c>
      <c r="O136" s="49">
        <v>7942.7</v>
      </c>
      <c r="P136" s="49">
        <f>826.1+7435.4</f>
        <v>8261.5</v>
      </c>
      <c r="Q136" s="49">
        <f t="shared" si="6"/>
        <v>8591.9600000000009</v>
      </c>
      <c r="R136" s="49">
        <f>Q136*1.04-0.04</f>
        <v>8935.5984000000008</v>
      </c>
    </row>
    <row r="137" spans="1:18" s="2" customFormat="1" ht="27.6" hidden="1" x14ac:dyDescent="0.25">
      <c r="A137" s="1">
        <f t="shared" si="7"/>
        <v>11</v>
      </c>
      <c r="B137" s="33" t="s">
        <v>145</v>
      </c>
      <c r="C137" s="1" t="s">
        <v>137</v>
      </c>
      <c r="D137" s="49"/>
      <c r="E137" s="49"/>
      <c r="F137" s="49">
        <v>15000</v>
      </c>
      <c r="G137" s="49">
        <v>15000</v>
      </c>
      <c r="H137" s="49">
        <v>15000</v>
      </c>
      <c r="I137" s="49"/>
      <c r="J137" s="49"/>
      <c r="K137" s="49">
        <f t="shared" si="8"/>
        <v>1811.6000000000001</v>
      </c>
      <c r="L137" s="49">
        <f t="shared" si="5"/>
        <v>1884.0666666666671</v>
      </c>
      <c r="M137" s="49">
        <f t="shared" si="5"/>
        <v>1959.4266666666672</v>
      </c>
      <c r="N137" s="49"/>
      <c r="O137" s="49"/>
      <c r="P137" s="49">
        <v>27174</v>
      </c>
      <c r="Q137" s="49">
        <f>P137*1.04+0.04</f>
        <v>28261.000000000004</v>
      </c>
      <c r="R137" s="49">
        <f>Q137*1.04-0.04</f>
        <v>29391.400000000005</v>
      </c>
    </row>
    <row r="138" spans="1:18" s="2" customFormat="1" ht="55.15" hidden="1" x14ac:dyDescent="0.25">
      <c r="A138" s="1">
        <f t="shared" si="7"/>
        <v>12</v>
      </c>
      <c r="B138" s="33" t="s">
        <v>146</v>
      </c>
      <c r="C138" s="1" t="s">
        <v>137</v>
      </c>
      <c r="D138" s="49">
        <v>420</v>
      </c>
      <c r="E138" s="49">
        <v>1349</v>
      </c>
      <c r="F138" s="49">
        <v>1440</v>
      </c>
      <c r="G138" s="49">
        <v>1440</v>
      </c>
      <c r="H138" s="49">
        <v>1440</v>
      </c>
      <c r="I138" s="49">
        <f t="shared" si="9"/>
        <v>6972.8571428571422</v>
      </c>
      <c r="J138" s="49">
        <v>6977.76</v>
      </c>
      <c r="K138" s="49">
        <f>P138/F138*1000</f>
        <v>7256.875</v>
      </c>
      <c r="L138" s="49">
        <f t="shared" si="5"/>
        <v>7547.0805555555553</v>
      </c>
      <c r="M138" s="49">
        <f t="shared" si="5"/>
        <v>7848.9568333333336</v>
      </c>
      <c r="N138" s="49">
        <v>2928.6</v>
      </c>
      <c r="O138" s="49">
        <v>9413</v>
      </c>
      <c r="P138" s="49">
        <v>10449.9</v>
      </c>
      <c r="Q138" s="49">
        <f>P138*1.04-0.1</f>
        <v>10867.796</v>
      </c>
      <c r="R138" s="49">
        <f>Q138*1.04-0.01</f>
        <v>11302.49784</v>
      </c>
    </row>
    <row r="139" spans="1:18" s="2" customFormat="1" ht="55.15" hidden="1" x14ac:dyDescent="0.25">
      <c r="A139" s="1">
        <f t="shared" si="7"/>
        <v>13</v>
      </c>
      <c r="B139" s="33" t="s">
        <v>147</v>
      </c>
      <c r="C139" s="1" t="s">
        <v>137</v>
      </c>
      <c r="D139" s="49"/>
      <c r="E139" s="49"/>
      <c r="F139" s="49">
        <v>1347</v>
      </c>
      <c r="G139" s="49">
        <v>1347</v>
      </c>
      <c r="H139" s="49">
        <v>1347</v>
      </c>
      <c r="I139" s="49"/>
      <c r="J139" s="49"/>
      <c r="K139" s="49">
        <f>P139/F139*1000</f>
        <v>727.46844840386041</v>
      </c>
      <c r="L139" s="49">
        <f t="shared" si="5"/>
        <v>756.56718634001481</v>
      </c>
      <c r="M139" s="49">
        <f t="shared" si="5"/>
        <v>786.83729769858951</v>
      </c>
      <c r="N139" s="49"/>
      <c r="O139" s="49"/>
      <c r="P139" s="49">
        <v>979.9</v>
      </c>
      <c r="Q139" s="49">
        <f t="shared" si="6"/>
        <v>1019.096</v>
      </c>
      <c r="R139" s="49">
        <f>Q139*1.04+0.01</f>
        <v>1059.8698400000001</v>
      </c>
    </row>
    <row r="140" spans="1:18" s="2" customFormat="1" ht="27.6" hidden="1" x14ac:dyDescent="0.25">
      <c r="A140" s="1">
        <f t="shared" si="7"/>
        <v>14</v>
      </c>
      <c r="B140" s="33" t="s">
        <v>148</v>
      </c>
      <c r="C140" s="1" t="s">
        <v>137</v>
      </c>
      <c r="D140" s="49">
        <v>1236</v>
      </c>
      <c r="E140" s="49">
        <v>13759</v>
      </c>
      <c r="F140" s="49">
        <f>15793</f>
        <v>15793</v>
      </c>
      <c r="G140" s="49">
        <f>15793</f>
        <v>15793</v>
      </c>
      <c r="H140" s="49">
        <f>15793</f>
        <v>15793</v>
      </c>
      <c r="I140" s="49">
        <f t="shared" si="9"/>
        <v>523.54368932038847</v>
      </c>
      <c r="J140" s="49">
        <v>544.67999999999995</v>
      </c>
      <c r="K140" s="49">
        <f t="shared" si="8"/>
        <v>555.60058253656689</v>
      </c>
      <c r="L140" s="49">
        <f t="shared" si="5"/>
        <v>577.82587222187055</v>
      </c>
      <c r="M140" s="49">
        <f t="shared" si="5"/>
        <v>600.93890711074539</v>
      </c>
      <c r="N140" s="49">
        <v>647.1</v>
      </c>
      <c r="O140" s="49">
        <v>7494.3</v>
      </c>
      <c r="P140" s="49">
        <f>8774.6</f>
        <v>8774.6</v>
      </c>
      <c r="Q140" s="49">
        <f>P140*1.04+0.02</f>
        <v>9125.6040000000012</v>
      </c>
      <c r="R140" s="49">
        <f t="shared" si="6"/>
        <v>9490.628160000002</v>
      </c>
    </row>
    <row r="141" spans="1:18" s="2" customFormat="1" ht="55.15" hidden="1" x14ac:dyDescent="0.25">
      <c r="A141" s="1">
        <f t="shared" si="7"/>
        <v>15</v>
      </c>
      <c r="B141" s="33" t="s">
        <v>149</v>
      </c>
      <c r="C141" s="1" t="s">
        <v>150</v>
      </c>
      <c r="D141" s="49">
        <v>383</v>
      </c>
      <c r="E141" s="49">
        <v>390</v>
      </c>
      <c r="F141" s="49">
        <v>390</v>
      </c>
      <c r="G141" s="49">
        <v>390</v>
      </c>
      <c r="H141" s="49">
        <v>390</v>
      </c>
      <c r="I141" s="49">
        <f t="shared" si="9"/>
        <v>18156.135770234985</v>
      </c>
      <c r="J141" s="49">
        <v>19248.11</v>
      </c>
      <c r="K141" s="49">
        <f t="shared" si="8"/>
        <v>19697.179487179485</v>
      </c>
      <c r="L141" s="49">
        <f t="shared" si="5"/>
        <v>20485.066666666666</v>
      </c>
      <c r="M141" s="49">
        <f t="shared" si="5"/>
        <v>21304.469333333334</v>
      </c>
      <c r="N141" s="49">
        <v>6953.8</v>
      </c>
      <c r="O141" s="49">
        <v>7506.8</v>
      </c>
      <c r="P141" s="49">
        <v>7681.9</v>
      </c>
      <c r="Q141" s="49">
        <f t="shared" si="6"/>
        <v>7989.1759999999995</v>
      </c>
      <c r="R141" s="49">
        <f t="shared" si="6"/>
        <v>8308.7430399999994</v>
      </c>
    </row>
    <row r="142" spans="1:18" s="2" customFormat="1" ht="41.45" hidden="1" x14ac:dyDescent="0.25">
      <c r="A142" s="1">
        <f t="shared" si="7"/>
        <v>16</v>
      </c>
      <c r="B142" s="33" t="s">
        <v>151</v>
      </c>
      <c r="C142" s="1" t="s">
        <v>150</v>
      </c>
      <c r="D142" s="49">
        <v>322</v>
      </c>
      <c r="E142" s="49">
        <v>342</v>
      </c>
      <c r="F142" s="49">
        <v>502</v>
      </c>
      <c r="G142" s="49">
        <v>502</v>
      </c>
      <c r="H142" s="49">
        <v>502</v>
      </c>
      <c r="I142" s="49">
        <f t="shared" si="9"/>
        <v>16910.248447204973</v>
      </c>
      <c r="J142" s="49">
        <v>15986.55</v>
      </c>
      <c r="K142" s="49">
        <f t="shared" si="8"/>
        <v>16481.474103585657</v>
      </c>
      <c r="L142" s="49">
        <f t="shared" si="5"/>
        <v>17140.733067729088</v>
      </c>
      <c r="M142" s="49">
        <f t="shared" si="5"/>
        <v>17826.362390438248</v>
      </c>
      <c r="N142" s="49">
        <f>5462-16.9</f>
        <v>5445.1</v>
      </c>
      <c r="O142" s="49">
        <v>5467.4</v>
      </c>
      <c r="P142" s="49">
        <v>8273.7000000000007</v>
      </c>
      <c r="Q142" s="49">
        <f t="shared" si="6"/>
        <v>8604.648000000001</v>
      </c>
      <c r="R142" s="49">
        <f t="shared" si="6"/>
        <v>8948.8339200000009</v>
      </c>
    </row>
    <row r="143" spans="1:18" s="2" customFormat="1" ht="41.45" hidden="1" x14ac:dyDescent="0.25">
      <c r="A143" s="1">
        <f t="shared" si="7"/>
        <v>17</v>
      </c>
      <c r="B143" s="33" t="s">
        <v>152</v>
      </c>
      <c r="C143" s="1" t="s">
        <v>150</v>
      </c>
      <c r="D143" s="49">
        <v>676</v>
      </c>
      <c r="E143" s="49">
        <v>1030</v>
      </c>
      <c r="F143" s="49">
        <v>1030</v>
      </c>
      <c r="G143" s="49">
        <v>1030</v>
      </c>
      <c r="H143" s="49">
        <v>1030</v>
      </c>
      <c r="I143" s="49">
        <f t="shared" si="9"/>
        <v>11935.502958579882</v>
      </c>
      <c r="J143" s="49">
        <v>11043.32</v>
      </c>
      <c r="K143" s="49">
        <f t="shared" si="8"/>
        <v>11317.57281553398</v>
      </c>
      <c r="L143" s="49">
        <f t="shared" si="5"/>
        <v>11770.266019417475</v>
      </c>
      <c r="M143" s="49">
        <f t="shared" si="5"/>
        <v>12241.086368932039</v>
      </c>
      <c r="N143" s="49">
        <v>8068.4</v>
      </c>
      <c r="O143" s="49">
        <v>11374.6</v>
      </c>
      <c r="P143" s="49">
        <v>11657.1</v>
      </c>
      <c r="Q143" s="49">
        <f>P143*1.04-0.01</f>
        <v>12123.374</v>
      </c>
      <c r="R143" s="49">
        <f>Q143*1.04+0.01</f>
        <v>12608.318960000001</v>
      </c>
    </row>
    <row r="144" spans="1:18" s="2" customFormat="1" ht="55.15" hidden="1" x14ac:dyDescent="0.25">
      <c r="A144" s="1">
        <f t="shared" si="7"/>
        <v>18</v>
      </c>
      <c r="B144" s="33" t="s">
        <v>153</v>
      </c>
      <c r="C144" s="1" t="s">
        <v>154</v>
      </c>
      <c r="D144" s="49">
        <f>249+577</f>
        <v>826</v>
      </c>
      <c r="E144" s="49">
        <v>796</v>
      </c>
      <c r="F144" s="49">
        <f>547+261</f>
        <v>808</v>
      </c>
      <c r="G144" s="49">
        <f>547+261</f>
        <v>808</v>
      </c>
      <c r="H144" s="49">
        <f>547+261</f>
        <v>808</v>
      </c>
      <c r="I144" s="49">
        <f t="shared" si="9"/>
        <v>229586.56174334142</v>
      </c>
      <c r="J144" s="49">
        <v>148751</v>
      </c>
      <c r="K144" s="49">
        <f t="shared" si="8"/>
        <v>225177.72277227719</v>
      </c>
      <c r="L144" s="49">
        <f t="shared" si="5"/>
        <v>234184.83168316828</v>
      </c>
      <c r="M144" s="49">
        <f t="shared" si="5"/>
        <v>243552.22495049503</v>
      </c>
      <c r="N144" s="49">
        <f>37039+152599.5</f>
        <v>189638.5</v>
      </c>
      <c r="O144" s="49">
        <v>181704.4</v>
      </c>
      <c r="P144" s="49">
        <f>43064.8+138878.8</f>
        <v>181943.59999999998</v>
      </c>
      <c r="Q144" s="49">
        <f t="shared" si="6"/>
        <v>189221.34399999998</v>
      </c>
      <c r="R144" s="49">
        <f t="shared" si="6"/>
        <v>196790.19775999998</v>
      </c>
    </row>
    <row r="145" spans="1:18" s="2" customFormat="1" ht="55.15" hidden="1" x14ac:dyDescent="0.25">
      <c r="A145" s="1">
        <f t="shared" si="7"/>
        <v>19</v>
      </c>
      <c r="B145" s="33" t="s">
        <v>155</v>
      </c>
      <c r="C145" s="1" t="s">
        <v>154</v>
      </c>
      <c r="D145" s="49">
        <v>47</v>
      </c>
      <c r="E145" s="49">
        <v>47</v>
      </c>
      <c r="F145" s="49">
        <v>56</v>
      </c>
      <c r="G145" s="49">
        <v>56</v>
      </c>
      <c r="H145" s="49">
        <v>56</v>
      </c>
      <c r="I145" s="49">
        <f t="shared" si="9"/>
        <v>150234.04255319151</v>
      </c>
      <c r="J145" s="49">
        <v>150233.09</v>
      </c>
      <c r="K145" s="49">
        <f t="shared" si="8"/>
        <v>144223.21428571429</v>
      </c>
      <c r="L145" s="49">
        <f t="shared" si="5"/>
        <v>149992.14285714284</v>
      </c>
      <c r="M145" s="49">
        <f t="shared" si="5"/>
        <v>155991.82857142857</v>
      </c>
      <c r="N145" s="49">
        <v>7061</v>
      </c>
      <c r="O145" s="49">
        <v>7061</v>
      </c>
      <c r="P145" s="49">
        <v>8076.5</v>
      </c>
      <c r="Q145" s="49">
        <f t="shared" ref="Q145:R160" si="10">P145*1.04</f>
        <v>8399.56</v>
      </c>
      <c r="R145" s="49">
        <f t="shared" si="10"/>
        <v>8735.5424000000003</v>
      </c>
    </row>
    <row r="146" spans="1:18" s="2" customFormat="1" ht="55.15" hidden="1" x14ac:dyDescent="0.25">
      <c r="A146" s="1">
        <f t="shared" si="7"/>
        <v>20</v>
      </c>
      <c r="B146" s="33" t="s">
        <v>156</v>
      </c>
      <c r="C146" s="1" t="s">
        <v>154</v>
      </c>
      <c r="D146" s="49">
        <v>13</v>
      </c>
      <c r="E146" s="49">
        <v>13</v>
      </c>
      <c r="F146" s="49">
        <v>14</v>
      </c>
      <c r="G146" s="49">
        <v>14</v>
      </c>
      <c r="H146" s="49">
        <v>14</v>
      </c>
      <c r="I146" s="49">
        <f t="shared" si="9"/>
        <v>577792.30769230775</v>
      </c>
      <c r="J146" s="49">
        <v>577798.52</v>
      </c>
      <c r="K146" s="49">
        <f t="shared" si="8"/>
        <v>554685.71428571432</v>
      </c>
      <c r="L146" s="49">
        <f t="shared" si="5"/>
        <v>576873.14285714296</v>
      </c>
      <c r="M146" s="49">
        <f t="shared" si="5"/>
        <v>599948.06857142877</v>
      </c>
      <c r="N146" s="49">
        <v>7511.3</v>
      </c>
      <c r="O146" s="49">
        <v>7511.3</v>
      </c>
      <c r="P146" s="49">
        <v>7765.6</v>
      </c>
      <c r="Q146" s="49">
        <f t="shared" si="10"/>
        <v>8076.2240000000011</v>
      </c>
      <c r="R146" s="49">
        <f t="shared" si="10"/>
        <v>8399.2729600000021</v>
      </c>
    </row>
    <row r="147" spans="1:18" s="2" customFormat="1" ht="55.15" hidden="1" x14ac:dyDescent="0.25">
      <c r="A147" s="1">
        <f t="shared" si="7"/>
        <v>21</v>
      </c>
      <c r="B147" s="33" t="s">
        <v>157</v>
      </c>
      <c r="C147" s="1" t="s">
        <v>154</v>
      </c>
      <c r="D147" s="49">
        <v>34</v>
      </c>
      <c r="E147" s="49">
        <f>34</f>
        <v>34</v>
      </c>
      <c r="F147" s="49">
        <v>34</v>
      </c>
      <c r="G147" s="49">
        <v>34</v>
      </c>
      <c r="H147" s="49">
        <v>34</v>
      </c>
      <c r="I147" s="49">
        <f t="shared" si="9"/>
        <v>212423.5294117647</v>
      </c>
      <c r="J147" s="49">
        <v>212423</v>
      </c>
      <c r="K147" s="49">
        <f t="shared" si="8"/>
        <v>203926.4705882353</v>
      </c>
      <c r="L147" s="49">
        <f t="shared" si="8"/>
        <v>212083.52941176473</v>
      </c>
      <c r="M147" s="49">
        <f t="shared" si="8"/>
        <v>220566.8705882353</v>
      </c>
      <c r="N147" s="49">
        <v>7222.4</v>
      </c>
      <c r="O147" s="49">
        <v>7222.4</v>
      </c>
      <c r="P147" s="49">
        <v>6933.5</v>
      </c>
      <c r="Q147" s="49">
        <f t="shared" si="10"/>
        <v>7210.84</v>
      </c>
      <c r="R147" s="49">
        <f t="shared" si="10"/>
        <v>7499.2736000000004</v>
      </c>
    </row>
    <row r="148" spans="1:18" s="2" customFormat="1" ht="55.15" hidden="1" x14ac:dyDescent="0.25">
      <c r="A148" s="1">
        <f t="shared" si="7"/>
        <v>22</v>
      </c>
      <c r="B148" s="47" t="s">
        <v>158</v>
      </c>
      <c r="C148" s="1" t="s">
        <v>154</v>
      </c>
      <c r="D148" s="49">
        <f>325+52</f>
        <v>377</v>
      </c>
      <c r="E148" s="49">
        <f>325+49</f>
        <v>374</v>
      </c>
      <c r="F148" s="49">
        <f>325+49</f>
        <v>374</v>
      </c>
      <c r="G148" s="49">
        <f>325+49</f>
        <v>374</v>
      </c>
      <c r="H148" s="49">
        <f>325+49</f>
        <v>374</v>
      </c>
      <c r="I148" s="49">
        <f t="shared" si="9"/>
        <v>249932.36074270558</v>
      </c>
      <c r="J148" s="49">
        <v>267350.09999999998</v>
      </c>
      <c r="K148" s="49">
        <f t="shared" si="8"/>
        <v>242741.44385026739</v>
      </c>
      <c r="L148" s="49">
        <f t="shared" si="8"/>
        <v>252451.10160427808</v>
      </c>
      <c r="M148" s="49">
        <f t="shared" si="8"/>
        <v>262549.14566844923</v>
      </c>
      <c r="N148" s="49">
        <f>7335.7+86888.8</f>
        <v>94224.5</v>
      </c>
      <c r="O148" s="49">
        <f>86888.8+8294.7</f>
        <v>95183.5</v>
      </c>
      <c r="P148" s="49">
        <f>83413.2+7372.1</f>
        <v>90785.3</v>
      </c>
      <c r="Q148" s="49">
        <f t="shared" si="10"/>
        <v>94416.712</v>
      </c>
      <c r="R148" s="49">
        <f t="shared" si="10"/>
        <v>98193.380480000007</v>
      </c>
    </row>
    <row r="149" spans="1:18" s="2" customFormat="1" ht="55.15" hidden="1" x14ac:dyDescent="0.25">
      <c r="A149" s="1">
        <f t="shared" si="7"/>
        <v>23</v>
      </c>
      <c r="B149" s="33" t="s">
        <v>159</v>
      </c>
      <c r="C149" s="1" t="s">
        <v>154</v>
      </c>
      <c r="D149" s="49">
        <v>434</v>
      </c>
      <c r="E149" s="49">
        <v>434</v>
      </c>
      <c r="F149" s="49">
        <v>434</v>
      </c>
      <c r="G149" s="49">
        <v>434</v>
      </c>
      <c r="H149" s="49">
        <v>434</v>
      </c>
      <c r="I149" s="49">
        <f t="shared" si="9"/>
        <v>136350.46082949307</v>
      </c>
      <c r="J149" s="49">
        <v>136350.68</v>
      </c>
      <c r="K149" s="49">
        <f>P149/F149*1000</f>
        <v>130896.77419354836</v>
      </c>
      <c r="L149" s="49">
        <f t="shared" si="8"/>
        <v>136132.64516129033</v>
      </c>
      <c r="M149" s="49">
        <f t="shared" si="8"/>
        <v>141577.95096774196</v>
      </c>
      <c r="N149" s="49">
        <v>59176.1</v>
      </c>
      <c r="O149" s="49">
        <v>59176.2</v>
      </c>
      <c r="P149" s="49">
        <v>56809.2</v>
      </c>
      <c r="Q149" s="49">
        <f t="shared" si="10"/>
        <v>59081.567999999999</v>
      </c>
      <c r="R149" s="49">
        <f t="shared" si="10"/>
        <v>61444.830719999998</v>
      </c>
    </row>
    <row r="150" spans="1:18" s="2" customFormat="1" ht="55.15" hidden="1" x14ac:dyDescent="0.25">
      <c r="A150" s="1">
        <f t="shared" si="7"/>
        <v>24</v>
      </c>
      <c r="B150" s="33" t="s">
        <v>160</v>
      </c>
      <c r="C150" s="1" t="s">
        <v>154</v>
      </c>
      <c r="D150" s="49">
        <f>728+96</f>
        <v>824</v>
      </c>
      <c r="E150" s="49">
        <f>728+104</f>
        <v>832</v>
      </c>
      <c r="F150" s="49">
        <f>728+104</f>
        <v>832</v>
      </c>
      <c r="G150" s="49">
        <f>728+104</f>
        <v>832</v>
      </c>
      <c r="H150" s="49">
        <f>728+104</f>
        <v>832</v>
      </c>
      <c r="I150" s="49">
        <f t="shared" si="9"/>
        <v>297536.40776699031</v>
      </c>
      <c r="J150" s="49">
        <v>299790.51</v>
      </c>
      <c r="K150" s="49">
        <f t="shared" si="8"/>
        <v>287798.91826923081</v>
      </c>
      <c r="L150" s="49">
        <f t="shared" si="8"/>
        <v>299310.875</v>
      </c>
      <c r="M150" s="49">
        <f t="shared" si="8"/>
        <v>311283.31000000006</v>
      </c>
      <c r="N150" s="49">
        <f>26922.7+218247.3</f>
        <v>245170</v>
      </c>
      <c r="O150" s="49">
        <f>218247.5+29280.5</f>
        <v>247528</v>
      </c>
      <c r="P150" s="49">
        <f>29931.1+209517.6</f>
        <v>239448.7</v>
      </c>
      <c r="Q150" s="49">
        <f t="shared" si="10"/>
        <v>249026.64800000002</v>
      </c>
      <c r="R150" s="49">
        <f t="shared" si="10"/>
        <v>258987.71392000004</v>
      </c>
    </row>
    <row r="151" spans="1:18" s="2" customFormat="1" ht="55.15" hidden="1" x14ac:dyDescent="0.25">
      <c r="A151" s="1">
        <f t="shared" si="7"/>
        <v>25</v>
      </c>
      <c r="B151" s="33" t="s">
        <v>161</v>
      </c>
      <c r="C151" s="1" t="s">
        <v>154</v>
      </c>
      <c r="D151" s="49">
        <f>171+29</f>
        <v>200</v>
      </c>
      <c r="E151" s="49">
        <f>171+28</f>
        <v>199</v>
      </c>
      <c r="F151" s="49">
        <f>171+28</f>
        <v>199</v>
      </c>
      <c r="G151" s="49">
        <f>171+28</f>
        <v>199</v>
      </c>
      <c r="H151" s="49">
        <f>171+28</f>
        <v>199</v>
      </c>
      <c r="I151" s="49">
        <f t="shared" si="9"/>
        <v>224353.99999999997</v>
      </c>
      <c r="J151" s="49">
        <v>241726.2</v>
      </c>
      <c r="K151" s="49">
        <f t="shared" si="8"/>
        <v>212929.64824120601</v>
      </c>
      <c r="L151" s="49">
        <f t="shared" si="8"/>
        <v>221446.83417085427</v>
      </c>
      <c r="M151" s="49">
        <f t="shared" si="8"/>
        <v>230304.70753768843</v>
      </c>
      <c r="N151" s="49">
        <f>3535.6+41335.2</f>
        <v>44870.799999999996</v>
      </c>
      <c r="O151" s="49">
        <f>41335.2+2865.4</f>
        <v>44200.6</v>
      </c>
      <c r="P151" s="49">
        <f>39681.8+2691.2</f>
        <v>42373</v>
      </c>
      <c r="Q151" s="49">
        <f t="shared" si="10"/>
        <v>44067.92</v>
      </c>
      <c r="R151" s="49">
        <f t="shared" si="10"/>
        <v>45830.6368</v>
      </c>
    </row>
    <row r="152" spans="1:18" s="2" customFormat="1" ht="55.15" hidden="1" x14ac:dyDescent="0.25">
      <c r="A152" s="1">
        <f t="shared" si="7"/>
        <v>26</v>
      </c>
      <c r="B152" s="33" t="s">
        <v>162</v>
      </c>
      <c r="C152" s="1" t="s">
        <v>154</v>
      </c>
      <c r="D152" s="49">
        <v>20</v>
      </c>
      <c r="E152" s="49">
        <v>20</v>
      </c>
      <c r="F152" s="49">
        <v>20</v>
      </c>
      <c r="G152" s="49">
        <v>20</v>
      </c>
      <c r="H152" s="49">
        <v>20</v>
      </c>
      <c r="I152" s="49">
        <f t="shared" si="9"/>
        <v>1072207.25</v>
      </c>
      <c r="J152" s="49">
        <v>1072207.28</v>
      </c>
      <c r="K152" s="49">
        <f t="shared" si="8"/>
        <v>1029320.0000000001</v>
      </c>
      <c r="L152" s="49">
        <f t="shared" si="8"/>
        <v>1070492.8000000003</v>
      </c>
      <c r="M152" s="49">
        <f t="shared" si="8"/>
        <v>1113312.5120000001</v>
      </c>
      <c r="N152" s="49">
        <v>21444.145</v>
      </c>
      <c r="O152" s="49">
        <v>21444.1</v>
      </c>
      <c r="P152" s="49">
        <v>20586.400000000001</v>
      </c>
      <c r="Q152" s="49">
        <f t="shared" si="10"/>
        <v>21409.856000000003</v>
      </c>
      <c r="R152" s="49">
        <f t="shared" si="10"/>
        <v>22266.250240000005</v>
      </c>
    </row>
    <row r="153" spans="1:18" s="2" customFormat="1" ht="55.15" hidden="1" x14ac:dyDescent="0.25">
      <c r="A153" s="1">
        <f t="shared" si="7"/>
        <v>27</v>
      </c>
      <c r="B153" s="33" t="s">
        <v>163</v>
      </c>
      <c r="C153" s="1" t="s">
        <v>154</v>
      </c>
      <c r="D153" s="49">
        <v>28</v>
      </c>
      <c r="E153" s="49">
        <v>28</v>
      </c>
      <c r="F153" s="49">
        <v>29</v>
      </c>
      <c r="G153" s="49">
        <v>29</v>
      </c>
      <c r="H153" s="49">
        <v>29</v>
      </c>
      <c r="I153" s="49">
        <f t="shared" si="9"/>
        <v>157799.99999999997</v>
      </c>
      <c r="J153" s="49">
        <v>157800.35999999999</v>
      </c>
      <c r="K153" s="49">
        <f t="shared" si="8"/>
        <v>151489.6551724138</v>
      </c>
      <c r="L153" s="49">
        <f t="shared" si="8"/>
        <v>157549.24137931032</v>
      </c>
      <c r="M153" s="49">
        <f t="shared" si="8"/>
        <v>163851.21103448275</v>
      </c>
      <c r="N153" s="49">
        <v>4418.3999999999996</v>
      </c>
      <c r="O153" s="49">
        <v>4418.3999999999996</v>
      </c>
      <c r="P153" s="49">
        <v>4393.2</v>
      </c>
      <c r="Q153" s="49">
        <f t="shared" si="10"/>
        <v>4568.9279999999999</v>
      </c>
      <c r="R153" s="49">
        <f t="shared" si="10"/>
        <v>4751.6851200000001</v>
      </c>
    </row>
    <row r="154" spans="1:18" s="2" customFormat="1" ht="55.15" hidden="1" x14ac:dyDescent="0.25">
      <c r="A154" s="1">
        <f t="shared" si="7"/>
        <v>28</v>
      </c>
      <c r="B154" s="33" t="s">
        <v>164</v>
      </c>
      <c r="C154" s="1" t="s">
        <v>154</v>
      </c>
      <c r="D154" s="49">
        <v>0</v>
      </c>
      <c r="E154" s="49">
        <v>30</v>
      </c>
      <c r="F154" s="49">
        <v>20</v>
      </c>
      <c r="G154" s="49">
        <v>20</v>
      </c>
      <c r="H154" s="49">
        <v>20</v>
      </c>
      <c r="I154" s="49">
        <v>0</v>
      </c>
      <c r="J154" s="49">
        <v>208610.71</v>
      </c>
      <c r="K154" s="49">
        <f t="shared" si="8"/>
        <v>199484.99999999997</v>
      </c>
      <c r="L154" s="49">
        <f t="shared" si="8"/>
        <v>207464.4</v>
      </c>
      <c r="M154" s="49">
        <f t="shared" si="8"/>
        <v>215762.97599999997</v>
      </c>
      <c r="N154" s="49">
        <v>0</v>
      </c>
      <c r="O154" s="49">
        <v>6258.3</v>
      </c>
      <c r="P154" s="49">
        <v>3989.7</v>
      </c>
      <c r="Q154" s="49">
        <f t="shared" si="10"/>
        <v>4149.2879999999996</v>
      </c>
      <c r="R154" s="49">
        <f t="shared" si="10"/>
        <v>4315.2595199999996</v>
      </c>
    </row>
    <row r="155" spans="1:18" s="2" customFormat="1" ht="55.15" hidden="1" x14ac:dyDescent="0.25">
      <c r="A155" s="1">
        <f t="shared" si="7"/>
        <v>29</v>
      </c>
      <c r="B155" s="33" t="s">
        <v>165</v>
      </c>
      <c r="C155" s="1" t="s">
        <v>154</v>
      </c>
      <c r="D155" s="49">
        <v>103</v>
      </c>
      <c r="E155" s="49">
        <v>100</v>
      </c>
      <c r="F155" s="49">
        <v>100</v>
      </c>
      <c r="G155" s="49">
        <v>100</v>
      </c>
      <c r="H155" s="49">
        <v>100</v>
      </c>
      <c r="I155" s="49">
        <f t="shared" si="9"/>
        <v>92343.689320388352</v>
      </c>
      <c r="J155" s="49">
        <v>103330</v>
      </c>
      <c r="K155" s="49">
        <f t="shared" si="8"/>
        <v>127295</v>
      </c>
      <c r="L155" s="49">
        <f t="shared" si="8"/>
        <v>132386.79999999999</v>
      </c>
      <c r="M155" s="49">
        <f t="shared" si="8"/>
        <v>137682.272</v>
      </c>
      <c r="N155" s="49">
        <v>9511.4</v>
      </c>
      <c r="O155" s="49">
        <v>10333</v>
      </c>
      <c r="P155" s="49">
        <v>12729.5</v>
      </c>
      <c r="Q155" s="49">
        <f t="shared" si="10"/>
        <v>13238.68</v>
      </c>
      <c r="R155" s="49">
        <f t="shared" si="10"/>
        <v>13768.227200000001</v>
      </c>
    </row>
    <row r="156" spans="1:18" s="2" customFormat="1" ht="55.15" hidden="1" x14ac:dyDescent="0.25">
      <c r="A156" s="1">
        <f t="shared" si="7"/>
        <v>30</v>
      </c>
      <c r="B156" s="33" t="s">
        <v>166</v>
      </c>
      <c r="C156" s="1" t="s">
        <v>154</v>
      </c>
      <c r="D156" s="49">
        <v>30</v>
      </c>
      <c r="E156" s="49">
        <v>29</v>
      </c>
      <c r="F156" s="49">
        <v>29</v>
      </c>
      <c r="G156" s="49">
        <v>29</v>
      </c>
      <c r="H156" s="49">
        <v>29</v>
      </c>
      <c r="I156" s="49">
        <f t="shared" si="9"/>
        <v>131366.66666666669</v>
      </c>
      <c r="J156" s="49">
        <v>97609.5</v>
      </c>
      <c r="K156" s="49">
        <f t="shared" si="8"/>
        <v>78565.517241379304</v>
      </c>
      <c r="L156" s="49">
        <f t="shared" si="8"/>
        <v>81708.137931034493</v>
      </c>
      <c r="M156" s="49">
        <f t="shared" si="8"/>
        <v>84976.46344827587</v>
      </c>
      <c r="N156" s="49">
        <v>3941</v>
      </c>
      <c r="O156" s="49">
        <v>2830.7</v>
      </c>
      <c r="P156" s="49">
        <v>2278.4</v>
      </c>
      <c r="Q156" s="49">
        <f t="shared" si="10"/>
        <v>2369.5360000000001</v>
      </c>
      <c r="R156" s="49">
        <f t="shared" si="10"/>
        <v>2464.3174400000003</v>
      </c>
    </row>
    <row r="157" spans="1:18" s="2" customFormat="1" ht="82.9" hidden="1" x14ac:dyDescent="0.25">
      <c r="A157" s="1">
        <f t="shared" si="7"/>
        <v>31</v>
      </c>
      <c r="B157" s="33" t="s">
        <v>167</v>
      </c>
      <c r="C157" s="1" t="s">
        <v>154</v>
      </c>
      <c r="D157" s="49">
        <v>324</v>
      </c>
      <c r="E157" s="49">
        <v>325</v>
      </c>
      <c r="F157" s="49">
        <v>325</v>
      </c>
      <c r="G157" s="49">
        <v>325</v>
      </c>
      <c r="H157" s="49">
        <v>325</v>
      </c>
      <c r="I157" s="49">
        <f t="shared" si="9"/>
        <v>71430.555555555562</v>
      </c>
      <c r="J157" s="49">
        <v>78460.149999999994</v>
      </c>
      <c r="K157" s="49">
        <f t="shared" si="8"/>
        <v>79427.692307692312</v>
      </c>
      <c r="L157" s="49">
        <f t="shared" si="8"/>
        <v>82604.800000000003</v>
      </c>
      <c r="M157" s="49">
        <f t="shared" si="8"/>
        <v>85908.992000000013</v>
      </c>
      <c r="N157" s="49">
        <v>23143.5</v>
      </c>
      <c r="O157" s="49">
        <v>25499.599999999999</v>
      </c>
      <c r="P157" s="49">
        <v>25814</v>
      </c>
      <c r="Q157" s="49">
        <f t="shared" si="10"/>
        <v>26846.560000000001</v>
      </c>
      <c r="R157" s="49">
        <f t="shared" si="10"/>
        <v>27920.422400000003</v>
      </c>
    </row>
    <row r="158" spans="1:18" s="2" customFormat="1" ht="69" hidden="1" x14ac:dyDescent="0.25">
      <c r="A158" s="1">
        <f t="shared" si="7"/>
        <v>32</v>
      </c>
      <c r="B158" s="33" t="s">
        <v>168</v>
      </c>
      <c r="C158" s="1" t="s">
        <v>154</v>
      </c>
      <c r="D158" s="49">
        <v>468</v>
      </c>
      <c r="E158" s="49">
        <f>460</f>
        <v>460</v>
      </c>
      <c r="F158" s="49">
        <v>460</v>
      </c>
      <c r="G158" s="49">
        <v>460</v>
      </c>
      <c r="H158" s="49">
        <v>460</v>
      </c>
      <c r="I158" s="49">
        <f t="shared" si="9"/>
        <v>48420.085470085469</v>
      </c>
      <c r="J158" s="49">
        <v>77748</v>
      </c>
      <c r="K158" s="49">
        <f t="shared" si="8"/>
        <v>80857.934782608689</v>
      </c>
      <c r="L158" s="49">
        <f t="shared" si="8"/>
        <v>84092.252173913046</v>
      </c>
      <c r="M158" s="49">
        <f t="shared" si="8"/>
        <v>87455.985739130439</v>
      </c>
      <c r="N158" s="49">
        <v>22660.6</v>
      </c>
      <c r="O158" s="49">
        <f>36001.75+0.05</f>
        <v>36001.800000000003</v>
      </c>
      <c r="P158" s="49">
        <v>37194.65</v>
      </c>
      <c r="Q158" s="49">
        <f t="shared" si="10"/>
        <v>38682.436000000002</v>
      </c>
      <c r="R158" s="49">
        <f>Q158*1.04+0.02</f>
        <v>40229.75344</v>
      </c>
    </row>
    <row r="159" spans="1:18" s="2" customFormat="1" ht="69" hidden="1" x14ac:dyDescent="0.25">
      <c r="A159" s="1">
        <f t="shared" si="7"/>
        <v>33</v>
      </c>
      <c r="B159" s="33" t="s">
        <v>169</v>
      </c>
      <c r="C159" s="1" t="s">
        <v>154</v>
      </c>
      <c r="D159" s="49">
        <f>3190+2447</f>
        <v>5637</v>
      </c>
      <c r="E159" s="49">
        <f>3249+2122</f>
        <v>5371</v>
      </c>
      <c r="F159" s="49">
        <f>3249+2122</f>
        <v>5371</v>
      </c>
      <c r="G159" s="49">
        <f>3249+2122</f>
        <v>5371</v>
      </c>
      <c r="H159" s="49">
        <f>3249+2122</f>
        <v>5371</v>
      </c>
      <c r="I159" s="49">
        <f t="shared" si="9"/>
        <v>37724.552066702148</v>
      </c>
      <c r="J159" s="49">
        <v>31701.99</v>
      </c>
      <c r="K159" s="49">
        <f t="shared" si="8"/>
        <v>40858.257307763924</v>
      </c>
      <c r="L159" s="49">
        <f t="shared" si="8"/>
        <v>42492.580152671755</v>
      </c>
      <c r="M159" s="49">
        <f t="shared" si="8"/>
        <v>44192.28335877863</v>
      </c>
      <c r="N159" s="49">
        <v>212653.3</v>
      </c>
      <c r="O159" s="49">
        <f>67270.2+143790</f>
        <v>211060.2</v>
      </c>
      <c r="P159" s="49">
        <f>69908+149541.7</f>
        <v>219449.7</v>
      </c>
      <c r="Q159" s="49">
        <f>P159*1.04-0.04</f>
        <v>228227.64800000002</v>
      </c>
      <c r="R159" s="49">
        <f t="shared" si="10"/>
        <v>237356.75392000002</v>
      </c>
    </row>
    <row r="160" spans="1:18" s="2" customFormat="1" ht="69" hidden="1" x14ac:dyDescent="0.25">
      <c r="A160" s="1">
        <f t="shared" si="7"/>
        <v>34</v>
      </c>
      <c r="B160" s="33" t="s">
        <v>170</v>
      </c>
      <c r="C160" s="1" t="s">
        <v>154</v>
      </c>
      <c r="D160" s="49">
        <v>1685</v>
      </c>
      <c r="E160" s="49">
        <f>1693+353</f>
        <v>2046</v>
      </c>
      <c r="F160" s="49">
        <f>353+1693</f>
        <v>2046</v>
      </c>
      <c r="G160" s="49">
        <f>353+1693</f>
        <v>2046</v>
      </c>
      <c r="H160" s="49">
        <f>353+1693</f>
        <v>2046</v>
      </c>
      <c r="I160" s="49">
        <f t="shared" si="9"/>
        <v>39482.908011869433</v>
      </c>
      <c r="J160" s="49">
        <v>39790.58</v>
      </c>
      <c r="K160" s="49">
        <f t="shared" si="8"/>
        <v>36845.30791788856</v>
      </c>
      <c r="L160" s="49">
        <f t="shared" si="8"/>
        <v>38319.12023460411</v>
      </c>
      <c r="M160" s="49">
        <f t="shared" si="8"/>
        <v>39851.885043988266</v>
      </c>
      <c r="N160" s="49">
        <v>66528.7</v>
      </c>
      <c r="O160" s="49">
        <f>10108.2+68533.4</f>
        <v>78641.599999999991</v>
      </c>
      <c r="P160" s="49">
        <f>9200+66185.5</f>
        <v>75385.5</v>
      </c>
      <c r="Q160" s="49">
        <f t="shared" si="10"/>
        <v>78400.92</v>
      </c>
      <c r="R160" s="49">
        <f t="shared" si="10"/>
        <v>81536.9568</v>
      </c>
    </row>
    <row r="161" spans="1:18" s="2" customFormat="1" ht="55.15" hidden="1" x14ac:dyDescent="0.25">
      <c r="A161" s="1">
        <f t="shared" si="7"/>
        <v>35</v>
      </c>
      <c r="B161" s="33" t="s">
        <v>171</v>
      </c>
      <c r="C161" s="1" t="s">
        <v>154</v>
      </c>
      <c r="D161" s="49">
        <v>6211</v>
      </c>
      <c r="E161" s="49">
        <v>6634</v>
      </c>
      <c r="F161" s="49">
        <v>6458</v>
      </c>
      <c r="G161" s="49">
        <v>6458</v>
      </c>
      <c r="H161" s="49">
        <v>6458</v>
      </c>
      <c r="I161" s="49">
        <f t="shared" si="9"/>
        <v>13853.485751086781</v>
      </c>
      <c r="J161" s="49">
        <v>13043.16</v>
      </c>
      <c r="K161" s="49">
        <f t="shared" si="8"/>
        <v>13469.200991018892</v>
      </c>
      <c r="L161" s="49">
        <f t="shared" si="8"/>
        <v>14007.969030659648</v>
      </c>
      <c r="M161" s="49">
        <f t="shared" si="8"/>
        <v>14568.287791886034</v>
      </c>
      <c r="N161" s="49">
        <v>86044</v>
      </c>
      <c r="O161" s="49">
        <v>87465.4</v>
      </c>
      <c r="P161" s="49">
        <v>86984.1</v>
      </c>
      <c r="Q161" s="49">
        <f>P161*1.04</f>
        <v>90463.464000000007</v>
      </c>
      <c r="R161" s="49">
        <f>Q161*1.04</f>
        <v>94082.002560000008</v>
      </c>
    </row>
    <row r="162" spans="1:18" s="2" customFormat="1" ht="96.6" hidden="1" x14ac:dyDescent="0.25">
      <c r="A162" s="1">
        <f t="shared" si="7"/>
        <v>36</v>
      </c>
      <c r="B162" s="33" t="s">
        <v>172</v>
      </c>
      <c r="C162" s="1" t="s">
        <v>154</v>
      </c>
      <c r="D162" s="49">
        <v>0</v>
      </c>
      <c r="E162" s="49">
        <v>235</v>
      </c>
      <c r="F162" s="49">
        <v>270</v>
      </c>
      <c r="G162" s="49">
        <v>270</v>
      </c>
      <c r="H162" s="49">
        <v>270</v>
      </c>
      <c r="I162" s="49" t="e">
        <f>N162/D162*1000</f>
        <v>#DIV/0!</v>
      </c>
      <c r="J162" s="49">
        <v>45870.3</v>
      </c>
      <c r="K162" s="49">
        <f t="shared" si="8"/>
        <v>78617.777777777781</v>
      </c>
      <c r="L162" s="49">
        <f t="shared" si="8"/>
        <v>81762.488888888882</v>
      </c>
      <c r="M162" s="49">
        <f t="shared" si="8"/>
        <v>85032.988444444447</v>
      </c>
      <c r="N162" s="49">
        <v>0</v>
      </c>
      <c r="O162" s="49">
        <v>10779.5</v>
      </c>
      <c r="P162" s="49">
        <v>21226.799999999999</v>
      </c>
      <c r="Q162" s="49">
        <f>P162*1.04</f>
        <v>22075.871999999999</v>
      </c>
      <c r="R162" s="49">
        <f>Q162*1.04</f>
        <v>22958.906879999999</v>
      </c>
    </row>
    <row r="163" spans="1:18" s="2" customFormat="1" ht="27.6" hidden="1" x14ac:dyDescent="0.25">
      <c r="A163" s="1">
        <f t="shared" si="7"/>
        <v>37</v>
      </c>
      <c r="B163" s="33" t="s">
        <v>173</v>
      </c>
      <c r="C163" s="1" t="s">
        <v>174</v>
      </c>
      <c r="D163" s="49">
        <v>30035</v>
      </c>
      <c r="E163" s="49">
        <v>29750</v>
      </c>
      <c r="F163" s="49">
        <v>29750</v>
      </c>
      <c r="G163" s="49">
        <v>29750</v>
      </c>
      <c r="H163" s="49">
        <v>29750</v>
      </c>
      <c r="I163" s="49">
        <f t="shared" si="9"/>
        <v>2005.6667221574828</v>
      </c>
      <c r="J163" s="49">
        <v>2024.88</v>
      </c>
      <c r="K163" s="49">
        <f t="shared" si="8"/>
        <v>2107.4352941176467</v>
      </c>
      <c r="L163" s="49">
        <f t="shared" si="8"/>
        <v>2107.4352941176467</v>
      </c>
      <c r="M163" s="49">
        <f t="shared" si="8"/>
        <v>2107.4352941176467</v>
      </c>
      <c r="N163" s="49">
        <v>60240.2</v>
      </c>
      <c r="O163" s="49">
        <v>60284.9</v>
      </c>
      <c r="P163" s="49">
        <v>62696.2</v>
      </c>
      <c r="Q163" s="49">
        <v>62696.2</v>
      </c>
      <c r="R163" s="49">
        <v>62696.2</v>
      </c>
    </row>
    <row r="164" spans="1:18" s="2" customFormat="1" ht="27.6" hidden="1" x14ac:dyDescent="0.25">
      <c r="A164" s="1">
        <f t="shared" si="7"/>
        <v>38</v>
      </c>
      <c r="B164" s="33" t="s">
        <v>175</v>
      </c>
      <c r="C164" s="1" t="s">
        <v>174</v>
      </c>
      <c r="D164" s="49">
        <v>171737</v>
      </c>
      <c r="E164" s="49">
        <v>170680</v>
      </c>
      <c r="F164" s="49">
        <v>170680</v>
      </c>
      <c r="G164" s="49">
        <v>170680</v>
      </c>
      <c r="H164" s="49">
        <v>170680</v>
      </c>
      <c r="I164" s="49">
        <f t="shared" si="9"/>
        <v>1930.1338674834196</v>
      </c>
      <c r="J164" s="49">
        <v>2378.6</v>
      </c>
      <c r="K164" s="49">
        <f t="shared" si="8"/>
        <v>2589.4914459807828</v>
      </c>
      <c r="L164" s="49">
        <f t="shared" si="8"/>
        <v>2693.0712209983599</v>
      </c>
      <c r="M164" s="49">
        <f t="shared" si="8"/>
        <v>2800.7938940707763</v>
      </c>
      <c r="N164" s="49">
        <f>356984.9-25509.5</f>
        <v>331475.40000000002</v>
      </c>
      <c r="O164" s="49">
        <v>433516.7</v>
      </c>
      <c r="P164" s="49">
        <v>441974.4</v>
      </c>
      <c r="Q164" s="49">
        <f>P164*1.04+0.02</f>
        <v>459653.39600000007</v>
      </c>
      <c r="R164" s="49">
        <f>Q164*1.04-0.03</f>
        <v>478039.50184000004</v>
      </c>
    </row>
    <row r="165" spans="1:18" s="2" customFormat="1" ht="27.6" hidden="1" x14ac:dyDescent="0.25">
      <c r="A165" s="1">
        <f t="shared" si="7"/>
        <v>39</v>
      </c>
      <c r="B165" s="33" t="s">
        <v>176</v>
      </c>
      <c r="C165" s="1" t="s">
        <v>177</v>
      </c>
      <c r="D165" s="49">
        <v>853</v>
      </c>
      <c r="E165" s="49">
        <v>850</v>
      </c>
      <c r="F165" s="49">
        <v>850</v>
      </c>
      <c r="G165" s="49">
        <v>850</v>
      </c>
      <c r="H165" s="49">
        <v>850</v>
      </c>
      <c r="I165" s="49">
        <f t="shared" si="9"/>
        <v>18107.268464243843</v>
      </c>
      <c r="J165" s="49">
        <v>18807.169999999998</v>
      </c>
      <c r="K165" s="49">
        <f t="shared" si="8"/>
        <v>19559.529411764703</v>
      </c>
      <c r="L165" s="49">
        <f t="shared" si="8"/>
        <v>20341.910588235292</v>
      </c>
      <c r="M165" s="49">
        <f t="shared" si="8"/>
        <v>21155.587011764706</v>
      </c>
      <c r="N165" s="49">
        <v>15445.5</v>
      </c>
      <c r="O165" s="49">
        <v>15986.1</v>
      </c>
      <c r="P165" s="49">
        <v>16625.599999999999</v>
      </c>
      <c r="Q165" s="49">
        <f>P165*1.04</f>
        <v>17290.624</v>
      </c>
      <c r="R165" s="49">
        <f>Q165*1.04</f>
        <v>17982.248960000001</v>
      </c>
    </row>
    <row r="166" spans="1:18" s="2" customFormat="1" ht="41.45" hidden="1" x14ac:dyDescent="0.25">
      <c r="A166" s="1">
        <f t="shared" si="7"/>
        <v>40</v>
      </c>
      <c r="B166" s="33" t="s">
        <v>178</v>
      </c>
      <c r="C166" s="1" t="s">
        <v>179</v>
      </c>
      <c r="D166" s="49">
        <v>8</v>
      </c>
      <c r="E166" s="49">
        <v>11</v>
      </c>
      <c r="F166" s="49">
        <v>11</v>
      </c>
      <c r="G166" s="49">
        <v>11</v>
      </c>
      <c r="H166" s="49">
        <v>11</v>
      </c>
      <c r="I166" s="49">
        <f t="shared" si="9"/>
        <v>573300</v>
      </c>
      <c r="J166" s="49">
        <v>599526.67000000004</v>
      </c>
      <c r="K166" s="49">
        <f t="shared" si="8"/>
        <v>607372.72727272729</v>
      </c>
      <c r="L166" s="49">
        <f t="shared" si="8"/>
        <v>607372.72727272729</v>
      </c>
      <c r="M166" s="49">
        <f t="shared" si="8"/>
        <v>607372.72727272729</v>
      </c>
      <c r="N166" s="49">
        <v>4586.3999999999996</v>
      </c>
      <c r="O166" s="49">
        <f>4586.4+2094.7</f>
        <v>6681.0999999999995</v>
      </c>
      <c r="P166" s="49">
        <v>6681.1</v>
      </c>
      <c r="Q166" s="49">
        <v>6681.1</v>
      </c>
      <c r="R166" s="49">
        <v>6681.1</v>
      </c>
    </row>
    <row r="167" spans="1:18" s="2" customFormat="1" ht="69" hidden="1" x14ac:dyDescent="0.25">
      <c r="A167" s="1">
        <f t="shared" si="7"/>
        <v>41</v>
      </c>
      <c r="B167" s="33" t="s">
        <v>180</v>
      </c>
      <c r="C167" s="1" t="s">
        <v>181</v>
      </c>
      <c r="D167" s="49">
        <v>1499</v>
      </c>
      <c r="E167" s="49">
        <v>1500</v>
      </c>
      <c r="F167" s="49">
        <v>1452</v>
      </c>
      <c r="G167" s="49">
        <v>1452</v>
      </c>
      <c r="H167" s="49">
        <v>1452</v>
      </c>
      <c r="I167" s="49">
        <f t="shared" si="9"/>
        <v>102851.03402268181</v>
      </c>
      <c r="J167" s="49">
        <v>114243.48</v>
      </c>
      <c r="K167" s="49">
        <f t="shared" si="8"/>
        <v>114708.26446280991</v>
      </c>
      <c r="L167" s="49">
        <f t="shared" si="8"/>
        <v>119296.5564738292</v>
      </c>
      <c r="M167" s="49">
        <f t="shared" si="8"/>
        <v>124068.38842975206</v>
      </c>
      <c r="N167" s="49">
        <v>154173.70000000001</v>
      </c>
      <c r="O167" s="49">
        <v>160666.98000000001</v>
      </c>
      <c r="P167" s="49">
        <v>166556.4</v>
      </c>
      <c r="Q167" s="49">
        <v>173218.6</v>
      </c>
      <c r="R167" s="49">
        <v>180147.3</v>
      </c>
    </row>
    <row r="168" spans="1:18" s="2" customFormat="1" ht="41.45" hidden="1" x14ac:dyDescent="0.25">
      <c r="A168" s="1">
        <f t="shared" si="7"/>
        <v>42</v>
      </c>
      <c r="B168" s="33" t="s">
        <v>182</v>
      </c>
      <c r="C168" s="1" t="s">
        <v>181</v>
      </c>
      <c r="D168" s="49">
        <v>3336</v>
      </c>
      <c r="E168" s="49">
        <v>2790</v>
      </c>
      <c r="F168" s="49">
        <v>2473</v>
      </c>
      <c r="G168" s="49">
        <v>2473</v>
      </c>
      <c r="H168" s="49">
        <v>2473</v>
      </c>
      <c r="I168" s="49">
        <f t="shared" si="9"/>
        <v>9374.6103117505991</v>
      </c>
      <c r="J168" s="49">
        <v>8636.02</v>
      </c>
      <c r="K168" s="49">
        <f t="shared" si="8"/>
        <v>11954.872624342905</v>
      </c>
      <c r="L168" s="49">
        <f t="shared" si="8"/>
        <v>12433.036797412051</v>
      </c>
      <c r="M168" s="49">
        <f t="shared" si="8"/>
        <v>12930.367974120501</v>
      </c>
      <c r="N168" s="49">
        <v>31273.7</v>
      </c>
      <c r="O168" s="49">
        <v>28819.200000000001</v>
      </c>
      <c r="P168" s="49">
        <v>29564.400000000001</v>
      </c>
      <c r="Q168" s="49">
        <v>30746.9</v>
      </c>
      <c r="R168" s="49">
        <v>31976.799999999999</v>
      </c>
    </row>
    <row r="169" spans="1:18" s="2" customFormat="1" ht="13.9" hidden="1" x14ac:dyDescent="0.25">
      <c r="A169" s="1">
        <f t="shared" si="7"/>
        <v>43</v>
      </c>
      <c r="B169" s="33" t="s">
        <v>183</v>
      </c>
      <c r="C169" s="1" t="s">
        <v>132</v>
      </c>
      <c r="D169" s="49"/>
      <c r="E169" s="49"/>
      <c r="F169" s="49">
        <v>25550</v>
      </c>
      <c r="G169" s="49">
        <v>25550</v>
      </c>
      <c r="H169" s="49">
        <v>25550</v>
      </c>
      <c r="I169" s="49"/>
      <c r="J169" s="49"/>
      <c r="K169" s="49">
        <f t="shared" si="8"/>
        <v>110.0587084148728</v>
      </c>
      <c r="L169" s="49">
        <f t="shared" si="8"/>
        <v>114.46105675146771</v>
      </c>
      <c r="M169" s="49">
        <f t="shared" si="8"/>
        <v>119.0402818003914</v>
      </c>
      <c r="N169" s="49"/>
      <c r="O169" s="49"/>
      <c r="P169" s="49">
        <v>2812</v>
      </c>
      <c r="Q169" s="49">
        <f>P169*1.04</f>
        <v>2924.48</v>
      </c>
      <c r="R169" s="49">
        <f>Q169*1.04+0.02</f>
        <v>3041.4792000000002</v>
      </c>
    </row>
    <row r="170" spans="1:18" s="2" customFormat="1" ht="13.9" hidden="1" x14ac:dyDescent="0.25">
      <c r="A170" s="1">
        <f t="shared" si="7"/>
        <v>44</v>
      </c>
      <c r="B170" s="33" t="s">
        <v>184</v>
      </c>
      <c r="C170" s="1" t="s">
        <v>132</v>
      </c>
      <c r="D170" s="49"/>
      <c r="E170" s="49"/>
      <c r="F170" s="49">
        <v>179000</v>
      </c>
      <c r="G170" s="49">
        <v>179000</v>
      </c>
      <c r="H170" s="49">
        <v>179000</v>
      </c>
      <c r="I170" s="49"/>
      <c r="J170" s="49"/>
      <c r="K170" s="49">
        <f t="shared" si="8"/>
        <v>158.60000000000002</v>
      </c>
      <c r="L170" s="49">
        <f t="shared" si="8"/>
        <v>164.94411173184358</v>
      </c>
      <c r="M170" s="49">
        <f t="shared" si="8"/>
        <v>171.54187620111733</v>
      </c>
      <c r="N170" s="49"/>
      <c r="O170" s="49"/>
      <c r="P170" s="49">
        <v>28389.4</v>
      </c>
      <c r="Q170" s="49">
        <f>P170*1.04+0.02</f>
        <v>29524.996000000003</v>
      </c>
      <c r="R170" s="49">
        <f>Q170*1.04</f>
        <v>30705.995840000003</v>
      </c>
    </row>
    <row r="171" spans="1:18" s="2" customFormat="1" ht="13.9" hidden="1" x14ac:dyDescent="0.25">
      <c r="A171" s="1">
        <f t="shared" si="7"/>
        <v>45</v>
      </c>
      <c r="B171" s="33" t="s">
        <v>184</v>
      </c>
      <c r="C171" s="1" t="s">
        <v>132</v>
      </c>
      <c r="D171" s="49"/>
      <c r="E171" s="49"/>
      <c r="F171" s="49">
        <v>23500</v>
      </c>
      <c r="G171" s="49">
        <v>23500</v>
      </c>
      <c r="H171" s="49">
        <v>23500</v>
      </c>
      <c r="I171" s="49"/>
      <c r="J171" s="49"/>
      <c r="K171" s="49">
        <f t="shared" si="8"/>
        <v>737.28085106382969</v>
      </c>
      <c r="L171" s="49">
        <f t="shared" si="8"/>
        <v>766.77463829787246</v>
      </c>
      <c r="M171" s="49">
        <f t="shared" si="8"/>
        <v>797.44690042553191</v>
      </c>
      <c r="N171" s="49"/>
      <c r="O171" s="49"/>
      <c r="P171" s="49">
        <v>17326.099999999999</v>
      </c>
      <c r="Q171" s="49">
        <f>P171*1.04+0.06</f>
        <v>18019.204000000002</v>
      </c>
      <c r="R171" s="49">
        <f>Q171*1.04+0.03</f>
        <v>18740.00216</v>
      </c>
    </row>
    <row r="172" spans="1:18" s="2" customFormat="1" ht="13.9" hidden="1" x14ac:dyDescent="0.25">
      <c r="A172" s="9"/>
      <c r="B172" s="10" t="s">
        <v>0</v>
      </c>
      <c r="C172" s="3"/>
      <c r="D172" s="11" t="s">
        <v>8</v>
      </c>
      <c r="E172" s="11" t="s">
        <v>8</v>
      </c>
      <c r="F172" s="11" t="s">
        <v>8</v>
      </c>
      <c r="G172" s="11" t="s">
        <v>8</v>
      </c>
      <c r="H172" s="11" t="s">
        <v>8</v>
      </c>
      <c r="I172" s="11" t="s">
        <v>8</v>
      </c>
      <c r="J172" s="11" t="s">
        <v>8</v>
      </c>
      <c r="K172" s="11" t="s">
        <v>8</v>
      </c>
      <c r="L172" s="11" t="s">
        <v>8</v>
      </c>
      <c r="M172" s="11" t="s">
        <v>8</v>
      </c>
      <c r="N172" s="50">
        <f>SUM(N126:N171)</f>
        <v>2314117.7450000001</v>
      </c>
      <c r="O172" s="50">
        <f>SUM(O126:O171)</f>
        <v>2533172.5800000005</v>
      </c>
      <c r="P172" s="50">
        <f>SUM(P126:P171)</f>
        <v>2634249.4499999997</v>
      </c>
      <c r="Q172" s="50">
        <f>SUM(Q126:Q171)</f>
        <v>2736844.2039999994</v>
      </c>
      <c r="R172" s="50">
        <f>SUM(R126:R171)</f>
        <v>2843542.8001599996</v>
      </c>
    </row>
    <row r="173" spans="1:18" s="2" customFormat="1" ht="13.9" hidden="1" x14ac:dyDescent="0.25">
      <c r="A173" s="140" t="s">
        <v>203</v>
      </c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</row>
    <row r="174" spans="1:18" s="2" customFormat="1" ht="69" hidden="1" x14ac:dyDescent="0.25">
      <c r="A174" s="1">
        <v>1</v>
      </c>
      <c r="B174" s="33" t="s">
        <v>204</v>
      </c>
      <c r="C174" s="1" t="s">
        <v>205</v>
      </c>
      <c r="D174" s="49">
        <v>5</v>
      </c>
      <c r="E174" s="49">
        <v>4</v>
      </c>
      <c r="F174" s="49">
        <v>4</v>
      </c>
      <c r="G174" s="49">
        <v>4</v>
      </c>
      <c r="H174" s="49">
        <v>4</v>
      </c>
      <c r="I174" s="49">
        <f>N174/D174</f>
        <v>1979.2860000000001</v>
      </c>
      <c r="J174" s="49">
        <f t="shared" ref="J174:M177" si="11">O174/E174</f>
        <v>2497.5</v>
      </c>
      <c r="K174" s="49">
        <f t="shared" si="11"/>
        <v>2680.1325000000002</v>
      </c>
      <c r="L174" s="49">
        <f t="shared" si="11"/>
        <v>2750.3825000000002</v>
      </c>
      <c r="M174" s="49">
        <f t="shared" si="11"/>
        <v>2812.6125000000002</v>
      </c>
      <c r="N174" s="49">
        <v>9896.43</v>
      </c>
      <c r="O174" s="49">
        <v>9990</v>
      </c>
      <c r="P174" s="49">
        <v>10720.53</v>
      </c>
      <c r="Q174" s="49">
        <v>11001.53</v>
      </c>
      <c r="R174" s="49">
        <v>11250.45</v>
      </c>
    </row>
    <row r="175" spans="1:18" s="2" customFormat="1" ht="69" hidden="1" x14ac:dyDescent="0.25">
      <c r="A175" s="1">
        <v>2</v>
      </c>
      <c r="B175" s="33" t="s">
        <v>206</v>
      </c>
      <c r="C175" s="1" t="s">
        <v>205</v>
      </c>
      <c r="D175" s="49">
        <v>3</v>
      </c>
      <c r="E175" s="49">
        <v>3</v>
      </c>
      <c r="F175" s="49">
        <v>3</v>
      </c>
      <c r="G175" s="49">
        <v>3</v>
      </c>
      <c r="H175" s="49">
        <v>3</v>
      </c>
      <c r="I175" s="49">
        <f>N175/D175</f>
        <v>1965.6333333333332</v>
      </c>
      <c r="J175" s="49">
        <f t="shared" si="11"/>
        <v>2822.6666666666665</v>
      </c>
      <c r="K175" s="49">
        <f t="shared" si="11"/>
        <v>2891.6666666666665</v>
      </c>
      <c r="L175" s="49">
        <f t="shared" si="11"/>
        <v>2965</v>
      </c>
      <c r="M175" s="49">
        <f t="shared" si="11"/>
        <v>3065.6666666666665</v>
      </c>
      <c r="N175" s="49">
        <v>5896.9</v>
      </c>
      <c r="O175" s="49">
        <v>8468</v>
      </c>
      <c r="P175" s="49">
        <v>8675</v>
      </c>
      <c r="Q175" s="49">
        <v>8895</v>
      </c>
      <c r="R175" s="49">
        <v>9197</v>
      </c>
    </row>
    <row r="176" spans="1:18" s="2" customFormat="1" ht="13.9" hidden="1" x14ac:dyDescent="0.25">
      <c r="A176" s="1">
        <v>3</v>
      </c>
      <c r="B176" s="33" t="s">
        <v>270</v>
      </c>
      <c r="C176" s="1" t="s">
        <v>205</v>
      </c>
      <c r="D176" s="49">
        <v>6</v>
      </c>
      <c r="E176" s="49">
        <v>4</v>
      </c>
      <c r="F176" s="49">
        <v>4</v>
      </c>
      <c r="G176" s="49">
        <v>4</v>
      </c>
      <c r="H176" s="49">
        <v>4</v>
      </c>
      <c r="I176" s="49">
        <f>N176/D176</f>
        <v>492.90000000000003</v>
      </c>
      <c r="J176" s="49">
        <f t="shared" si="11"/>
        <v>703.5</v>
      </c>
      <c r="K176" s="49">
        <f t="shared" si="11"/>
        <v>762.5675</v>
      </c>
      <c r="L176" s="49">
        <f t="shared" si="11"/>
        <v>820.0675</v>
      </c>
      <c r="M176" s="49">
        <f t="shared" si="11"/>
        <v>887.5675</v>
      </c>
      <c r="N176" s="49">
        <f>1058.65+1898.75</f>
        <v>2957.4</v>
      </c>
      <c r="O176" s="49">
        <v>2814</v>
      </c>
      <c r="P176" s="49">
        <v>3050.27</v>
      </c>
      <c r="Q176" s="49">
        <v>3280.27</v>
      </c>
      <c r="R176" s="49">
        <v>3550.27</v>
      </c>
    </row>
    <row r="177" spans="1:18" s="2" customFormat="1" ht="110.45" hidden="1" x14ac:dyDescent="0.25">
      <c r="A177" s="1">
        <v>4</v>
      </c>
      <c r="B177" s="33" t="s">
        <v>207</v>
      </c>
      <c r="C177" s="1" t="s">
        <v>205</v>
      </c>
      <c r="D177" s="49">
        <v>2</v>
      </c>
      <c r="E177" s="49">
        <v>2</v>
      </c>
      <c r="F177" s="49">
        <v>2</v>
      </c>
      <c r="G177" s="49">
        <v>2</v>
      </c>
      <c r="H177" s="49">
        <v>2</v>
      </c>
      <c r="I177" s="49">
        <f>N177/D177</f>
        <v>1897.62</v>
      </c>
      <c r="J177" s="49">
        <f t="shared" si="11"/>
        <v>1899</v>
      </c>
      <c r="K177" s="49">
        <f t="shared" si="11"/>
        <v>2113.7849999999999</v>
      </c>
      <c r="L177" s="49">
        <f t="shared" si="11"/>
        <v>2193.7849999999999</v>
      </c>
      <c r="M177" s="49">
        <f t="shared" si="11"/>
        <v>2313.7849999999999</v>
      </c>
      <c r="N177" s="49">
        <v>3795.24</v>
      </c>
      <c r="O177" s="49">
        <v>3798</v>
      </c>
      <c r="P177" s="49">
        <v>4227.57</v>
      </c>
      <c r="Q177" s="49">
        <v>4387.57</v>
      </c>
      <c r="R177" s="49">
        <v>4627.57</v>
      </c>
    </row>
    <row r="178" spans="1:18" s="2" customFormat="1" ht="96.6" hidden="1" x14ac:dyDescent="0.25">
      <c r="A178" s="1">
        <v>5</v>
      </c>
      <c r="B178" s="33" t="s">
        <v>271</v>
      </c>
      <c r="C178" s="1" t="s">
        <v>205</v>
      </c>
      <c r="D178" s="49">
        <v>2</v>
      </c>
      <c r="E178" s="49">
        <v>1</v>
      </c>
      <c r="F178" s="49">
        <v>1</v>
      </c>
      <c r="G178" s="49">
        <v>1</v>
      </c>
      <c r="H178" s="49">
        <v>1</v>
      </c>
      <c r="I178" s="49">
        <f>N178/D178</f>
        <v>3043.625</v>
      </c>
      <c r="J178" s="49">
        <f>O178/E178</f>
        <v>2835.23</v>
      </c>
      <c r="K178" s="49">
        <f>P178/F178</f>
        <v>1985.62</v>
      </c>
      <c r="L178" s="49">
        <f>Q178/G178</f>
        <v>2085.62</v>
      </c>
      <c r="M178" s="49">
        <f>R178/H178</f>
        <v>2208.6999999999998</v>
      </c>
      <c r="N178" s="49">
        <f>4795.44+1291.81</f>
        <v>6087.25</v>
      </c>
      <c r="O178" s="49">
        <v>2835.23</v>
      </c>
      <c r="P178" s="49">
        <v>1985.62</v>
      </c>
      <c r="Q178" s="49">
        <v>2085.62</v>
      </c>
      <c r="R178" s="49">
        <v>2208.6999999999998</v>
      </c>
    </row>
    <row r="179" spans="1:18" s="2" customFormat="1" ht="13.9" hidden="1" x14ac:dyDescent="0.25">
      <c r="A179" s="9"/>
      <c r="B179" s="10" t="s">
        <v>0</v>
      </c>
      <c r="C179" s="26" t="s">
        <v>8</v>
      </c>
      <c r="D179" s="11" t="s">
        <v>8</v>
      </c>
      <c r="E179" s="11" t="s">
        <v>8</v>
      </c>
      <c r="F179" s="11" t="s">
        <v>8</v>
      </c>
      <c r="G179" s="11" t="s">
        <v>8</v>
      </c>
      <c r="H179" s="11" t="s">
        <v>8</v>
      </c>
      <c r="I179" s="11" t="s">
        <v>8</v>
      </c>
      <c r="J179" s="11" t="s">
        <v>8</v>
      </c>
      <c r="K179" s="11" t="s">
        <v>8</v>
      </c>
      <c r="L179" s="11" t="s">
        <v>8</v>
      </c>
      <c r="M179" s="11" t="s">
        <v>8</v>
      </c>
      <c r="N179" s="50">
        <f>SUM(N174:N178)</f>
        <v>28633.22</v>
      </c>
      <c r="O179" s="50">
        <f>O178+O177+O176+O175+O174</f>
        <v>27905.23</v>
      </c>
      <c r="P179" s="50">
        <f>P174+P175+P176+P177+P178</f>
        <v>28658.989999999998</v>
      </c>
      <c r="Q179" s="50">
        <f>Q174+Q175+Q176+Q177+Q178</f>
        <v>29649.989999999998</v>
      </c>
      <c r="R179" s="50">
        <f>R174+R175+R176+R177+R178</f>
        <v>30833.99</v>
      </c>
    </row>
    <row r="180" spans="1:18" s="2" customFormat="1" ht="13.9" hidden="1" x14ac:dyDescent="0.25">
      <c r="A180" s="140" t="s">
        <v>267</v>
      </c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</row>
    <row r="181" spans="1:18" s="2" customFormat="1" ht="55.15" hidden="1" x14ac:dyDescent="0.25">
      <c r="A181" s="1">
        <v>1</v>
      </c>
      <c r="B181" s="33" t="s">
        <v>254</v>
      </c>
      <c r="C181" s="1" t="s">
        <v>16</v>
      </c>
      <c r="D181" s="49">
        <v>252149</v>
      </c>
      <c r="E181" s="49">
        <v>255030</v>
      </c>
      <c r="F181" s="49">
        <v>257053</v>
      </c>
      <c r="G181" s="49">
        <v>257053</v>
      </c>
      <c r="H181" s="49">
        <v>257053</v>
      </c>
      <c r="I181" s="49">
        <v>123.409999</v>
      </c>
      <c r="J181" s="49">
        <v>128.34639799999999</v>
      </c>
      <c r="K181" s="49">
        <f>J181*1.04</f>
        <v>133.48025392</v>
      </c>
      <c r="L181" s="49">
        <f>K181*1.04</f>
        <v>138.81946407679999</v>
      </c>
      <c r="M181" s="49">
        <f>L181*1.04</f>
        <v>144.37224263987198</v>
      </c>
      <c r="N181" s="49">
        <f>D181*I181/1000</f>
        <v>31117.707837850998</v>
      </c>
      <c r="O181" s="49">
        <f>E181*J181/1000</f>
        <v>32732.18188194</v>
      </c>
      <c r="P181" s="49">
        <f t="shared" ref="P181:R191" si="12">F181*K181/1000</f>
        <v>34311.499710897755</v>
      </c>
      <c r="Q181" s="49">
        <f t="shared" si="12"/>
        <v>35683.959699333667</v>
      </c>
      <c r="R181" s="49">
        <f t="shared" si="12"/>
        <v>37111.318087307016</v>
      </c>
    </row>
    <row r="182" spans="1:18" s="2" customFormat="1" ht="55.15" hidden="1" x14ac:dyDescent="0.25">
      <c r="A182" s="1">
        <v>2</v>
      </c>
      <c r="B182" s="33" t="s">
        <v>255</v>
      </c>
      <c r="C182" s="1" t="s">
        <v>16</v>
      </c>
      <c r="D182" s="49">
        <v>357469</v>
      </c>
      <c r="E182" s="49">
        <v>380363</v>
      </c>
      <c r="F182" s="49">
        <v>371244</v>
      </c>
      <c r="G182" s="49">
        <v>371244</v>
      </c>
      <c r="H182" s="49">
        <v>371244</v>
      </c>
      <c r="I182" s="49">
        <v>184.33253999999999</v>
      </c>
      <c r="J182" s="49">
        <f>I182*1.0377146</f>
        <v>191.28456801308397</v>
      </c>
      <c r="K182" s="49">
        <v>201.52698799999999</v>
      </c>
      <c r="L182" s="49">
        <f t="shared" ref="L182:M192" si="13">K182*1.04</f>
        <v>209.58806751999998</v>
      </c>
      <c r="M182" s="49">
        <f t="shared" si="13"/>
        <v>217.97159022079998</v>
      </c>
      <c r="N182" s="49">
        <f>D182*I182/1000</f>
        <v>65893.16874126</v>
      </c>
      <c r="O182" s="49">
        <f t="shared" ref="O182:O191" si="14">E182*J182/1000</f>
        <v>72757.572143160651</v>
      </c>
      <c r="P182" s="49">
        <f t="shared" si="12"/>
        <v>74815.685133071995</v>
      </c>
      <c r="Q182" s="49">
        <f t="shared" si="12"/>
        <v>77808.312538394865</v>
      </c>
      <c r="R182" s="49">
        <f t="shared" si="12"/>
        <v>80920.645039930678</v>
      </c>
    </row>
    <row r="183" spans="1:18" s="2" customFormat="1" ht="69" hidden="1" x14ac:dyDescent="0.25">
      <c r="A183" s="1">
        <v>3</v>
      </c>
      <c r="B183" s="33" t="s">
        <v>256</v>
      </c>
      <c r="C183" s="1" t="s">
        <v>16</v>
      </c>
      <c r="D183" s="49">
        <v>621382</v>
      </c>
      <c r="E183" s="49">
        <v>688613</v>
      </c>
      <c r="F183" s="49">
        <v>710082</v>
      </c>
      <c r="G183" s="49">
        <v>710082</v>
      </c>
      <c r="H183" s="49">
        <v>710082</v>
      </c>
      <c r="I183" s="49">
        <v>179.20500100000001</v>
      </c>
      <c r="J183" s="49">
        <f>179.835245</f>
        <v>179.83524499999999</v>
      </c>
      <c r="K183" s="49">
        <v>194.641749</v>
      </c>
      <c r="L183" s="49">
        <f t="shared" si="13"/>
        <v>202.42741896000001</v>
      </c>
      <c r="M183" s="49">
        <f t="shared" si="13"/>
        <v>210.52451571840001</v>
      </c>
      <c r="N183" s="49">
        <f>D183*I183/1000</f>
        <v>111354.761931382</v>
      </c>
      <c r="O183" s="49">
        <f t="shared" si="14"/>
        <v>123836.887565185</v>
      </c>
      <c r="P183" s="49">
        <f t="shared" si="12"/>
        <v>138211.602413418</v>
      </c>
      <c r="Q183" s="49">
        <f t="shared" si="12"/>
        <v>143740.06650995472</v>
      </c>
      <c r="R183" s="49">
        <f t="shared" si="12"/>
        <v>149489.66917035289</v>
      </c>
    </row>
    <row r="184" spans="1:18" s="2" customFormat="1" ht="82.9" hidden="1" x14ac:dyDescent="0.25">
      <c r="A184" s="1">
        <v>4</v>
      </c>
      <c r="B184" s="33" t="s">
        <v>257</v>
      </c>
      <c r="C184" s="1" t="s">
        <v>16</v>
      </c>
      <c r="D184" s="49">
        <v>872984</v>
      </c>
      <c r="E184" s="49">
        <v>1292238</v>
      </c>
      <c r="F184" s="49">
        <v>1269562</v>
      </c>
      <c r="G184" s="49">
        <v>1269562</v>
      </c>
      <c r="H184" s="49">
        <v>1269562</v>
      </c>
      <c r="I184" s="49">
        <v>29.013407000000001</v>
      </c>
      <c r="J184" s="49">
        <v>25.7846805</v>
      </c>
      <c r="K184" s="49">
        <v>25.052566160000001</v>
      </c>
      <c r="L184" s="49">
        <f t="shared" si="13"/>
        <v>26.054668806400002</v>
      </c>
      <c r="M184" s="49">
        <f t="shared" si="13"/>
        <v>27.096855558656003</v>
      </c>
      <c r="N184" s="49">
        <f t="shared" ref="N184:N190" si="15">D184*I184/1000</f>
        <v>25328.240096488</v>
      </c>
      <c r="O184" s="49">
        <f t="shared" si="14"/>
        <v>33319.943959958997</v>
      </c>
      <c r="P184" s="49">
        <f t="shared" si="12"/>
        <v>31805.78599922192</v>
      </c>
      <c r="Q184" s="49">
        <f t="shared" si="12"/>
        <v>33078.0174391908</v>
      </c>
      <c r="R184" s="49">
        <f t="shared" si="12"/>
        <v>34401.138136758433</v>
      </c>
    </row>
    <row r="185" spans="1:18" s="2" customFormat="1" ht="55.15" hidden="1" x14ac:dyDescent="0.25">
      <c r="A185" s="1">
        <v>5</v>
      </c>
      <c r="B185" s="33" t="s">
        <v>258</v>
      </c>
      <c r="C185" s="1" t="s">
        <v>16</v>
      </c>
      <c r="D185" s="49">
        <v>1675</v>
      </c>
      <c r="E185" s="49">
        <v>1645</v>
      </c>
      <c r="F185" s="49">
        <v>1674</v>
      </c>
      <c r="G185" s="49">
        <v>1674</v>
      </c>
      <c r="H185" s="49">
        <v>1674</v>
      </c>
      <c r="I185" s="49">
        <v>13187.362388</v>
      </c>
      <c r="J185" s="49">
        <v>13599.101000000001</v>
      </c>
      <c r="K185" s="49">
        <v>11886.1212664</v>
      </c>
      <c r="L185" s="49">
        <f t="shared" si="13"/>
        <v>12361.566117056</v>
      </c>
      <c r="M185" s="49">
        <f t="shared" si="13"/>
        <v>12856.02876173824</v>
      </c>
      <c r="N185" s="49">
        <f t="shared" si="15"/>
        <v>22088.831999899998</v>
      </c>
      <c r="O185" s="49">
        <f t="shared" si="14"/>
        <v>22370.521144999999</v>
      </c>
      <c r="P185" s="49">
        <f t="shared" si="12"/>
        <v>19897.3669999536</v>
      </c>
      <c r="Q185" s="49">
        <f t="shared" si="12"/>
        <v>20693.261679951742</v>
      </c>
      <c r="R185" s="49">
        <f t="shared" si="12"/>
        <v>21520.992147149813</v>
      </c>
    </row>
    <row r="186" spans="1:18" s="2" customFormat="1" ht="27.6" hidden="1" x14ac:dyDescent="0.25">
      <c r="A186" s="1">
        <v>6</v>
      </c>
      <c r="B186" s="33" t="s">
        <v>208</v>
      </c>
      <c r="C186" s="1" t="s">
        <v>209</v>
      </c>
      <c r="D186" s="49">
        <v>1022644</v>
      </c>
      <c r="E186" s="49">
        <v>957496.1</v>
      </c>
      <c r="F186" s="49">
        <v>802955</v>
      </c>
      <c r="G186" s="49">
        <v>802955</v>
      </c>
      <c r="H186" s="49">
        <v>802955</v>
      </c>
      <c r="I186" s="49">
        <v>25.11</v>
      </c>
      <c r="J186" s="49">
        <f>I186*1.04</f>
        <v>26.1144</v>
      </c>
      <c r="K186" s="49">
        <f>I186*1.0816</f>
        <v>27.158975999999996</v>
      </c>
      <c r="L186" s="49">
        <f t="shared" si="13"/>
        <v>28.245335039999997</v>
      </c>
      <c r="M186" s="49">
        <f t="shared" si="13"/>
        <v>29.375148441599997</v>
      </c>
      <c r="N186" s="49">
        <f t="shared" si="15"/>
        <v>25678.590840000001</v>
      </c>
      <c r="O186" s="49">
        <f t="shared" si="14"/>
        <v>25004.436153839997</v>
      </c>
      <c r="P186" s="49">
        <f t="shared" si="12"/>
        <v>21807.435574079998</v>
      </c>
      <c r="Q186" s="49">
        <f t="shared" si="12"/>
        <v>22679.732997043197</v>
      </c>
      <c r="R186" s="49">
        <f t="shared" si="12"/>
        <v>23586.922316924927</v>
      </c>
    </row>
    <row r="187" spans="1:18" s="2" customFormat="1" ht="55.15" hidden="1" x14ac:dyDescent="0.25">
      <c r="A187" s="1">
        <v>7</v>
      </c>
      <c r="B187" s="33" t="s">
        <v>259</v>
      </c>
      <c r="C187" s="1" t="s">
        <v>16</v>
      </c>
      <c r="D187" s="49">
        <v>31931</v>
      </c>
      <c r="E187" s="49">
        <v>22565</v>
      </c>
      <c r="F187" s="49">
        <v>20871</v>
      </c>
      <c r="G187" s="49">
        <v>20871</v>
      </c>
      <c r="H187" s="49">
        <v>20871</v>
      </c>
      <c r="I187" s="49">
        <v>1926.8907400000001</v>
      </c>
      <c r="J187" s="49">
        <v>2051.0700000000002</v>
      </c>
      <c r="K187" s="49">
        <v>2147.2687700000001</v>
      </c>
      <c r="L187" s="49">
        <f t="shared" si="13"/>
        <v>2233.1595208000003</v>
      </c>
      <c r="M187" s="49">
        <f t="shared" si="13"/>
        <v>2322.4859016320006</v>
      </c>
      <c r="N187" s="49">
        <f t="shared" si="15"/>
        <v>61527.548218940006</v>
      </c>
      <c r="O187" s="49">
        <f t="shared" si="14"/>
        <v>46282.394550000005</v>
      </c>
      <c r="P187" s="49">
        <f t="shared" si="12"/>
        <v>44815.646498670001</v>
      </c>
      <c r="Q187" s="49">
        <f t="shared" si="12"/>
        <v>46608.272358616807</v>
      </c>
      <c r="R187" s="49">
        <f t="shared" si="12"/>
        <v>48472.603252961489</v>
      </c>
    </row>
    <row r="188" spans="1:18" s="2" customFormat="1" ht="27.6" hidden="1" x14ac:dyDescent="0.25">
      <c r="A188" s="1">
        <v>8</v>
      </c>
      <c r="B188" s="33" t="s">
        <v>210</v>
      </c>
      <c r="C188" s="1" t="s">
        <v>16</v>
      </c>
      <c r="D188" s="49">
        <v>2026544</v>
      </c>
      <c r="E188" s="49">
        <v>2186167</v>
      </c>
      <c r="F188" s="49">
        <v>2325032</v>
      </c>
      <c r="G188" s="49">
        <v>2325032</v>
      </c>
      <c r="H188" s="49">
        <v>2325032</v>
      </c>
      <c r="I188" s="49">
        <v>22.1</v>
      </c>
      <c r="J188" s="49">
        <f>I188*1.04</f>
        <v>22.984000000000002</v>
      </c>
      <c r="K188" s="49">
        <f>I188*1.0816</f>
        <v>23.903359999999999</v>
      </c>
      <c r="L188" s="49">
        <f t="shared" si="13"/>
        <v>24.859494399999999</v>
      </c>
      <c r="M188" s="49">
        <f t="shared" si="13"/>
        <v>25.853874176000001</v>
      </c>
      <c r="N188" s="49">
        <f t="shared" si="15"/>
        <v>44786.622400000007</v>
      </c>
      <c r="O188" s="49">
        <f t="shared" si="14"/>
        <v>50246.862328000003</v>
      </c>
      <c r="P188" s="49">
        <f t="shared" si="12"/>
        <v>55576.076907519993</v>
      </c>
      <c r="Q188" s="49">
        <f t="shared" si="12"/>
        <v>57799.119983820798</v>
      </c>
      <c r="R188" s="49">
        <f t="shared" si="12"/>
        <v>60111.084783173639</v>
      </c>
    </row>
    <row r="189" spans="1:18" s="2" customFormat="1" ht="82.9" hidden="1" x14ac:dyDescent="0.25">
      <c r="A189" s="1">
        <v>9</v>
      </c>
      <c r="B189" s="33" t="s">
        <v>260</v>
      </c>
      <c r="C189" s="1" t="s">
        <v>16</v>
      </c>
      <c r="D189" s="49">
        <v>6863</v>
      </c>
      <c r="E189" s="49">
        <v>7687</v>
      </c>
      <c r="F189" s="49">
        <v>8631</v>
      </c>
      <c r="G189" s="49">
        <v>8631</v>
      </c>
      <c r="H189" s="49">
        <v>8631</v>
      </c>
      <c r="I189" s="49">
        <v>4680.6400000000003</v>
      </c>
      <c r="J189" s="49">
        <v>4944.9509559999997</v>
      </c>
      <c r="K189" s="49">
        <v>5161.6731540000001</v>
      </c>
      <c r="L189" s="49">
        <f>K189*1.04</f>
        <v>5368.1400801600003</v>
      </c>
      <c r="M189" s="49">
        <f>L189*1.04</f>
        <v>5582.8656833664008</v>
      </c>
      <c r="N189" s="49">
        <f t="shared" si="15"/>
        <v>32123.232320000003</v>
      </c>
      <c r="O189" s="49">
        <f t="shared" si="14"/>
        <v>38011.837998771996</v>
      </c>
      <c r="P189" s="49">
        <f t="shared" si="12"/>
        <v>44550.400992174</v>
      </c>
      <c r="Q189" s="49">
        <f t="shared" si="12"/>
        <v>46332.417031860961</v>
      </c>
      <c r="R189" s="49">
        <f t="shared" si="12"/>
        <v>48185.713713135403</v>
      </c>
    </row>
    <row r="190" spans="1:18" s="2" customFormat="1" ht="69" hidden="1" x14ac:dyDescent="0.25">
      <c r="A190" s="1">
        <v>10</v>
      </c>
      <c r="B190" s="33" t="s">
        <v>261</v>
      </c>
      <c r="C190" s="1" t="s">
        <v>16</v>
      </c>
      <c r="D190" s="49">
        <v>6822</v>
      </c>
      <c r="E190" s="49">
        <v>7517</v>
      </c>
      <c r="F190" s="49">
        <v>8555</v>
      </c>
      <c r="G190" s="49">
        <v>8555</v>
      </c>
      <c r="H190" s="49">
        <v>8555</v>
      </c>
      <c r="I190" s="49">
        <v>477.67399499999999</v>
      </c>
      <c r="J190" s="49">
        <v>445.32659999999998</v>
      </c>
      <c r="K190" s="49">
        <v>458.12811219999998</v>
      </c>
      <c r="L190" s="49">
        <f t="shared" si="13"/>
        <v>476.453236688</v>
      </c>
      <c r="M190" s="49">
        <f t="shared" si="13"/>
        <v>495.51136615552002</v>
      </c>
      <c r="N190" s="49">
        <f t="shared" si="15"/>
        <v>3258.69199389</v>
      </c>
      <c r="O190" s="49">
        <f>E190*J190/1000</f>
        <v>3347.5200522</v>
      </c>
      <c r="P190" s="49">
        <f t="shared" si="12"/>
        <v>3919.2859998709996</v>
      </c>
      <c r="Q190" s="49">
        <f t="shared" si="12"/>
        <v>4076.05743986584</v>
      </c>
      <c r="R190" s="49">
        <f t="shared" si="12"/>
        <v>4239.099737460474</v>
      </c>
    </row>
    <row r="191" spans="1:18" s="2" customFormat="1" ht="27.6" hidden="1" x14ac:dyDescent="0.25">
      <c r="A191" s="1">
        <v>11</v>
      </c>
      <c r="B191" s="33" t="s">
        <v>211</v>
      </c>
      <c r="C191" s="1"/>
      <c r="D191" s="49"/>
      <c r="E191" s="49">
        <v>1</v>
      </c>
      <c r="F191" s="49">
        <v>1</v>
      </c>
      <c r="G191" s="49">
        <v>1</v>
      </c>
      <c r="H191" s="49">
        <v>1</v>
      </c>
      <c r="I191" s="49"/>
      <c r="J191" s="49">
        <v>3097485</v>
      </c>
      <c r="K191" s="49">
        <v>1081499</v>
      </c>
      <c r="L191" s="49">
        <f>K191*1.04+1</f>
        <v>1124759.96</v>
      </c>
      <c r="M191" s="49">
        <f t="shared" si="13"/>
        <v>1169750.3584</v>
      </c>
      <c r="N191" s="49">
        <f>D191*I191/1000</f>
        <v>0</v>
      </c>
      <c r="O191" s="49">
        <f t="shared" si="14"/>
        <v>3097.4850000000001</v>
      </c>
      <c r="P191" s="49">
        <f t="shared" si="12"/>
        <v>1081.499</v>
      </c>
      <c r="Q191" s="49">
        <f t="shared" si="12"/>
        <v>1124.7599599999999</v>
      </c>
      <c r="R191" s="49">
        <f t="shared" si="12"/>
        <v>1169.7503584000001</v>
      </c>
    </row>
    <row r="192" spans="1:18" s="2" customFormat="1" ht="69" hidden="1" x14ac:dyDescent="0.25">
      <c r="A192" s="1">
        <v>12</v>
      </c>
      <c r="B192" s="33" t="s">
        <v>212</v>
      </c>
      <c r="C192" s="1" t="s">
        <v>16</v>
      </c>
      <c r="D192" s="49">
        <v>3000</v>
      </c>
      <c r="E192" s="49"/>
      <c r="F192" s="49"/>
      <c r="G192" s="49"/>
      <c r="H192" s="49"/>
      <c r="I192" s="49"/>
      <c r="J192" s="49"/>
      <c r="K192" s="49"/>
      <c r="L192" s="49">
        <f t="shared" si="13"/>
        <v>0</v>
      </c>
      <c r="M192" s="49">
        <f t="shared" si="13"/>
        <v>0</v>
      </c>
      <c r="N192" s="49">
        <v>6000.0249999999996</v>
      </c>
      <c r="O192" s="49">
        <v>6000</v>
      </c>
      <c r="P192" s="49">
        <v>4495.6679999999997</v>
      </c>
      <c r="Q192" s="49">
        <f>P192*1.04</f>
        <v>4675.4947199999997</v>
      </c>
      <c r="R192" s="49">
        <f>Q192*1.04</f>
        <v>4862.5145087999999</v>
      </c>
    </row>
    <row r="193" spans="1:18" s="2" customFormat="1" ht="41.45" hidden="1" x14ac:dyDescent="0.25">
      <c r="A193" s="1">
        <v>13</v>
      </c>
      <c r="B193" s="33" t="s">
        <v>213</v>
      </c>
      <c r="C193" s="1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>
        <v>3767.136</v>
      </c>
      <c r="O193" s="49">
        <v>4137.15553</v>
      </c>
      <c r="P193" s="49">
        <v>4335.0469999999996</v>
      </c>
      <c r="Q193" s="49">
        <v>4501.5280000000002</v>
      </c>
      <c r="R193" s="49">
        <v>4674.549</v>
      </c>
    </row>
    <row r="194" spans="1:18" s="2" customFormat="1" ht="13.9" hidden="1" x14ac:dyDescent="0.25">
      <c r="A194" s="1"/>
      <c r="B194" s="10" t="s">
        <v>0</v>
      </c>
      <c r="C194" s="1"/>
      <c r="D194" s="23" t="s">
        <v>8</v>
      </c>
      <c r="E194" s="23" t="s">
        <v>8</v>
      </c>
      <c r="F194" s="23" t="s">
        <v>8</v>
      </c>
      <c r="G194" s="23" t="s">
        <v>8</v>
      </c>
      <c r="H194" s="23" t="s">
        <v>8</v>
      </c>
      <c r="I194" s="15"/>
      <c r="J194" s="15"/>
      <c r="K194" s="15"/>
      <c r="L194" s="15"/>
      <c r="M194" s="15"/>
      <c r="N194" s="50">
        <f>SUM(N181:N193)</f>
        <v>432924.55737971107</v>
      </c>
      <c r="O194" s="50">
        <f>SUM(O181:O193)</f>
        <v>461144.79830805666</v>
      </c>
      <c r="P194" s="50">
        <f>SUM(P181:P193)</f>
        <v>479623.00022887823</v>
      </c>
      <c r="Q194" s="50">
        <f>SUM(Q181:Q193)</f>
        <v>498801.0003580334</v>
      </c>
      <c r="R194" s="50">
        <f>SUM(R181:R193)</f>
        <v>518746.00025235472</v>
      </c>
    </row>
    <row r="195" spans="1:18" s="2" customFormat="1" ht="13.9" hidden="1" x14ac:dyDescent="0.25">
      <c r="A195" s="140" t="s">
        <v>214</v>
      </c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</row>
    <row r="196" spans="1:18" s="2" customFormat="1" ht="96.6" hidden="1" x14ac:dyDescent="0.25">
      <c r="A196" s="1">
        <v>1</v>
      </c>
      <c r="B196" s="33" t="s">
        <v>215</v>
      </c>
      <c r="C196" s="12" t="s">
        <v>216</v>
      </c>
      <c r="D196" s="49">
        <v>53</v>
      </c>
      <c r="E196" s="49">
        <v>50</v>
      </c>
      <c r="F196" s="49">
        <v>50</v>
      </c>
      <c r="G196" s="49">
        <v>50</v>
      </c>
      <c r="H196" s="49">
        <v>50</v>
      </c>
      <c r="I196" s="49"/>
      <c r="J196" s="49">
        <f>41943.99</f>
        <v>41943.99</v>
      </c>
      <c r="K196" s="49">
        <v>43621.749600000003</v>
      </c>
      <c r="L196" s="49">
        <v>45366.619584</v>
      </c>
      <c r="M196" s="49">
        <v>47181.28436736</v>
      </c>
      <c r="N196" s="49"/>
      <c r="O196" s="49">
        <v>2097.1999999999998</v>
      </c>
      <c r="P196" s="49">
        <v>2181.1</v>
      </c>
      <c r="Q196" s="49">
        <v>2268.4</v>
      </c>
      <c r="R196" s="49">
        <v>2359.3000000000002</v>
      </c>
    </row>
    <row r="197" spans="1:18" s="2" customFormat="1" ht="82.9" hidden="1" x14ac:dyDescent="0.25">
      <c r="A197" s="1">
        <v>2</v>
      </c>
      <c r="B197" s="33" t="s">
        <v>217</v>
      </c>
      <c r="C197" s="12" t="s">
        <v>218</v>
      </c>
      <c r="D197" s="49">
        <v>3</v>
      </c>
      <c r="E197" s="49">
        <v>4</v>
      </c>
      <c r="F197" s="49">
        <v>4</v>
      </c>
      <c r="G197" s="49">
        <v>4</v>
      </c>
      <c r="H197" s="49">
        <v>4</v>
      </c>
      <c r="I197" s="49"/>
      <c r="J197" s="49">
        <v>346642.81</v>
      </c>
      <c r="K197" s="49">
        <v>360508.52240000002</v>
      </c>
      <c r="L197" s="49">
        <v>374928.863296</v>
      </c>
      <c r="M197" s="49">
        <v>389926.01782784</v>
      </c>
      <c r="N197" s="49"/>
      <c r="O197" s="49">
        <v>1386.6</v>
      </c>
      <c r="P197" s="49">
        <v>1442</v>
      </c>
      <c r="Q197" s="49">
        <v>1499.7</v>
      </c>
      <c r="R197" s="49">
        <v>1559.7</v>
      </c>
    </row>
    <row r="198" spans="1:18" s="2" customFormat="1" ht="82.9" hidden="1" x14ac:dyDescent="0.25">
      <c r="A198" s="12">
        <v>3</v>
      </c>
      <c r="B198" s="41" t="s">
        <v>219</v>
      </c>
      <c r="C198" s="12" t="s">
        <v>218</v>
      </c>
      <c r="D198" s="49"/>
      <c r="E198" s="49">
        <v>10</v>
      </c>
      <c r="F198" s="49">
        <v>10</v>
      </c>
      <c r="G198" s="49">
        <v>10</v>
      </c>
      <c r="H198" s="49">
        <v>10</v>
      </c>
      <c r="I198" s="49"/>
      <c r="J198" s="49">
        <v>41617.79</v>
      </c>
      <c r="K198" s="49">
        <v>43282.501600000003</v>
      </c>
      <c r="L198" s="49">
        <v>45013.801663999999</v>
      </c>
      <c r="M198" s="49">
        <v>46814.353730559997</v>
      </c>
      <c r="N198" s="49"/>
      <c r="O198" s="49">
        <v>416.2</v>
      </c>
      <c r="P198" s="49">
        <v>432.8</v>
      </c>
      <c r="Q198" s="49">
        <v>450.1</v>
      </c>
      <c r="R198" s="49">
        <v>468.1</v>
      </c>
    </row>
    <row r="199" spans="1:18" s="2" customFormat="1" ht="82.9" hidden="1" x14ac:dyDescent="0.25">
      <c r="A199" s="12">
        <v>4</v>
      </c>
      <c r="B199" s="41" t="s">
        <v>220</v>
      </c>
      <c r="C199" s="12" t="s">
        <v>218</v>
      </c>
      <c r="D199" s="49"/>
      <c r="E199" s="49">
        <v>10</v>
      </c>
      <c r="F199" s="49">
        <v>10</v>
      </c>
      <c r="G199" s="49">
        <v>10</v>
      </c>
      <c r="H199" s="49">
        <v>10</v>
      </c>
      <c r="I199" s="49"/>
      <c r="J199" s="49">
        <v>13872.63</v>
      </c>
      <c r="K199" s="49">
        <v>14427.5352</v>
      </c>
      <c r="L199" s="49">
        <v>15004.636608000001</v>
      </c>
      <c r="M199" s="49">
        <v>15604.822072319999</v>
      </c>
      <c r="N199" s="49"/>
      <c r="O199" s="49">
        <v>138.69999999999999</v>
      </c>
      <c r="P199" s="49">
        <v>144.30000000000001</v>
      </c>
      <c r="Q199" s="49">
        <v>150</v>
      </c>
      <c r="R199" s="49">
        <v>156</v>
      </c>
    </row>
    <row r="200" spans="1:18" s="2" customFormat="1" ht="41.45" hidden="1" x14ac:dyDescent="0.25">
      <c r="A200" s="12">
        <v>5</v>
      </c>
      <c r="B200" s="41" t="s">
        <v>221</v>
      </c>
      <c r="C200" s="12" t="s">
        <v>218</v>
      </c>
      <c r="D200" s="49"/>
      <c r="E200" s="49">
        <v>500</v>
      </c>
      <c r="F200" s="49">
        <v>500</v>
      </c>
      <c r="G200" s="49">
        <v>500</v>
      </c>
      <c r="H200" s="49">
        <v>500</v>
      </c>
      <c r="I200" s="49"/>
      <c r="J200" s="49">
        <v>2794.01</v>
      </c>
      <c r="K200" s="49">
        <v>2905.7703999999999</v>
      </c>
      <c r="L200" s="49">
        <v>3022.0012160000001</v>
      </c>
      <c r="M200" s="49">
        <v>3142.8812646400002</v>
      </c>
      <c r="N200" s="49"/>
      <c r="O200" s="49">
        <v>1397</v>
      </c>
      <c r="P200" s="49">
        <v>1452.9</v>
      </c>
      <c r="Q200" s="49">
        <v>1511</v>
      </c>
      <c r="R200" s="49">
        <v>1571.4</v>
      </c>
    </row>
    <row r="201" spans="1:18" s="2" customFormat="1" ht="41.45" hidden="1" x14ac:dyDescent="0.25">
      <c r="A201" s="12">
        <v>6</v>
      </c>
      <c r="B201" s="41" t="s">
        <v>222</v>
      </c>
      <c r="C201" s="12" t="s">
        <v>218</v>
      </c>
      <c r="D201" s="49"/>
      <c r="E201" s="49">
        <v>1000</v>
      </c>
      <c r="F201" s="49">
        <v>1000</v>
      </c>
      <c r="G201" s="49">
        <v>1000</v>
      </c>
      <c r="H201" s="49">
        <v>1000</v>
      </c>
      <c r="I201" s="49"/>
      <c r="J201" s="49">
        <v>4190.8999999999996</v>
      </c>
      <c r="K201" s="49">
        <v>4358.5568000000003</v>
      </c>
      <c r="L201" s="49">
        <v>4532.8990720000002</v>
      </c>
      <c r="M201" s="49">
        <v>4714.2150348799996</v>
      </c>
      <c r="N201" s="49"/>
      <c r="O201" s="49">
        <v>4190.8999999999996</v>
      </c>
      <c r="P201" s="49">
        <v>4358.6000000000004</v>
      </c>
      <c r="Q201" s="49">
        <v>4532.8999999999996</v>
      </c>
      <c r="R201" s="49">
        <v>4714.2</v>
      </c>
    </row>
    <row r="202" spans="1:18" s="2" customFormat="1" ht="41.45" hidden="1" x14ac:dyDescent="0.25">
      <c r="A202" s="12">
        <v>7</v>
      </c>
      <c r="B202" s="41" t="s">
        <v>223</v>
      </c>
      <c r="C202" s="12" t="s">
        <v>218</v>
      </c>
      <c r="D202" s="49"/>
      <c r="E202" s="49">
        <v>250</v>
      </c>
      <c r="F202" s="49">
        <v>250</v>
      </c>
      <c r="G202" s="49">
        <v>250</v>
      </c>
      <c r="H202" s="49">
        <v>250</v>
      </c>
      <c r="I202" s="49"/>
      <c r="J202" s="49">
        <v>4159.62</v>
      </c>
      <c r="K202" s="49">
        <v>4326.0047999999997</v>
      </c>
      <c r="L202" s="49">
        <v>4499.0449920000001</v>
      </c>
      <c r="M202" s="49">
        <v>4679.0067916799999</v>
      </c>
      <c r="N202" s="49"/>
      <c r="O202" s="49">
        <v>1039.9000000000001</v>
      </c>
      <c r="P202" s="49">
        <v>1081.5</v>
      </c>
      <c r="Q202" s="49">
        <v>1124.8</v>
      </c>
      <c r="R202" s="49">
        <v>1169.8</v>
      </c>
    </row>
    <row r="203" spans="1:18" s="2" customFormat="1" ht="41.45" hidden="1" x14ac:dyDescent="0.25">
      <c r="A203" s="12">
        <v>8</v>
      </c>
      <c r="B203" s="41" t="s">
        <v>224</v>
      </c>
      <c r="C203" s="12" t="s">
        <v>218</v>
      </c>
      <c r="D203" s="49"/>
      <c r="E203" s="49">
        <v>500</v>
      </c>
      <c r="F203" s="49">
        <v>500</v>
      </c>
      <c r="G203" s="49">
        <v>500</v>
      </c>
      <c r="H203" s="49">
        <v>500</v>
      </c>
      <c r="I203" s="49"/>
      <c r="J203" s="49">
        <v>5546.25</v>
      </c>
      <c r="K203" s="49">
        <v>5768.1</v>
      </c>
      <c r="L203" s="49">
        <v>5998.8239999999996</v>
      </c>
      <c r="M203" s="49">
        <v>6238.7769600000001</v>
      </c>
      <c r="N203" s="49"/>
      <c r="O203" s="49">
        <v>2773.1</v>
      </c>
      <c r="P203" s="49">
        <v>2884.1</v>
      </c>
      <c r="Q203" s="49">
        <v>2999.4</v>
      </c>
      <c r="R203" s="49">
        <v>3119.4</v>
      </c>
    </row>
    <row r="204" spans="1:18" s="2" customFormat="1" ht="41.45" hidden="1" x14ac:dyDescent="0.25">
      <c r="A204" s="12">
        <v>9</v>
      </c>
      <c r="B204" s="41" t="s">
        <v>225</v>
      </c>
      <c r="C204" s="12" t="s">
        <v>218</v>
      </c>
      <c r="D204" s="49"/>
      <c r="E204" s="49">
        <v>200</v>
      </c>
      <c r="F204" s="49">
        <v>200</v>
      </c>
      <c r="G204" s="49">
        <v>200</v>
      </c>
      <c r="H204" s="49">
        <v>200</v>
      </c>
      <c r="I204" s="49"/>
      <c r="J204" s="49">
        <v>346.71</v>
      </c>
      <c r="K204" s="49">
        <v>360.57839999999999</v>
      </c>
      <c r="L204" s="49">
        <v>375.00153599999999</v>
      </c>
      <c r="M204" s="49">
        <v>390.00159744000001</v>
      </c>
      <c r="N204" s="49"/>
      <c r="O204" s="49">
        <v>69.3</v>
      </c>
      <c r="P204" s="49">
        <v>72.099999999999994</v>
      </c>
      <c r="Q204" s="49">
        <v>75</v>
      </c>
      <c r="R204" s="49">
        <v>78</v>
      </c>
    </row>
    <row r="205" spans="1:18" ht="41.45" hidden="1" x14ac:dyDescent="0.3">
      <c r="A205" s="12">
        <v>10</v>
      </c>
      <c r="B205" s="41" t="s">
        <v>226</v>
      </c>
      <c r="C205" s="12" t="s">
        <v>227</v>
      </c>
      <c r="D205" s="49"/>
      <c r="E205" s="49">
        <v>50</v>
      </c>
      <c r="F205" s="49">
        <v>50</v>
      </c>
      <c r="G205" s="49">
        <v>50</v>
      </c>
      <c r="H205" s="49">
        <v>50</v>
      </c>
      <c r="I205" s="49"/>
      <c r="J205" s="49">
        <v>1386.82</v>
      </c>
      <c r="K205" s="49">
        <v>1442.2927999999999</v>
      </c>
      <c r="L205" s="49">
        <v>1499.984512</v>
      </c>
      <c r="M205" s="49">
        <v>1559.9838924799999</v>
      </c>
      <c r="N205" s="49"/>
      <c r="O205" s="49">
        <v>69.3</v>
      </c>
      <c r="P205" s="49">
        <v>72.099999999999994</v>
      </c>
      <c r="Q205" s="49">
        <v>75</v>
      </c>
      <c r="R205" s="49">
        <v>78</v>
      </c>
    </row>
    <row r="206" spans="1:18" ht="41.45" hidden="1" x14ac:dyDescent="0.3">
      <c r="A206" s="12">
        <v>11</v>
      </c>
      <c r="B206" s="41" t="s">
        <v>228</v>
      </c>
      <c r="C206" s="12" t="s">
        <v>227</v>
      </c>
      <c r="D206" s="49">
        <v>503</v>
      </c>
      <c r="E206" s="49">
        <v>50</v>
      </c>
      <c r="F206" s="49">
        <v>50</v>
      </c>
      <c r="G206" s="49">
        <v>50</v>
      </c>
      <c r="H206" s="49">
        <v>50</v>
      </c>
      <c r="I206" s="49"/>
      <c r="J206" s="49">
        <v>1385.66</v>
      </c>
      <c r="K206" s="49">
        <v>1441.0863999999999</v>
      </c>
      <c r="L206" s="49">
        <v>1498.7298559999999</v>
      </c>
      <c r="M206" s="49">
        <v>1558.6790502399999</v>
      </c>
      <c r="N206" s="49"/>
      <c r="O206" s="49">
        <v>69.3</v>
      </c>
      <c r="P206" s="49">
        <v>72.099999999999994</v>
      </c>
      <c r="Q206" s="49">
        <v>74.900000000000006</v>
      </c>
      <c r="R206" s="49">
        <v>77.900000000000006</v>
      </c>
    </row>
    <row r="207" spans="1:18" ht="41.45" hidden="1" x14ac:dyDescent="0.3">
      <c r="A207" s="12">
        <v>12</v>
      </c>
      <c r="B207" s="41" t="s">
        <v>229</v>
      </c>
      <c r="C207" s="12" t="s">
        <v>230</v>
      </c>
      <c r="D207" s="49">
        <v>2058</v>
      </c>
      <c r="E207" s="49">
        <v>200</v>
      </c>
      <c r="F207" s="49">
        <v>200</v>
      </c>
      <c r="G207" s="49">
        <v>200</v>
      </c>
      <c r="H207" s="49">
        <v>200</v>
      </c>
      <c r="I207" s="49"/>
      <c r="J207" s="49">
        <v>346.36</v>
      </c>
      <c r="K207" s="49">
        <v>360.21440000000001</v>
      </c>
      <c r="L207" s="49">
        <v>374.62297599999999</v>
      </c>
      <c r="M207" s="49">
        <v>389.60789504000002</v>
      </c>
      <c r="N207" s="49"/>
      <c r="O207" s="49">
        <v>69.3</v>
      </c>
      <c r="P207" s="49">
        <v>72</v>
      </c>
      <c r="Q207" s="49">
        <v>74.900000000000006</v>
      </c>
      <c r="R207" s="49">
        <v>77.900000000000006</v>
      </c>
    </row>
    <row r="208" spans="1:18" s="2" customFormat="1" ht="69" hidden="1" x14ac:dyDescent="0.25">
      <c r="A208" s="12">
        <v>13</v>
      </c>
      <c r="B208" s="41" t="s">
        <v>231</v>
      </c>
      <c r="C208" s="12" t="s">
        <v>218</v>
      </c>
      <c r="D208" s="49"/>
      <c r="E208" s="49">
        <v>1269766</v>
      </c>
      <c r="F208" s="49">
        <v>20290</v>
      </c>
      <c r="G208" s="49">
        <v>20290</v>
      </c>
      <c r="H208" s="49">
        <v>20290</v>
      </c>
      <c r="I208" s="49"/>
      <c r="J208" s="49">
        <v>11.61</v>
      </c>
      <c r="K208" s="49">
        <v>12.07220248</v>
      </c>
      <c r="L208" s="49">
        <v>12.5550905792</v>
      </c>
      <c r="M208" s="49">
        <v>13.057294202368</v>
      </c>
      <c r="N208" s="49"/>
      <c r="O208" s="49">
        <v>14739.3</v>
      </c>
      <c r="P208" s="49">
        <v>244.9</v>
      </c>
      <c r="Q208" s="49">
        <v>254.7</v>
      </c>
      <c r="R208" s="49">
        <v>264.89999999999998</v>
      </c>
    </row>
    <row r="209" spans="1:18" ht="69" hidden="1" x14ac:dyDescent="0.3">
      <c r="A209" s="12">
        <v>14</v>
      </c>
      <c r="B209" s="41" t="s">
        <v>232</v>
      </c>
      <c r="C209" s="12" t="s">
        <v>218</v>
      </c>
      <c r="D209" s="49"/>
      <c r="E209" s="49">
        <v>1269766</v>
      </c>
      <c r="F209" s="49">
        <v>20290</v>
      </c>
      <c r="G209" s="49">
        <v>20290</v>
      </c>
      <c r="H209" s="49">
        <v>20290</v>
      </c>
      <c r="I209" s="49"/>
      <c r="J209" s="49">
        <v>11.61</v>
      </c>
      <c r="K209" s="49">
        <v>12.07220248</v>
      </c>
      <c r="L209" s="49">
        <v>12.5550905792</v>
      </c>
      <c r="M209" s="49">
        <v>13.057294202368</v>
      </c>
      <c r="N209" s="49"/>
      <c r="O209" s="49">
        <v>14739.3</v>
      </c>
      <c r="P209" s="49">
        <v>244.9</v>
      </c>
      <c r="Q209" s="49">
        <v>254.7</v>
      </c>
      <c r="R209" s="49">
        <v>264.89999999999998</v>
      </c>
    </row>
    <row r="210" spans="1:18" ht="41.45" hidden="1" x14ac:dyDescent="0.3">
      <c r="A210" s="12">
        <v>15</v>
      </c>
      <c r="B210" s="41" t="s">
        <v>233</v>
      </c>
      <c r="C210" s="12" t="s">
        <v>218</v>
      </c>
      <c r="D210" s="49">
        <v>1372975</v>
      </c>
      <c r="E210" s="49">
        <v>20290</v>
      </c>
      <c r="F210" s="49">
        <v>1650000</v>
      </c>
      <c r="G210" s="49">
        <v>1650000</v>
      </c>
      <c r="H210" s="49">
        <v>1650000</v>
      </c>
      <c r="I210" s="49"/>
      <c r="J210" s="49">
        <v>2.4500000000000002</v>
      </c>
      <c r="K210" s="49">
        <v>2.5471430399999999</v>
      </c>
      <c r="L210" s="49">
        <v>2.6490287615999999</v>
      </c>
      <c r="M210" s="49">
        <v>2.754989912064</v>
      </c>
      <c r="N210" s="49"/>
      <c r="O210" s="49">
        <v>49.7</v>
      </c>
      <c r="P210" s="49">
        <v>4202.8</v>
      </c>
      <c r="Q210" s="49">
        <v>4370.8999999999996</v>
      </c>
      <c r="R210" s="49">
        <v>4545.7</v>
      </c>
    </row>
    <row r="211" spans="1:18" ht="41.45" hidden="1" x14ac:dyDescent="0.3">
      <c r="A211" s="1">
        <v>16</v>
      </c>
      <c r="B211" s="33" t="s">
        <v>234</v>
      </c>
      <c r="C211" s="12" t="s">
        <v>227</v>
      </c>
      <c r="D211" s="49">
        <v>1024</v>
      </c>
      <c r="E211" s="49">
        <v>36.74</v>
      </c>
      <c r="F211" s="49">
        <v>35</v>
      </c>
      <c r="G211" s="49">
        <v>35</v>
      </c>
      <c r="H211" s="49">
        <v>35</v>
      </c>
      <c r="I211" s="49"/>
      <c r="J211" s="49">
        <v>111001.72</v>
      </c>
      <c r="K211" s="49">
        <v>115441.78464</v>
      </c>
      <c r="L211" s="49">
        <v>120059.4560256</v>
      </c>
      <c r="M211" s="49">
        <v>124861.83426662401</v>
      </c>
      <c r="N211" s="49"/>
      <c r="O211" s="49">
        <v>4078.2</v>
      </c>
      <c r="P211" s="49">
        <v>4040.5</v>
      </c>
      <c r="Q211" s="49">
        <v>4202.2</v>
      </c>
      <c r="R211" s="49">
        <v>4370.3</v>
      </c>
    </row>
    <row r="212" spans="1:18" ht="69" hidden="1" x14ac:dyDescent="0.3">
      <c r="A212" s="1">
        <v>17</v>
      </c>
      <c r="B212" s="33" t="s">
        <v>235</v>
      </c>
      <c r="C212" s="16"/>
      <c r="D212" s="49"/>
      <c r="E212" s="49"/>
      <c r="F212" s="49">
        <v>90000</v>
      </c>
      <c r="G212" s="49">
        <v>90000</v>
      </c>
      <c r="H212" s="49">
        <v>90000</v>
      </c>
      <c r="I212" s="49"/>
      <c r="J212" s="49"/>
      <c r="K212" s="49">
        <v>145.66399999999999</v>
      </c>
      <c r="L212" s="49">
        <v>151.49055999999999</v>
      </c>
      <c r="M212" s="49">
        <v>157.55018240000001</v>
      </c>
      <c r="N212" s="49"/>
      <c r="O212" s="49"/>
      <c r="P212" s="49">
        <v>13109.8</v>
      </c>
      <c r="Q212" s="49">
        <v>13634.2</v>
      </c>
      <c r="R212" s="49">
        <v>14179.5</v>
      </c>
    </row>
    <row r="213" spans="1:18" ht="69" hidden="1" x14ac:dyDescent="0.3">
      <c r="A213" s="1">
        <v>18</v>
      </c>
      <c r="B213" s="33" t="s">
        <v>236</v>
      </c>
      <c r="C213" s="16"/>
      <c r="D213" s="49"/>
      <c r="E213" s="49"/>
      <c r="F213" s="49">
        <v>90000</v>
      </c>
      <c r="G213" s="49">
        <v>90000</v>
      </c>
      <c r="H213" s="49">
        <v>90000</v>
      </c>
      <c r="I213" s="49"/>
      <c r="J213" s="49"/>
      <c r="K213" s="49">
        <v>145.66399999999999</v>
      </c>
      <c r="L213" s="49">
        <v>151.49055999999999</v>
      </c>
      <c r="M213" s="49">
        <v>157.55018240000001</v>
      </c>
      <c r="N213" s="49"/>
      <c r="O213" s="49"/>
      <c r="P213" s="49">
        <v>13109.8</v>
      </c>
      <c r="Q213" s="49">
        <v>13634.2</v>
      </c>
      <c r="R213" s="49">
        <v>14179.5</v>
      </c>
    </row>
    <row r="214" spans="1:18" ht="41.45" hidden="1" x14ac:dyDescent="0.3">
      <c r="A214" s="1">
        <v>19</v>
      </c>
      <c r="B214" s="33" t="s">
        <v>237</v>
      </c>
      <c r="C214" s="12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>
        <v>50.5</v>
      </c>
      <c r="P214" s="49">
        <v>50.5</v>
      </c>
      <c r="Q214" s="49">
        <v>50.5</v>
      </c>
      <c r="R214" s="49">
        <v>50.5</v>
      </c>
    </row>
    <row r="215" spans="1:18" ht="14.45" hidden="1" x14ac:dyDescent="0.3">
      <c r="A215" s="9"/>
      <c r="B215" s="10" t="s">
        <v>0</v>
      </c>
      <c r="C215" s="3"/>
      <c r="D215" s="17" t="s">
        <v>8</v>
      </c>
      <c r="E215" s="17" t="s">
        <v>8</v>
      </c>
      <c r="F215" s="17" t="s">
        <v>8</v>
      </c>
      <c r="G215" s="17" t="s">
        <v>8</v>
      </c>
      <c r="H215" s="17" t="s">
        <v>8</v>
      </c>
      <c r="I215" s="17" t="s">
        <v>8</v>
      </c>
      <c r="J215" s="17" t="s">
        <v>8</v>
      </c>
      <c r="K215" s="17" t="s">
        <v>8</v>
      </c>
      <c r="L215" s="17" t="s">
        <v>8</v>
      </c>
      <c r="M215" s="17" t="s">
        <v>8</v>
      </c>
      <c r="N215" s="50">
        <v>38189</v>
      </c>
      <c r="O215" s="50">
        <v>47373.8</v>
      </c>
      <c r="P215" s="50">
        <v>49268.800000000003</v>
      </c>
      <c r="Q215" s="50">
        <v>51237.5</v>
      </c>
      <c r="R215" s="50">
        <v>53285</v>
      </c>
    </row>
    <row r="216" spans="1:18" ht="14.45" hidden="1" x14ac:dyDescent="0.3">
      <c r="A216" s="140" t="s">
        <v>238</v>
      </c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</row>
    <row r="217" spans="1:18" ht="69" hidden="1" x14ac:dyDescent="0.3">
      <c r="A217" s="40"/>
      <c r="B217" s="33" t="s">
        <v>239</v>
      </c>
      <c r="C217" s="3"/>
      <c r="D217" s="49"/>
      <c r="E217" s="49"/>
      <c r="F217" s="49"/>
      <c r="G217" s="49"/>
      <c r="H217" s="49"/>
      <c r="I217" s="49" t="s">
        <v>58</v>
      </c>
      <c r="J217" s="49" t="s">
        <v>58</v>
      </c>
      <c r="K217" s="49" t="s">
        <v>58</v>
      </c>
      <c r="L217" s="49" t="s">
        <v>58</v>
      </c>
      <c r="M217" s="49" t="s">
        <v>58</v>
      </c>
      <c r="N217" s="49">
        <v>27047.4</v>
      </c>
      <c r="O217" s="49">
        <v>40554.9</v>
      </c>
      <c r="P217" s="49">
        <v>46303</v>
      </c>
      <c r="Q217" s="49">
        <v>48198.8</v>
      </c>
      <c r="R217" s="49">
        <v>50169</v>
      </c>
    </row>
    <row r="218" spans="1:18" ht="14.45" hidden="1" x14ac:dyDescent="0.3">
      <c r="A218" s="1">
        <v>1</v>
      </c>
      <c r="B218" s="39" t="s">
        <v>240</v>
      </c>
      <c r="C218" s="1" t="s">
        <v>57</v>
      </c>
      <c r="D218" s="49">
        <v>41109</v>
      </c>
      <c r="E218" s="49">
        <v>30000</v>
      </c>
      <c r="F218" s="49">
        <v>30000</v>
      </c>
      <c r="G218" s="49">
        <v>30000</v>
      </c>
      <c r="H218" s="49">
        <v>30000</v>
      </c>
      <c r="I218" s="49"/>
      <c r="J218" s="49"/>
      <c r="K218" s="49"/>
      <c r="L218" s="49"/>
      <c r="M218" s="49"/>
      <c r="N218" s="49"/>
      <c r="O218" s="49"/>
      <c r="P218" s="49"/>
      <c r="Q218" s="49"/>
      <c r="R218" s="49"/>
    </row>
    <row r="219" spans="1:18" ht="14.45" hidden="1" x14ac:dyDescent="0.3">
      <c r="A219" s="1">
        <v>2</v>
      </c>
      <c r="B219" s="39" t="s">
        <v>241</v>
      </c>
      <c r="C219" s="1" t="s">
        <v>57</v>
      </c>
      <c r="D219" s="49">
        <v>8</v>
      </c>
      <c r="E219" s="49">
        <v>8</v>
      </c>
      <c r="F219" s="49">
        <v>8</v>
      </c>
      <c r="G219" s="49">
        <v>8</v>
      </c>
      <c r="H219" s="49">
        <v>8</v>
      </c>
      <c r="I219" s="49"/>
      <c r="J219" s="49"/>
      <c r="K219" s="49"/>
      <c r="L219" s="49"/>
      <c r="M219" s="49"/>
      <c r="N219" s="49"/>
      <c r="O219" s="49"/>
      <c r="P219" s="49"/>
      <c r="Q219" s="49"/>
      <c r="R219" s="49"/>
    </row>
    <row r="220" spans="1:18" s="2" customFormat="1" ht="13.9" hidden="1" x14ac:dyDescent="0.25">
      <c r="A220" s="1">
        <v>3</v>
      </c>
      <c r="B220" s="39" t="s">
        <v>242</v>
      </c>
      <c r="C220" s="1" t="s">
        <v>57</v>
      </c>
      <c r="D220" s="49">
        <v>5</v>
      </c>
      <c r="E220" s="49">
        <v>5</v>
      </c>
      <c r="F220" s="49">
        <v>5</v>
      </c>
      <c r="G220" s="49">
        <v>5</v>
      </c>
      <c r="H220" s="49">
        <v>5</v>
      </c>
      <c r="I220" s="49"/>
      <c r="J220" s="49"/>
      <c r="K220" s="49"/>
      <c r="L220" s="49"/>
      <c r="M220" s="49"/>
      <c r="N220" s="49"/>
      <c r="O220" s="49"/>
      <c r="P220" s="49"/>
      <c r="Q220" s="49"/>
      <c r="R220" s="49"/>
    </row>
    <row r="221" spans="1:18" ht="14.45" hidden="1" x14ac:dyDescent="0.3">
      <c r="A221" s="9"/>
      <c r="B221" s="10" t="s">
        <v>0</v>
      </c>
      <c r="C221" s="3"/>
      <c r="D221" s="18" t="s">
        <v>8</v>
      </c>
      <c r="E221" s="18" t="s">
        <v>8</v>
      </c>
      <c r="F221" s="18" t="s">
        <v>8</v>
      </c>
      <c r="G221" s="18" t="s">
        <v>8</v>
      </c>
      <c r="H221" s="18" t="s">
        <v>8</v>
      </c>
      <c r="I221" s="18" t="s">
        <v>8</v>
      </c>
      <c r="J221" s="18" t="s">
        <v>8</v>
      </c>
      <c r="K221" s="18" t="s">
        <v>8</v>
      </c>
      <c r="L221" s="18" t="s">
        <v>8</v>
      </c>
      <c r="M221" s="18" t="s">
        <v>8</v>
      </c>
      <c r="N221" s="50">
        <v>27047.4</v>
      </c>
      <c r="O221" s="50">
        <v>40554.9</v>
      </c>
      <c r="P221" s="50">
        <v>46303</v>
      </c>
      <c r="Q221" s="50">
        <v>48198.8</v>
      </c>
      <c r="R221" s="50">
        <v>50169</v>
      </c>
    </row>
    <row r="222" spans="1:18" ht="14.45" hidden="1" x14ac:dyDescent="0.3">
      <c r="A222" s="140" t="s">
        <v>268</v>
      </c>
      <c r="B222" s="148"/>
      <c r="C222" s="148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9"/>
    </row>
    <row r="223" spans="1:18" ht="41.45" hidden="1" x14ac:dyDescent="0.3">
      <c r="A223" s="1">
        <v>1</v>
      </c>
      <c r="B223" s="34" t="s">
        <v>185</v>
      </c>
      <c r="C223" s="1" t="s">
        <v>14</v>
      </c>
      <c r="D223" s="49">
        <v>1311</v>
      </c>
      <c r="E223" s="49">
        <v>1357</v>
      </c>
      <c r="F223" s="49">
        <v>1244</v>
      </c>
      <c r="G223" s="49">
        <v>1244</v>
      </c>
      <c r="H223" s="49">
        <v>1244</v>
      </c>
      <c r="I223" s="49">
        <v>16394.689999999999</v>
      </c>
      <c r="J223" s="49">
        <v>17252.669999999998</v>
      </c>
      <c r="K223" s="49">
        <v>18459.34</v>
      </c>
      <c r="L223" s="49">
        <v>18459.34</v>
      </c>
      <c r="M223" s="49">
        <v>18459.34</v>
      </c>
      <c r="N223" s="49">
        <v>21436.487000000001</v>
      </c>
      <c r="O223" s="49">
        <f>23412.3+56</f>
        <v>23468.3</v>
      </c>
      <c r="P223" s="49">
        <v>22960.83</v>
      </c>
      <c r="Q223" s="49">
        <v>22960.83</v>
      </c>
      <c r="R223" s="49">
        <v>22960.83</v>
      </c>
    </row>
    <row r="224" spans="1:18" ht="41.45" hidden="1" x14ac:dyDescent="0.3">
      <c r="A224" s="1">
        <v>2</v>
      </c>
      <c r="B224" s="35" t="s">
        <v>186</v>
      </c>
      <c r="C224" s="1" t="s">
        <v>14</v>
      </c>
      <c r="D224" s="49">
        <v>190</v>
      </c>
      <c r="E224" s="49">
        <v>190</v>
      </c>
      <c r="F224" s="49">
        <v>214</v>
      </c>
      <c r="G224" s="49">
        <v>214</v>
      </c>
      <c r="H224" s="49">
        <v>214</v>
      </c>
      <c r="I224" s="49">
        <v>3696.04</v>
      </c>
      <c r="J224" s="49">
        <v>3696.04</v>
      </c>
      <c r="K224" s="49">
        <v>3281.66</v>
      </c>
      <c r="L224" s="49">
        <v>3281.66</v>
      </c>
      <c r="M224" s="49">
        <v>3281.66</v>
      </c>
      <c r="N224" s="49">
        <v>703.18</v>
      </c>
      <c r="O224" s="49">
        <v>703.18</v>
      </c>
      <c r="P224" s="49">
        <v>703.32</v>
      </c>
      <c r="Q224" s="49">
        <v>703.32</v>
      </c>
      <c r="R224" s="49">
        <v>703.32</v>
      </c>
    </row>
    <row r="225" spans="1:18" ht="55.15" hidden="1" x14ac:dyDescent="0.3">
      <c r="A225" s="1">
        <v>3</v>
      </c>
      <c r="B225" s="35" t="s">
        <v>187</v>
      </c>
      <c r="C225" s="1" t="s">
        <v>14</v>
      </c>
      <c r="D225" s="49" t="s">
        <v>58</v>
      </c>
      <c r="E225" s="49">
        <v>488</v>
      </c>
      <c r="F225" s="49">
        <v>413</v>
      </c>
      <c r="G225" s="49">
        <v>413</v>
      </c>
      <c r="H225" s="49">
        <v>413</v>
      </c>
      <c r="I225" s="49" t="s">
        <v>58</v>
      </c>
      <c r="J225" s="49">
        <v>41278.71</v>
      </c>
      <c r="K225" s="49">
        <v>43325.65</v>
      </c>
      <c r="L225" s="49">
        <v>43325.65</v>
      </c>
      <c r="M225" s="49">
        <v>43325.65</v>
      </c>
      <c r="N225" s="49" t="s">
        <v>58</v>
      </c>
      <c r="O225" s="49">
        <v>20154.07</v>
      </c>
      <c r="P225" s="49">
        <v>17890.52</v>
      </c>
      <c r="Q225" s="49">
        <v>17890.52</v>
      </c>
      <c r="R225" s="49">
        <v>17890.52</v>
      </c>
    </row>
    <row r="226" spans="1:18" ht="27.6" hidden="1" x14ac:dyDescent="0.3">
      <c r="A226" s="1">
        <v>4</v>
      </c>
      <c r="B226" s="35" t="s">
        <v>188</v>
      </c>
      <c r="C226" s="1" t="s">
        <v>189</v>
      </c>
      <c r="D226" s="49">
        <v>46289</v>
      </c>
      <c r="E226" s="49">
        <v>85240</v>
      </c>
      <c r="F226" s="49">
        <v>82707</v>
      </c>
      <c r="G226" s="49">
        <v>82707</v>
      </c>
      <c r="H226" s="49">
        <v>82707</v>
      </c>
      <c r="I226" s="49">
        <v>64.680000000000007</v>
      </c>
      <c r="J226" s="49">
        <v>68.069999999999993</v>
      </c>
      <c r="K226" s="49">
        <v>73.84</v>
      </c>
      <c r="L226" s="49">
        <v>73.84</v>
      </c>
      <c r="M226" s="49">
        <v>73.84</v>
      </c>
      <c r="N226" s="49">
        <v>1656.4</v>
      </c>
      <c r="O226" s="49">
        <v>5807.69</v>
      </c>
      <c r="P226" s="49">
        <v>6107.13</v>
      </c>
      <c r="Q226" s="49">
        <v>6107.13</v>
      </c>
      <c r="R226" s="49">
        <v>6107.13</v>
      </c>
    </row>
    <row r="227" spans="1:18" ht="110.45" hidden="1" x14ac:dyDescent="0.3">
      <c r="A227" s="1">
        <v>5</v>
      </c>
      <c r="B227" s="35" t="s">
        <v>190</v>
      </c>
      <c r="C227" s="1" t="s">
        <v>14</v>
      </c>
      <c r="D227" s="49">
        <v>14510</v>
      </c>
      <c r="E227" s="49">
        <v>13530</v>
      </c>
      <c r="F227" s="49">
        <v>13784</v>
      </c>
      <c r="G227" s="49">
        <v>13784</v>
      </c>
      <c r="H227" s="49">
        <v>13784</v>
      </c>
      <c r="I227" s="49">
        <v>1080</v>
      </c>
      <c r="J227" s="49">
        <v>1080</v>
      </c>
      <c r="K227" s="49">
        <v>1085.6099999999999</v>
      </c>
      <c r="L227" s="49">
        <v>1085.6099999999999</v>
      </c>
      <c r="M227" s="49">
        <v>1085.6099999999999</v>
      </c>
      <c r="N227" s="49">
        <v>15670</v>
      </c>
      <c r="O227" s="49">
        <v>14612.4</v>
      </c>
      <c r="P227" s="49">
        <v>14963.64</v>
      </c>
      <c r="Q227" s="49">
        <v>14963.64</v>
      </c>
      <c r="R227" s="49">
        <v>14963.64</v>
      </c>
    </row>
    <row r="228" spans="1:18" ht="96.6" hidden="1" x14ac:dyDescent="0.3">
      <c r="A228" s="1">
        <v>6</v>
      </c>
      <c r="B228" s="35" t="s">
        <v>191</v>
      </c>
      <c r="C228" s="1" t="s">
        <v>14</v>
      </c>
      <c r="D228" s="49">
        <v>670</v>
      </c>
      <c r="E228" s="49">
        <v>420</v>
      </c>
      <c r="F228" s="49">
        <v>685</v>
      </c>
      <c r="G228" s="49">
        <v>685</v>
      </c>
      <c r="H228" s="49">
        <v>685</v>
      </c>
      <c r="I228" s="49">
        <v>17333.330000000002</v>
      </c>
      <c r="J228" s="49">
        <v>17333.330000000002</v>
      </c>
      <c r="K228" s="49">
        <v>18459.34</v>
      </c>
      <c r="L228" s="49">
        <v>18459.34</v>
      </c>
      <c r="M228" s="49">
        <v>18459.34</v>
      </c>
      <c r="N228" s="49">
        <v>11613.331</v>
      </c>
      <c r="O228" s="49">
        <v>7293.6440000000002</v>
      </c>
      <c r="P228" s="49">
        <v>12641.31</v>
      </c>
      <c r="Q228" s="49">
        <v>12641.31</v>
      </c>
      <c r="R228" s="49">
        <v>12641.31</v>
      </c>
    </row>
    <row r="229" spans="1:18" ht="14.45" hidden="1" x14ac:dyDescent="0.3">
      <c r="A229" s="1">
        <v>7</v>
      </c>
      <c r="B229" s="35" t="s">
        <v>192</v>
      </c>
      <c r="C229" s="1" t="s">
        <v>14</v>
      </c>
      <c r="D229" s="49">
        <v>260</v>
      </c>
      <c r="E229" s="49">
        <v>180</v>
      </c>
      <c r="F229" s="49">
        <v>195</v>
      </c>
      <c r="G229" s="49">
        <v>195</v>
      </c>
      <c r="H229" s="49">
        <v>195</v>
      </c>
      <c r="I229" s="49">
        <v>5000</v>
      </c>
      <c r="J229" s="49">
        <v>5000</v>
      </c>
      <c r="K229" s="49">
        <v>5260.47</v>
      </c>
      <c r="L229" s="49">
        <v>5260.47</v>
      </c>
      <c r="M229" s="49">
        <v>5260.47</v>
      </c>
      <c r="N229" s="49">
        <v>1300</v>
      </c>
      <c r="O229" s="49">
        <v>900</v>
      </c>
      <c r="P229" s="49">
        <v>1026.44</v>
      </c>
      <c r="Q229" s="49">
        <v>1026.44</v>
      </c>
      <c r="R229" s="49">
        <v>1026.44</v>
      </c>
    </row>
    <row r="230" spans="1:18" ht="14.45" hidden="1" x14ac:dyDescent="0.3">
      <c r="A230" s="1">
        <v>8</v>
      </c>
      <c r="B230" s="36" t="s">
        <v>249</v>
      </c>
      <c r="C230" s="1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</row>
    <row r="231" spans="1:18" ht="55.15" hidden="1" x14ac:dyDescent="0.3">
      <c r="A231" s="24" t="s">
        <v>243</v>
      </c>
      <c r="B231" s="35" t="s">
        <v>193</v>
      </c>
      <c r="C231" s="1" t="s">
        <v>57</v>
      </c>
      <c r="D231" s="49">
        <v>24</v>
      </c>
      <c r="E231" s="49">
        <v>24</v>
      </c>
      <c r="F231" s="49">
        <v>24</v>
      </c>
      <c r="G231" s="49">
        <v>24</v>
      </c>
      <c r="H231" s="49">
        <v>24</v>
      </c>
      <c r="I231" s="49"/>
      <c r="J231" s="49"/>
      <c r="K231" s="49"/>
      <c r="L231" s="49"/>
      <c r="M231" s="49"/>
      <c r="N231" s="49">
        <v>1090.1400000000001</v>
      </c>
      <c r="O231" s="49">
        <v>1090</v>
      </c>
      <c r="P231" s="49">
        <v>1090</v>
      </c>
      <c r="Q231" s="49">
        <v>1090</v>
      </c>
      <c r="R231" s="49">
        <v>1090</v>
      </c>
    </row>
    <row r="232" spans="1:18" ht="27.6" hidden="1" x14ac:dyDescent="0.3">
      <c r="A232" s="13" t="s">
        <v>244</v>
      </c>
      <c r="B232" s="35" t="s">
        <v>194</v>
      </c>
      <c r="C232" s="1" t="s">
        <v>57</v>
      </c>
      <c r="D232" s="49">
        <v>1</v>
      </c>
      <c r="E232" s="49">
        <v>1</v>
      </c>
      <c r="F232" s="49">
        <v>1</v>
      </c>
      <c r="G232" s="49">
        <v>1</v>
      </c>
      <c r="H232" s="49">
        <v>1</v>
      </c>
      <c r="I232" s="49"/>
      <c r="J232" s="49"/>
      <c r="K232" s="49"/>
      <c r="L232" s="49"/>
      <c r="M232" s="49"/>
      <c r="N232" s="49">
        <v>800</v>
      </c>
      <c r="O232" s="49">
        <f>800+155.8</f>
        <v>955.8</v>
      </c>
      <c r="P232" s="49">
        <v>800</v>
      </c>
      <c r="Q232" s="49">
        <v>800</v>
      </c>
      <c r="R232" s="49">
        <v>800</v>
      </c>
    </row>
    <row r="233" spans="1:18" ht="82.9" hidden="1" x14ac:dyDescent="0.3">
      <c r="A233" s="13" t="s">
        <v>245</v>
      </c>
      <c r="B233" s="37" t="s">
        <v>195</v>
      </c>
      <c r="C233" s="1" t="s">
        <v>57</v>
      </c>
      <c r="D233" s="49">
        <v>18</v>
      </c>
      <c r="E233" s="49">
        <v>18</v>
      </c>
      <c r="F233" s="49">
        <v>18</v>
      </c>
      <c r="G233" s="49">
        <v>18</v>
      </c>
      <c r="H233" s="49">
        <v>18</v>
      </c>
      <c r="I233" s="49"/>
      <c r="J233" s="49"/>
      <c r="K233" s="49"/>
      <c r="L233" s="49"/>
      <c r="M233" s="49"/>
      <c r="N233" s="49">
        <v>1000</v>
      </c>
      <c r="O233" s="49">
        <v>1000</v>
      </c>
      <c r="P233" s="49">
        <v>1000</v>
      </c>
      <c r="Q233" s="49">
        <v>1000</v>
      </c>
      <c r="R233" s="49">
        <v>1000</v>
      </c>
    </row>
    <row r="234" spans="1:18" ht="55.15" hidden="1" x14ac:dyDescent="0.3">
      <c r="A234" s="13" t="s">
        <v>246</v>
      </c>
      <c r="B234" s="35" t="s">
        <v>196</v>
      </c>
      <c r="C234" s="1" t="s">
        <v>57</v>
      </c>
      <c r="D234" s="49">
        <v>1</v>
      </c>
      <c r="E234" s="49">
        <v>1</v>
      </c>
      <c r="F234" s="49">
        <v>1</v>
      </c>
      <c r="G234" s="49">
        <v>1</v>
      </c>
      <c r="H234" s="49">
        <v>1</v>
      </c>
      <c r="I234" s="49"/>
      <c r="J234" s="49"/>
      <c r="K234" s="49"/>
      <c r="L234" s="49"/>
      <c r="M234" s="49"/>
      <c r="N234" s="49">
        <v>100</v>
      </c>
      <c r="O234" s="49">
        <v>200</v>
      </c>
      <c r="P234" s="49">
        <v>200</v>
      </c>
      <c r="Q234" s="49">
        <v>200</v>
      </c>
      <c r="R234" s="49">
        <v>200</v>
      </c>
    </row>
    <row r="235" spans="1:18" ht="41.45" hidden="1" x14ac:dyDescent="0.3">
      <c r="A235" s="13" t="s">
        <v>247</v>
      </c>
      <c r="B235" s="35" t="s">
        <v>197</v>
      </c>
      <c r="C235" s="1" t="s">
        <v>57</v>
      </c>
      <c r="D235" s="49">
        <v>1</v>
      </c>
      <c r="E235" s="49">
        <v>1</v>
      </c>
      <c r="F235" s="49">
        <v>1</v>
      </c>
      <c r="G235" s="49">
        <v>1</v>
      </c>
      <c r="H235" s="49">
        <v>1</v>
      </c>
      <c r="I235" s="49"/>
      <c r="J235" s="49"/>
      <c r="K235" s="49"/>
      <c r="L235" s="49"/>
      <c r="M235" s="49"/>
      <c r="N235" s="49">
        <v>200</v>
      </c>
      <c r="O235" s="49">
        <v>200</v>
      </c>
      <c r="P235" s="49">
        <v>200</v>
      </c>
      <c r="Q235" s="49">
        <v>200</v>
      </c>
      <c r="R235" s="49">
        <v>200</v>
      </c>
    </row>
    <row r="236" spans="1:18" ht="27.6" hidden="1" x14ac:dyDescent="0.3">
      <c r="A236" s="13" t="s">
        <v>248</v>
      </c>
      <c r="B236" s="38" t="s">
        <v>198</v>
      </c>
      <c r="C236" s="1" t="s">
        <v>57</v>
      </c>
      <c r="D236" s="49">
        <v>1</v>
      </c>
      <c r="E236" s="49">
        <v>1</v>
      </c>
      <c r="F236" s="49">
        <v>1</v>
      </c>
      <c r="G236" s="49">
        <v>1</v>
      </c>
      <c r="H236" s="49">
        <v>1</v>
      </c>
      <c r="I236" s="49"/>
      <c r="J236" s="49"/>
      <c r="K236" s="49"/>
      <c r="L236" s="49"/>
      <c r="M236" s="49"/>
      <c r="N236" s="49">
        <v>200</v>
      </c>
      <c r="O236" s="49">
        <v>200</v>
      </c>
      <c r="P236" s="49">
        <v>200</v>
      </c>
      <c r="Q236" s="49">
        <v>200</v>
      </c>
      <c r="R236" s="49">
        <v>200</v>
      </c>
    </row>
    <row r="237" spans="1:18" ht="41.45" hidden="1" x14ac:dyDescent="0.3">
      <c r="A237" s="1">
        <v>9</v>
      </c>
      <c r="B237" s="35" t="s">
        <v>199</v>
      </c>
      <c r="C237" s="1" t="s">
        <v>200</v>
      </c>
      <c r="D237" s="49">
        <v>82</v>
      </c>
      <c r="E237" s="49">
        <v>1122</v>
      </c>
      <c r="F237" s="49">
        <v>2604</v>
      </c>
      <c r="G237" s="49">
        <v>2601</v>
      </c>
      <c r="H237" s="49">
        <v>2597</v>
      </c>
      <c r="I237" s="49"/>
      <c r="J237" s="49"/>
      <c r="K237" s="49"/>
      <c r="L237" s="49"/>
      <c r="M237" s="49"/>
      <c r="N237" s="49">
        <v>45.1</v>
      </c>
      <c r="O237" s="49">
        <f>1260+190</f>
        <v>1450</v>
      </c>
      <c r="P237" s="49">
        <f>3906+197</f>
        <v>4103</v>
      </c>
      <c r="Q237" s="49">
        <f>3901+202</f>
        <v>4103</v>
      </c>
      <c r="R237" s="49">
        <f>3896+207</f>
        <v>4103</v>
      </c>
    </row>
    <row r="238" spans="1:18" ht="41.45" hidden="1" x14ac:dyDescent="0.3">
      <c r="A238" s="1">
        <v>10</v>
      </c>
      <c r="B238" s="35" t="s">
        <v>201</v>
      </c>
      <c r="C238" s="1" t="s">
        <v>202</v>
      </c>
      <c r="D238" s="49">
        <v>17</v>
      </c>
      <c r="E238" s="49">
        <v>20</v>
      </c>
      <c r="F238" s="49">
        <v>270</v>
      </c>
      <c r="G238" s="49">
        <v>270</v>
      </c>
      <c r="H238" s="49">
        <v>270</v>
      </c>
      <c r="I238" s="49"/>
      <c r="J238" s="49"/>
      <c r="K238" s="49"/>
      <c r="L238" s="49"/>
      <c r="M238" s="49"/>
      <c r="N238" s="49">
        <v>54.4</v>
      </c>
      <c r="O238" s="49">
        <v>70</v>
      </c>
      <c r="P238" s="49">
        <v>945</v>
      </c>
      <c r="Q238" s="49">
        <v>945</v>
      </c>
      <c r="R238" s="49">
        <v>945</v>
      </c>
    </row>
    <row r="239" spans="1:18" s="2" customFormat="1" ht="13.9" hidden="1" x14ac:dyDescent="0.25">
      <c r="A239" s="9"/>
      <c r="B239" s="10" t="s">
        <v>0</v>
      </c>
      <c r="C239" s="3"/>
      <c r="D239" s="11" t="s">
        <v>8</v>
      </c>
      <c r="E239" s="11" t="s">
        <v>8</v>
      </c>
      <c r="F239" s="11" t="s">
        <v>8</v>
      </c>
      <c r="G239" s="11" t="s">
        <v>8</v>
      </c>
      <c r="H239" s="11" t="s">
        <v>8</v>
      </c>
      <c r="I239" s="11" t="s">
        <v>8</v>
      </c>
      <c r="J239" s="11" t="s">
        <v>8</v>
      </c>
      <c r="K239" s="11" t="s">
        <v>8</v>
      </c>
      <c r="L239" s="11" t="s">
        <v>8</v>
      </c>
      <c r="M239" s="11" t="s">
        <v>8</v>
      </c>
      <c r="N239" s="50">
        <f>SUM(N223:N238)</f>
        <v>55869.038</v>
      </c>
      <c r="O239" s="50">
        <f>SUM(O223:O238)</f>
        <v>78105.084000000017</v>
      </c>
      <c r="P239" s="50">
        <f>SUM(P223:P238)</f>
        <v>84831.19</v>
      </c>
      <c r="Q239" s="50">
        <f>SUM(Q223:Q238)</f>
        <v>84831.19</v>
      </c>
      <c r="R239" s="50">
        <f>SUM(R223:R238)</f>
        <v>84831.19</v>
      </c>
    </row>
    <row r="240" spans="1:18" s="2" customFormat="1" ht="15" customHeight="1" x14ac:dyDescent="0.25">
      <c r="A240" s="140" t="s">
        <v>250</v>
      </c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</row>
    <row r="241" spans="1:18" s="2" customFormat="1" ht="60" x14ac:dyDescent="0.25">
      <c r="A241" s="1">
        <v>1</v>
      </c>
      <c r="B241" s="32" t="s">
        <v>251</v>
      </c>
      <c r="C241" s="3" t="s">
        <v>14</v>
      </c>
      <c r="D241" s="49">
        <v>3804</v>
      </c>
      <c r="E241" s="49">
        <v>3735</v>
      </c>
      <c r="F241" s="49">
        <v>3725</v>
      </c>
      <c r="G241" s="49">
        <v>3745</v>
      </c>
      <c r="H241" s="49">
        <v>3745</v>
      </c>
      <c r="I241" s="49">
        <v>477251.91</v>
      </c>
      <c r="J241" s="49">
        <v>496341.99</v>
      </c>
      <c r="K241" s="49"/>
      <c r="L241" s="49"/>
      <c r="M241" s="49"/>
      <c r="N241" s="49">
        <v>1670437.08</v>
      </c>
      <c r="O241" s="49">
        <v>1747725.58</v>
      </c>
      <c r="P241" s="49">
        <v>1796815.69</v>
      </c>
      <c r="Q241" s="49">
        <v>1856367.49</v>
      </c>
      <c r="R241" s="49">
        <v>1909640.79</v>
      </c>
    </row>
    <row r="242" spans="1:18" s="2" customFormat="1" ht="105" x14ac:dyDescent="0.25">
      <c r="A242" s="1">
        <v>2</v>
      </c>
      <c r="B242" s="32" t="s">
        <v>252</v>
      </c>
      <c r="C242" s="1" t="s">
        <v>14</v>
      </c>
      <c r="D242" s="49">
        <v>11606</v>
      </c>
      <c r="E242" s="49">
        <v>9824</v>
      </c>
      <c r="F242" s="49">
        <v>9939</v>
      </c>
      <c r="G242" s="49">
        <v>9956</v>
      </c>
      <c r="H242" s="49">
        <v>9976</v>
      </c>
      <c r="I242" s="49">
        <v>778606.57</v>
      </c>
      <c r="J242" s="49">
        <v>814861.63</v>
      </c>
      <c r="K242" s="49"/>
      <c r="L242" s="49"/>
      <c r="M242" s="49"/>
      <c r="N242" s="49">
        <v>675699.31</v>
      </c>
      <c r="O242" s="49">
        <v>1279004.54</v>
      </c>
      <c r="P242" s="49">
        <v>1430170.75</v>
      </c>
      <c r="Q242" s="49">
        <v>1543026.67</v>
      </c>
      <c r="R242" s="49">
        <v>1624176.19</v>
      </c>
    </row>
    <row r="243" spans="1:18" s="2" customFormat="1" ht="15" customHeight="1" x14ac:dyDescent="0.25">
      <c r="A243" s="31"/>
      <c r="B243" s="31" t="s">
        <v>0</v>
      </c>
      <c r="C243" s="29" t="s">
        <v>8</v>
      </c>
      <c r="D243" s="29" t="s">
        <v>8</v>
      </c>
      <c r="E243" s="29" t="s">
        <v>8</v>
      </c>
      <c r="F243" s="29" t="s">
        <v>8</v>
      </c>
      <c r="G243" s="29" t="s">
        <v>8</v>
      </c>
      <c r="H243" s="29" t="s">
        <v>8</v>
      </c>
      <c r="I243" s="29" t="s">
        <v>8</v>
      </c>
      <c r="J243" s="29" t="s">
        <v>8</v>
      </c>
      <c r="K243" s="29" t="s">
        <v>8</v>
      </c>
      <c r="L243" s="29" t="s">
        <v>8</v>
      </c>
      <c r="M243" s="29" t="s">
        <v>8</v>
      </c>
      <c r="N243" s="50">
        <f>SUM(N241:N242)</f>
        <v>2346136.39</v>
      </c>
      <c r="O243" s="50">
        <f>SUM(O241:O242)</f>
        <v>3026730.12</v>
      </c>
      <c r="P243" s="50">
        <f>SUM(P241:P242)</f>
        <v>3226986.44</v>
      </c>
      <c r="Q243" s="50">
        <f>SUM(Q241:Q242)</f>
        <v>3399394.16</v>
      </c>
      <c r="R243" s="50">
        <f>SUM(R241:R242)</f>
        <v>3533816.98</v>
      </c>
    </row>
  </sheetData>
  <customSheetViews>
    <customSheetView guid="{15008CFB-90AE-4019-A345-B8744D25D0C3}" scale="90" showPageBreaks="1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1"/>
    </customSheetView>
    <customSheetView guid="{94FAEE46-67CD-4645-8F65-1FE6863655B3}" scale="90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2"/>
    </customSheetView>
    <customSheetView guid="{69868B4C-820B-4999-9363-14A229151CE0}" scale="90" showPageBreaks="1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3"/>
    </customSheetView>
    <customSheetView guid="{5B955171-6155-4477-93FE-98906395A697}" scale="90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4"/>
    </customSheetView>
    <customSheetView guid="{AC3D1D09-98ED-4CFD-8F29-C435F099150F}" scale="90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5"/>
    </customSheetView>
    <customSheetView guid="{765F1DBD-C068-444A-8B13-2916A4A9BA3F}" scale="90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6"/>
    </customSheetView>
    <customSheetView guid="{1237AFA1-68A6-41BB-9F1F-2BB33CF3BCCE}" scale="90" showPageBreaks="1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7"/>
    </customSheetView>
    <customSheetView guid="{4873CEAB-4E26-4DB7-8CA3-1027F54FA069}" scale="90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8"/>
    </customSheetView>
    <customSheetView guid="{E442A37A-C329-497A-93AF-778FC95E568D}" scale="90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9"/>
    </customSheetView>
    <customSheetView guid="{364080A9-4C50-4D56-AFFE-3F56BEE01D21}" scale="90" showPageBreaks="1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10"/>
    </customSheetView>
    <customSheetView guid="{E4E24A0D-4CE4-4533-9643-8904DCA0EAAD}" scale="90" showPageBreaks="1" fitToPage="1" hiddenRows="1" hiddenColumns="1" state="hidden">
      <pane ySplit="238" topLeftCell="A240" activePane="bottomLeft" state="frozen"/>
      <selection pane="bottomLeft" activeCell="N243" sqref="N243:R243"/>
      <pageMargins left="0.39370078740157483" right="0.39370078740157483" top="0.39370078740157483" bottom="0.39370078740157483" header="0" footer="0"/>
      <printOptions horizontalCentered="1"/>
      <pageSetup paperSize="9" scale="63" fitToHeight="0" orientation="landscape" r:id="rId11"/>
    </customSheetView>
  </customSheetViews>
  <mergeCells count="23">
    <mergeCell ref="A106:R106"/>
    <mergeCell ref="N2:R2"/>
    <mergeCell ref="A5:R5"/>
    <mergeCell ref="A49:R49"/>
    <mergeCell ref="A55:R55"/>
    <mergeCell ref="B44:B45"/>
    <mergeCell ref="A44:A45"/>
    <mergeCell ref="A240:R240"/>
    <mergeCell ref="A1:R1"/>
    <mergeCell ref="A2:A3"/>
    <mergeCell ref="B2:B3"/>
    <mergeCell ref="C2:C3"/>
    <mergeCell ref="I2:M2"/>
    <mergeCell ref="A89:R89"/>
    <mergeCell ref="A216:R216"/>
    <mergeCell ref="A123:R123"/>
    <mergeCell ref="A126:R126"/>
    <mergeCell ref="A173:R173"/>
    <mergeCell ref="A180:R180"/>
    <mergeCell ref="A222:R222"/>
    <mergeCell ref="A195:R195"/>
    <mergeCell ref="A118:R118"/>
    <mergeCell ref="D2:H2"/>
  </mergeCells>
  <printOptions horizontalCentered="1"/>
  <pageMargins left="0.39370078740157483" right="0.39370078740157483" top="0.39370078740157483" bottom="0.39370078740157483" header="0" footer="0"/>
  <pageSetup paperSize="9" scale="63" fitToHeight="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70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8" sqref="B8"/>
    </sheetView>
  </sheetViews>
  <sheetFormatPr defaultColWidth="9.140625" defaultRowHeight="15" outlineLevelRow="2" x14ac:dyDescent="0.25"/>
  <cols>
    <col min="1" max="1" width="7.7109375" style="136" customWidth="1"/>
    <col min="2" max="2" width="51.140625" style="53" customWidth="1"/>
    <col min="3" max="3" width="19" style="136" bestFit="1" customWidth="1"/>
    <col min="4" max="4" width="17" style="126" customWidth="1"/>
    <col min="5" max="5" width="19.28515625" style="126" customWidth="1"/>
    <col min="6" max="6" width="22.5703125" style="126" bestFit="1" customWidth="1"/>
    <col min="7" max="8" width="20.5703125" style="126" customWidth="1"/>
    <col min="9" max="9" width="22.5703125" style="126" bestFit="1" customWidth="1"/>
    <col min="10" max="10" width="14" style="126" customWidth="1"/>
    <col min="11" max="11" width="12.28515625" style="126" customWidth="1"/>
    <col min="12" max="12" width="12.7109375" style="126" customWidth="1"/>
    <col min="13" max="16384" width="9.140625" style="126"/>
  </cols>
  <sheetData>
    <row r="1" spans="1:9" x14ac:dyDescent="0.25">
      <c r="I1" s="139" t="s">
        <v>652</v>
      </c>
    </row>
    <row r="2" spans="1:9" s="2" customFormat="1" ht="72.599999999999994" customHeight="1" x14ac:dyDescent="0.25">
      <c r="A2" s="188" t="s">
        <v>653</v>
      </c>
      <c r="B2" s="188"/>
      <c r="C2" s="188"/>
      <c r="D2" s="188"/>
      <c r="E2" s="188"/>
      <c r="F2" s="188"/>
      <c r="G2" s="188"/>
      <c r="H2" s="188"/>
      <c r="I2" s="188"/>
    </row>
    <row r="3" spans="1:9" s="2" customFormat="1" ht="15" customHeight="1" x14ac:dyDescent="0.25">
      <c r="A3" s="124"/>
      <c r="B3" s="125"/>
      <c r="C3" s="124"/>
      <c r="D3" s="124"/>
      <c r="E3" s="124"/>
      <c r="F3" s="124"/>
      <c r="G3" s="124"/>
      <c r="H3" s="124"/>
      <c r="I3" s="124"/>
    </row>
    <row r="4" spans="1:9" s="55" customFormat="1" ht="45.75" customHeight="1" x14ac:dyDescent="0.2">
      <c r="A4" s="172" t="s">
        <v>1</v>
      </c>
      <c r="B4" s="173" t="s">
        <v>2</v>
      </c>
      <c r="C4" s="172" t="s">
        <v>3</v>
      </c>
      <c r="D4" s="172" t="s">
        <v>4</v>
      </c>
      <c r="E4" s="172"/>
      <c r="F4" s="172"/>
      <c r="G4" s="172" t="s">
        <v>5</v>
      </c>
      <c r="H4" s="172"/>
      <c r="I4" s="172"/>
    </row>
    <row r="5" spans="1:9" s="55" customFormat="1" ht="67.5" customHeight="1" x14ac:dyDescent="0.2">
      <c r="A5" s="172"/>
      <c r="B5" s="174"/>
      <c r="C5" s="172"/>
      <c r="D5" s="115" t="s">
        <v>403</v>
      </c>
      <c r="E5" s="115" t="s">
        <v>404</v>
      </c>
      <c r="F5" s="115" t="s">
        <v>405</v>
      </c>
      <c r="G5" s="115" t="s">
        <v>403</v>
      </c>
      <c r="H5" s="115" t="s">
        <v>404</v>
      </c>
      <c r="I5" s="115" t="s">
        <v>406</v>
      </c>
    </row>
    <row r="6" spans="1:9" s="2" customFormat="1" x14ac:dyDescent="0.25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13">
        <v>7</v>
      </c>
      <c r="H6" s="113">
        <v>8</v>
      </c>
      <c r="I6" s="113">
        <v>9</v>
      </c>
    </row>
    <row r="7" spans="1:9" s="2" customFormat="1" ht="13.9" customHeight="1" x14ac:dyDescent="0.25">
      <c r="A7" s="166" t="s">
        <v>250</v>
      </c>
      <c r="B7" s="167"/>
      <c r="C7" s="167"/>
      <c r="D7" s="167"/>
      <c r="E7" s="167"/>
      <c r="F7" s="167"/>
      <c r="G7" s="167"/>
      <c r="H7" s="167"/>
      <c r="I7" s="168"/>
    </row>
    <row r="8" spans="1:9" s="2" customFormat="1" ht="60" outlineLevel="1" x14ac:dyDescent="0.25">
      <c r="A8" s="105">
        <v>1</v>
      </c>
      <c r="B8" s="104" t="s">
        <v>251</v>
      </c>
      <c r="C8" s="103" t="s">
        <v>14</v>
      </c>
      <c r="D8" s="106">
        <v>3660</v>
      </c>
      <c r="E8" s="106">
        <v>3661</v>
      </c>
      <c r="F8" s="106">
        <v>3621</v>
      </c>
      <c r="G8" s="98">
        <v>2597362.5099999998</v>
      </c>
      <c r="H8" s="80">
        <v>2788444.58</v>
      </c>
      <c r="I8" s="80">
        <v>2788444.58</v>
      </c>
    </row>
    <row r="9" spans="1:9" s="2" customFormat="1" ht="75" outlineLevel="1" x14ac:dyDescent="0.25">
      <c r="A9" s="105">
        <v>2</v>
      </c>
      <c r="B9" s="104" t="s">
        <v>252</v>
      </c>
      <c r="C9" s="103" t="s">
        <v>14</v>
      </c>
      <c r="D9" s="106">
        <v>9591</v>
      </c>
      <c r="E9" s="106">
        <v>10272</v>
      </c>
      <c r="F9" s="106">
        <v>10452</v>
      </c>
      <c r="G9" s="98">
        <v>1946384.66</v>
      </c>
      <c r="H9" s="80">
        <v>2074250.19</v>
      </c>
      <c r="I9" s="80">
        <v>2074250.19</v>
      </c>
    </row>
    <row r="10" spans="1:9" s="2" customFormat="1" ht="45" outlineLevel="1" x14ac:dyDescent="0.25">
      <c r="A10" s="102">
        <v>3</v>
      </c>
      <c r="B10" s="107" t="s">
        <v>79</v>
      </c>
      <c r="C10" s="103" t="s">
        <v>14</v>
      </c>
      <c r="D10" s="106">
        <v>472</v>
      </c>
      <c r="E10" s="106">
        <v>472</v>
      </c>
      <c r="F10" s="106">
        <v>531</v>
      </c>
      <c r="G10" s="98">
        <v>600000</v>
      </c>
      <c r="H10" s="80">
        <v>649884.79</v>
      </c>
      <c r="I10" s="80">
        <v>649884.79</v>
      </c>
    </row>
    <row r="11" spans="1:9" s="2" customFormat="1" ht="45" outlineLevel="1" x14ac:dyDescent="0.25">
      <c r="A11" s="109">
        <v>4</v>
      </c>
      <c r="B11" s="107" t="s">
        <v>358</v>
      </c>
      <c r="C11" s="110" t="s">
        <v>359</v>
      </c>
      <c r="D11" s="106">
        <v>91776</v>
      </c>
      <c r="E11" s="106">
        <v>91776</v>
      </c>
      <c r="F11" s="106">
        <v>88186</v>
      </c>
      <c r="G11" s="98">
        <v>82261.898300000001</v>
      </c>
      <c r="H11" s="98">
        <v>97206.73</v>
      </c>
      <c r="I11" s="98">
        <v>97206.73</v>
      </c>
    </row>
    <row r="12" spans="1:9" s="2" customFormat="1" ht="45" outlineLevel="1" x14ac:dyDescent="0.25">
      <c r="A12" s="109">
        <v>5</v>
      </c>
      <c r="B12" s="107" t="s">
        <v>486</v>
      </c>
      <c r="C12" s="110" t="s">
        <v>92</v>
      </c>
      <c r="D12" s="106">
        <v>17792</v>
      </c>
      <c r="E12" s="106">
        <v>17792</v>
      </c>
      <c r="F12" s="106">
        <v>18832</v>
      </c>
      <c r="G12" s="98">
        <v>44667.204530000003</v>
      </c>
      <c r="H12" s="98">
        <v>53277.599999999999</v>
      </c>
      <c r="I12" s="98">
        <v>53277.599999999999</v>
      </c>
    </row>
    <row r="13" spans="1:9" s="2" customFormat="1" ht="60" outlineLevel="1" x14ac:dyDescent="0.25">
      <c r="A13" s="109">
        <v>6</v>
      </c>
      <c r="B13" s="107" t="s">
        <v>360</v>
      </c>
      <c r="C13" s="110" t="s">
        <v>92</v>
      </c>
      <c r="D13" s="106">
        <f>17887+10951+6936</f>
        <v>35774</v>
      </c>
      <c r="E13" s="106">
        <f>16062+9126+6936</f>
        <v>32124</v>
      </c>
      <c r="F13" s="106">
        <f>16062+9126+6936</f>
        <v>32124</v>
      </c>
      <c r="G13" s="80">
        <v>37048.699999999997</v>
      </c>
      <c r="H13" s="80">
        <v>63434.243000000002</v>
      </c>
      <c r="I13" s="98">
        <v>63434.243000000002</v>
      </c>
    </row>
    <row r="14" spans="1:9" s="2" customFormat="1" ht="60" outlineLevel="1" x14ac:dyDescent="0.25">
      <c r="A14" s="109">
        <v>7</v>
      </c>
      <c r="B14" s="107" t="s">
        <v>487</v>
      </c>
      <c r="C14" s="110" t="s">
        <v>99</v>
      </c>
      <c r="D14" s="106">
        <v>110</v>
      </c>
      <c r="E14" s="106">
        <v>110</v>
      </c>
      <c r="F14" s="106">
        <v>110</v>
      </c>
      <c r="G14" s="80">
        <v>4312.5</v>
      </c>
      <c r="H14" s="80">
        <v>4704.4920000000002</v>
      </c>
      <c r="I14" s="98">
        <v>4704.4920000000002</v>
      </c>
    </row>
    <row r="15" spans="1:9" s="2" customFormat="1" ht="45" outlineLevel="1" x14ac:dyDescent="0.25">
      <c r="A15" s="109">
        <v>8</v>
      </c>
      <c r="B15" s="107" t="s">
        <v>643</v>
      </c>
      <c r="C15" s="110" t="s">
        <v>488</v>
      </c>
      <c r="D15" s="106">
        <v>462</v>
      </c>
      <c r="E15" s="106">
        <v>930</v>
      </c>
      <c r="F15" s="106">
        <v>930</v>
      </c>
      <c r="G15" s="80">
        <v>0</v>
      </c>
      <c r="H15" s="80">
        <v>5836.15</v>
      </c>
      <c r="I15" s="98">
        <v>5836.15</v>
      </c>
    </row>
    <row r="16" spans="1:9" s="2" customFormat="1" ht="60" outlineLevel="1" x14ac:dyDescent="0.25">
      <c r="A16" s="102">
        <v>9</v>
      </c>
      <c r="B16" s="107" t="s">
        <v>644</v>
      </c>
      <c r="C16" s="110" t="s">
        <v>488</v>
      </c>
      <c r="D16" s="106">
        <v>462</v>
      </c>
      <c r="E16" s="106">
        <v>950</v>
      </c>
      <c r="F16" s="106">
        <v>950</v>
      </c>
      <c r="G16" s="80">
        <v>0</v>
      </c>
      <c r="H16" s="80">
        <v>5940.15</v>
      </c>
      <c r="I16" s="98">
        <v>5940.15</v>
      </c>
    </row>
    <row r="17" spans="1:10" s="2" customFormat="1" ht="60" outlineLevel="1" x14ac:dyDescent="0.25">
      <c r="A17" s="102">
        <v>10</v>
      </c>
      <c r="B17" s="107" t="s">
        <v>645</v>
      </c>
      <c r="C17" s="110" t="s">
        <v>488</v>
      </c>
      <c r="D17" s="106">
        <v>461</v>
      </c>
      <c r="E17" s="106">
        <v>517</v>
      </c>
      <c r="F17" s="106">
        <v>517</v>
      </c>
      <c r="G17" s="80">
        <v>0</v>
      </c>
      <c r="H17" s="80">
        <v>3688.55</v>
      </c>
      <c r="I17" s="98">
        <v>3688.55</v>
      </c>
    </row>
    <row r="18" spans="1:10" s="2" customFormat="1" ht="45" outlineLevel="1" x14ac:dyDescent="0.25">
      <c r="A18" s="121">
        <v>11</v>
      </c>
      <c r="B18" s="107" t="s">
        <v>646</v>
      </c>
      <c r="C18" s="110" t="s">
        <v>359</v>
      </c>
      <c r="D18" s="106">
        <v>17532</v>
      </c>
      <c r="E18" s="106">
        <v>10082</v>
      </c>
      <c r="F18" s="106">
        <v>10082</v>
      </c>
      <c r="G18" s="80">
        <v>0</v>
      </c>
      <c r="H18" s="80">
        <v>8420.5</v>
      </c>
      <c r="I18" s="98">
        <v>8420.5</v>
      </c>
    </row>
    <row r="19" spans="1:10" s="2" customFormat="1" x14ac:dyDescent="0.25">
      <c r="A19" s="56"/>
      <c r="B19" s="75" t="s">
        <v>0</v>
      </c>
      <c r="C19" s="57"/>
      <c r="D19" s="57"/>
      <c r="E19" s="57"/>
      <c r="F19" s="57"/>
      <c r="G19" s="122">
        <f>ROUND(SUM(G8:G18),2)</f>
        <v>5312037.47</v>
      </c>
      <c r="H19" s="122">
        <f>SUM(H8:H18)</f>
        <v>5755087.9749999996</v>
      </c>
      <c r="I19" s="122">
        <f t="shared" ref="I19" si="0">SUM(I8:I18)</f>
        <v>5755087.9749999996</v>
      </c>
      <c r="J19" s="126"/>
    </row>
    <row r="20" spans="1:10" ht="14.45" customHeight="1" x14ac:dyDescent="0.25">
      <c r="A20" s="157" t="s">
        <v>265</v>
      </c>
      <c r="B20" s="158"/>
      <c r="C20" s="158"/>
      <c r="D20" s="158"/>
      <c r="E20" s="158"/>
      <c r="F20" s="158"/>
      <c r="G20" s="158"/>
      <c r="H20" s="158"/>
      <c r="I20" s="159"/>
    </row>
    <row r="21" spans="1:10" ht="45" outlineLevel="1" x14ac:dyDescent="0.25">
      <c r="A21" s="105">
        <v>1</v>
      </c>
      <c r="B21" s="62" t="s">
        <v>429</v>
      </c>
      <c r="C21" s="59" t="s">
        <v>642</v>
      </c>
      <c r="D21" s="106">
        <v>73636</v>
      </c>
      <c r="E21" s="106">
        <v>73636</v>
      </c>
      <c r="F21" s="106">
        <v>73636</v>
      </c>
      <c r="G21" s="80">
        <v>18681.9159</v>
      </c>
      <c r="H21" s="80">
        <v>19760.415000000001</v>
      </c>
      <c r="I21" s="80">
        <f t="shared" ref="I21:I23" si="1">H21</f>
        <v>19760.415000000001</v>
      </c>
    </row>
    <row r="22" spans="1:10" ht="30" outlineLevel="1" x14ac:dyDescent="0.25">
      <c r="A22" s="105">
        <v>2</v>
      </c>
      <c r="B22" s="62" t="s">
        <v>430</v>
      </c>
      <c r="C22" s="59" t="s">
        <v>642</v>
      </c>
      <c r="D22" s="106">
        <v>18178</v>
      </c>
      <c r="E22" s="106">
        <v>18178</v>
      </c>
      <c r="F22" s="106">
        <v>18178</v>
      </c>
      <c r="G22" s="80">
        <v>6707.7889999999998</v>
      </c>
      <c r="H22" s="80">
        <v>7108.2349999999997</v>
      </c>
      <c r="I22" s="80">
        <f>H22</f>
        <v>7108.2349999999997</v>
      </c>
    </row>
    <row r="23" spans="1:10" ht="90" outlineLevel="1" x14ac:dyDescent="0.25">
      <c r="A23" s="105">
        <v>3</v>
      </c>
      <c r="B23" s="62" t="s">
        <v>431</v>
      </c>
      <c r="C23" s="59" t="s">
        <v>642</v>
      </c>
      <c r="D23" s="106">
        <v>30632</v>
      </c>
      <c r="E23" s="106">
        <v>30632</v>
      </c>
      <c r="F23" s="106">
        <v>30632</v>
      </c>
      <c r="G23" s="80">
        <v>7691.9</v>
      </c>
      <c r="H23" s="80">
        <v>8135.3450000000003</v>
      </c>
      <c r="I23" s="80">
        <f t="shared" si="1"/>
        <v>8135.3450000000003</v>
      </c>
    </row>
    <row r="24" spans="1:10" x14ac:dyDescent="0.25">
      <c r="A24" s="60"/>
      <c r="B24" s="61" t="s">
        <v>0</v>
      </c>
      <c r="C24" s="60"/>
      <c r="D24" s="17"/>
      <c r="E24" s="17"/>
      <c r="F24" s="17"/>
      <c r="G24" s="122">
        <f>G21+G22+G23</f>
        <v>33081.604899999998</v>
      </c>
      <c r="H24" s="122">
        <f t="shared" ref="H24:I24" si="2">H21+H22+H23</f>
        <v>35003.995000000003</v>
      </c>
      <c r="I24" s="122">
        <f t="shared" si="2"/>
        <v>35003.995000000003</v>
      </c>
    </row>
    <row r="25" spans="1:10" ht="14.45" customHeight="1" x14ac:dyDescent="0.25">
      <c r="A25" s="160" t="s">
        <v>238</v>
      </c>
      <c r="B25" s="160"/>
      <c r="C25" s="160"/>
      <c r="D25" s="160"/>
      <c r="E25" s="160"/>
      <c r="F25" s="160"/>
      <c r="G25" s="160"/>
      <c r="H25" s="160"/>
      <c r="I25" s="160"/>
    </row>
    <row r="26" spans="1:10" ht="75" outlineLevel="1" x14ac:dyDescent="0.25">
      <c r="A26" s="114"/>
      <c r="B26" s="116" t="s">
        <v>414</v>
      </c>
      <c r="C26" s="114"/>
      <c r="D26" s="114"/>
      <c r="E26" s="114"/>
      <c r="F26" s="114"/>
      <c r="G26" s="169">
        <v>17063.77</v>
      </c>
      <c r="H26" s="169">
        <v>17063.77</v>
      </c>
      <c r="I26" s="169">
        <v>17063.77</v>
      </c>
    </row>
    <row r="27" spans="1:10" outlineLevel="1" x14ac:dyDescent="0.25">
      <c r="A27" s="105">
        <v>1</v>
      </c>
      <c r="B27" s="90" t="s">
        <v>297</v>
      </c>
      <c r="C27" s="103" t="s">
        <v>415</v>
      </c>
      <c r="D27" s="106">
        <v>2000</v>
      </c>
      <c r="E27" s="106">
        <v>2000</v>
      </c>
      <c r="F27" s="106">
        <v>2766</v>
      </c>
      <c r="G27" s="170"/>
      <c r="H27" s="170"/>
      <c r="I27" s="170"/>
    </row>
    <row r="28" spans="1:10" outlineLevel="1" x14ac:dyDescent="0.25">
      <c r="A28" s="105">
        <v>2</v>
      </c>
      <c r="B28" s="90" t="s">
        <v>298</v>
      </c>
      <c r="C28" s="103" t="s">
        <v>415</v>
      </c>
      <c r="D28" s="106">
        <v>8</v>
      </c>
      <c r="E28" s="106">
        <v>8</v>
      </c>
      <c r="F28" s="111">
        <v>8</v>
      </c>
      <c r="G28" s="170"/>
      <c r="H28" s="170"/>
      <c r="I28" s="170"/>
    </row>
    <row r="29" spans="1:10" outlineLevel="1" x14ac:dyDescent="0.25">
      <c r="A29" s="105">
        <v>3</v>
      </c>
      <c r="B29" s="90" t="s">
        <v>299</v>
      </c>
      <c r="C29" s="103" t="s">
        <v>415</v>
      </c>
      <c r="D29" s="106">
        <v>5</v>
      </c>
      <c r="E29" s="106">
        <v>5</v>
      </c>
      <c r="F29" s="111">
        <v>5</v>
      </c>
      <c r="G29" s="170"/>
      <c r="H29" s="170"/>
      <c r="I29" s="170"/>
    </row>
    <row r="30" spans="1:10" ht="30" outlineLevel="1" x14ac:dyDescent="0.25">
      <c r="A30" s="105">
        <v>4</v>
      </c>
      <c r="B30" s="90" t="s">
        <v>300</v>
      </c>
      <c r="C30" s="103" t="s">
        <v>99</v>
      </c>
      <c r="D30" s="106">
        <v>500</v>
      </c>
      <c r="E30" s="106">
        <v>500</v>
      </c>
      <c r="F30" s="111">
        <v>2300</v>
      </c>
      <c r="G30" s="171"/>
      <c r="H30" s="171"/>
      <c r="I30" s="171"/>
    </row>
    <row r="31" spans="1:10" x14ac:dyDescent="0.25">
      <c r="A31" s="60"/>
      <c r="B31" s="61" t="s">
        <v>0</v>
      </c>
      <c r="C31" s="60"/>
      <c r="D31" s="17"/>
      <c r="E31" s="17"/>
      <c r="F31" s="17"/>
      <c r="G31" s="122">
        <f>G26</f>
        <v>17063.77</v>
      </c>
      <c r="H31" s="122">
        <f t="shared" ref="H31:I31" si="3">H26</f>
        <v>17063.77</v>
      </c>
      <c r="I31" s="122">
        <f t="shared" si="3"/>
        <v>17063.77</v>
      </c>
    </row>
    <row r="32" spans="1:10" ht="14.45" customHeight="1" x14ac:dyDescent="0.25">
      <c r="A32" s="157" t="s">
        <v>203</v>
      </c>
      <c r="B32" s="158"/>
      <c r="C32" s="158"/>
      <c r="D32" s="158"/>
      <c r="E32" s="158"/>
      <c r="F32" s="158"/>
      <c r="G32" s="158"/>
      <c r="H32" s="158"/>
      <c r="I32" s="159"/>
    </row>
    <row r="33" spans="1:9" ht="180" outlineLevel="1" x14ac:dyDescent="0.25">
      <c r="A33" s="105">
        <v>1</v>
      </c>
      <c r="B33" s="128" t="s">
        <v>398</v>
      </c>
      <c r="C33" s="103" t="s">
        <v>205</v>
      </c>
      <c r="D33" s="80">
        <v>1</v>
      </c>
      <c r="E33" s="80">
        <v>1</v>
      </c>
      <c r="F33" s="80">
        <v>1</v>
      </c>
      <c r="G33" s="80">
        <v>7851</v>
      </c>
      <c r="H33" s="80">
        <v>8046.1026647127001</v>
      </c>
      <c r="I33" s="80">
        <v>8046.1026647127001</v>
      </c>
    </row>
    <row r="34" spans="1:9" ht="90" outlineLevel="1" x14ac:dyDescent="0.25">
      <c r="A34" s="105">
        <v>2</v>
      </c>
      <c r="B34" s="128" t="s">
        <v>399</v>
      </c>
      <c r="C34" s="103" t="s">
        <v>205</v>
      </c>
      <c r="D34" s="80">
        <v>1</v>
      </c>
      <c r="E34" s="80">
        <v>1</v>
      </c>
      <c r="F34" s="80">
        <v>1</v>
      </c>
      <c r="G34" s="80">
        <v>14294</v>
      </c>
      <c r="H34" s="80">
        <v>14293.954733879778</v>
      </c>
      <c r="I34" s="80">
        <v>14293.954733879778</v>
      </c>
    </row>
    <row r="35" spans="1:9" ht="75" outlineLevel="1" x14ac:dyDescent="0.25">
      <c r="A35" s="105">
        <v>3</v>
      </c>
      <c r="B35" s="128" t="s">
        <v>400</v>
      </c>
      <c r="C35" s="103" t="s">
        <v>205</v>
      </c>
      <c r="D35" s="80">
        <v>1</v>
      </c>
      <c r="E35" s="80">
        <v>1</v>
      </c>
      <c r="F35" s="80">
        <v>1</v>
      </c>
      <c r="G35" s="80">
        <v>3519</v>
      </c>
      <c r="H35" s="80">
        <v>3518.9511654081793</v>
      </c>
      <c r="I35" s="80">
        <v>3518.9511654081793</v>
      </c>
    </row>
    <row r="36" spans="1:9" ht="90" outlineLevel="1" x14ac:dyDescent="0.25">
      <c r="A36" s="105">
        <v>4</v>
      </c>
      <c r="B36" s="128" t="s">
        <v>401</v>
      </c>
      <c r="C36" s="103" t="s">
        <v>205</v>
      </c>
      <c r="D36" s="80">
        <v>1</v>
      </c>
      <c r="E36" s="80">
        <v>1</v>
      </c>
      <c r="F36" s="80">
        <v>1</v>
      </c>
      <c r="G36" s="80">
        <v>2691</v>
      </c>
      <c r="H36" s="80">
        <v>2691.000891207153</v>
      </c>
      <c r="I36" s="80">
        <v>2691.000891207153</v>
      </c>
    </row>
    <row r="37" spans="1:9" ht="75" outlineLevel="1" x14ac:dyDescent="0.25">
      <c r="A37" s="105">
        <v>5</v>
      </c>
      <c r="B37" s="128" t="s">
        <v>402</v>
      </c>
      <c r="C37" s="103" t="s">
        <v>205</v>
      </c>
      <c r="D37" s="80">
        <v>1</v>
      </c>
      <c r="E37" s="80">
        <v>1</v>
      </c>
      <c r="F37" s="80">
        <v>1</v>
      </c>
      <c r="G37" s="80">
        <v>1046</v>
      </c>
      <c r="H37" s="80">
        <v>1046.000346414969</v>
      </c>
      <c r="I37" s="80">
        <v>1046.000346414969</v>
      </c>
    </row>
    <row r="38" spans="1:9" ht="45" outlineLevel="1" x14ac:dyDescent="0.25">
      <c r="A38" s="105">
        <v>6</v>
      </c>
      <c r="B38" s="118" t="s">
        <v>434</v>
      </c>
      <c r="C38" s="103" t="s">
        <v>205</v>
      </c>
      <c r="D38" s="80">
        <v>1</v>
      </c>
      <c r="E38" s="80">
        <v>1</v>
      </c>
      <c r="F38" s="80">
        <v>1</v>
      </c>
      <c r="G38" s="80">
        <v>599</v>
      </c>
      <c r="H38" s="80">
        <v>599.0001983772147</v>
      </c>
      <c r="I38" s="80">
        <v>599.0001983772147</v>
      </c>
    </row>
    <row r="39" spans="1:9" x14ac:dyDescent="0.25">
      <c r="A39" s="60"/>
      <c r="B39" s="61" t="s">
        <v>0</v>
      </c>
      <c r="C39" s="60"/>
      <c r="D39" s="17"/>
      <c r="E39" s="17"/>
      <c r="F39" s="17"/>
      <c r="G39" s="123">
        <f>SUM(G33:G38)</f>
        <v>30000</v>
      </c>
      <c r="H39" s="123">
        <f t="shared" ref="H39:I39" si="4">SUM(H33:H38)</f>
        <v>30195.01</v>
      </c>
      <c r="I39" s="123">
        <f t="shared" si="4"/>
        <v>30195.01</v>
      </c>
    </row>
    <row r="40" spans="1:9" ht="14.45" customHeight="1" x14ac:dyDescent="0.25">
      <c r="A40" s="157" t="s">
        <v>267</v>
      </c>
      <c r="B40" s="158"/>
      <c r="C40" s="158"/>
      <c r="D40" s="158"/>
      <c r="E40" s="158"/>
      <c r="F40" s="158"/>
      <c r="G40" s="158"/>
      <c r="H40" s="158"/>
      <c r="I40" s="159"/>
    </row>
    <row r="41" spans="1:9" ht="60" outlineLevel="1" x14ac:dyDescent="0.25">
      <c r="A41" s="105">
        <v>1</v>
      </c>
      <c r="B41" s="62" t="s">
        <v>470</v>
      </c>
      <c r="C41" s="103" t="s">
        <v>16</v>
      </c>
      <c r="D41" s="80">
        <v>252723</v>
      </c>
      <c r="E41" s="80">
        <v>255250</v>
      </c>
      <c r="F41" s="80">
        <v>255250</v>
      </c>
      <c r="G41" s="80">
        <v>48429.012999999999</v>
      </c>
      <c r="H41" s="129">
        <v>56104.267</v>
      </c>
      <c r="I41" s="129">
        <v>56104.267</v>
      </c>
    </row>
    <row r="42" spans="1:9" ht="45" outlineLevel="1" x14ac:dyDescent="0.25">
      <c r="A42" s="105">
        <v>2</v>
      </c>
      <c r="B42" s="62" t="s">
        <v>471</v>
      </c>
      <c r="C42" s="103" t="s">
        <v>16</v>
      </c>
      <c r="D42" s="80">
        <v>421921</v>
      </c>
      <c r="E42" s="80">
        <v>460925</v>
      </c>
      <c r="F42" s="80">
        <v>460925</v>
      </c>
      <c r="G42" s="80">
        <v>89578.618000000002</v>
      </c>
      <c r="H42" s="129">
        <v>96120.785000000003</v>
      </c>
      <c r="I42" s="129">
        <v>96120.785000000003</v>
      </c>
    </row>
    <row r="43" spans="1:9" ht="60" outlineLevel="1" x14ac:dyDescent="0.25">
      <c r="A43" s="105">
        <v>3</v>
      </c>
      <c r="B43" s="62" t="s">
        <v>472</v>
      </c>
      <c r="C43" s="103" t="s">
        <v>16</v>
      </c>
      <c r="D43" s="80">
        <v>920163</v>
      </c>
      <c r="E43" s="80">
        <v>1005337</v>
      </c>
      <c r="F43" s="80">
        <v>1005337</v>
      </c>
      <c r="G43" s="80">
        <v>187820.47399999999</v>
      </c>
      <c r="H43" s="129">
        <v>177991.51199999999</v>
      </c>
      <c r="I43" s="129">
        <v>177991.51199999999</v>
      </c>
    </row>
    <row r="44" spans="1:9" ht="60" outlineLevel="1" x14ac:dyDescent="0.25">
      <c r="A44" s="105">
        <v>4</v>
      </c>
      <c r="B44" s="62" t="s">
        <v>473</v>
      </c>
      <c r="C44" s="103" t="s">
        <v>16</v>
      </c>
      <c r="D44" s="80">
        <v>1399208</v>
      </c>
      <c r="E44" s="80">
        <v>1055782</v>
      </c>
      <c r="F44" s="80">
        <v>1055782</v>
      </c>
      <c r="G44" s="80">
        <v>77963.937000000005</v>
      </c>
      <c r="H44" s="129">
        <v>72102.676000000007</v>
      </c>
      <c r="I44" s="129">
        <v>72102.676000000007</v>
      </c>
    </row>
    <row r="45" spans="1:9" ht="60" outlineLevel="1" x14ac:dyDescent="0.25">
      <c r="A45" s="105">
        <v>5</v>
      </c>
      <c r="B45" s="62" t="s">
        <v>474</v>
      </c>
      <c r="C45" s="103" t="s">
        <v>16</v>
      </c>
      <c r="D45" s="80">
        <v>2195</v>
      </c>
      <c r="E45" s="80">
        <v>2314</v>
      </c>
      <c r="F45" s="80">
        <v>2314</v>
      </c>
      <c r="G45" s="80">
        <v>35904.493000000002</v>
      </c>
      <c r="H45" s="129">
        <v>61305.45</v>
      </c>
      <c r="I45" s="129">
        <v>61305.45</v>
      </c>
    </row>
    <row r="46" spans="1:9" outlineLevel="1" x14ac:dyDescent="0.25">
      <c r="A46" s="105">
        <v>6</v>
      </c>
      <c r="B46" s="62" t="s">
        <v>208</v>
      </c>
      <c r="C46" s="103" t="s">
        <v>209</v>
      </c>
      <c r="D46" s="80">
        <v>774955</v>
      </c>
      <c r="E46" s="80">
        <v>938525</v>
      </c>
      <c r="F46" s="80">
        <v>938525</v>
      </c>
      <c r="G46" s="80">
        <v>13820.772000000001</v>
      </c>
      <c r="H46" s="129">
        <v>16737.944</v>
      </c>
      <c r="I46" s="129">
        <v>16737.944</v>
      </c>
    </row>
    <row r="47" spans="1:9" ht="60" outlineLevel="1" x14ac:dyDescent="0.25">
      <c r="A47" s="105">
        <v>7</v>
      </c>
      <c r="B47" s="62" t="s">
        <v>475</v>
      </c>
      <c r="C47" s="103" t="s">
        <v>16</v>
      </c>
      <c r="D47" s="80">
        <v>17506</v>
      </c>
      <c r="E47" s="80">
        <v>17755</v>
      </c>
      <c r="F47" s="80">
        <v>17755</v>
      </c>
      <c r="G47" s="80">
        <v>30552.138999999999</v>
      </c>
      <c r="H47" s="129">
        <v>30610.9</v>
      </c>
      <c r="I47" s="129">
        <v>30610.9</v>
      </c>
    </row>
    <row r="48" spans="1:9" ht="30" outlineLevel="1" x14ac:dyDescent="0.25">
      <c r="A48" s="105">
        <v>8</v>
      </c>
      <c r="B48" s="62" t="s">
        <v>210</v>
      </c>
      <c r="C48" s="103" t="s">
        <v>16</v>
      </c>
      <c r="D48" s="80">
        <v>782848</v>
      </c>
      <c r="E48" s="80">
        <v>771309</v>
      </c>
      <c r="F48" s="80">
        <v>771309</v>
      </c>
      <c r="G48" s="80">
        <v>50539.976999999999</v>
      </c>
      <c r="H48" s="129">
        <v>49795.03</v>
      </c>
      <c r="I48" s="129">
        <v>49795.03</v>
      </c>
    </row>
    <row r="49" spans="1:10" ht="75" outlineLevel="1" x14ac:dyDescent="0.25">
      <c r="A49" s="105">
        <v>9</v>
      </c>
      <c r="B49" s="62" t="s">
        <v>476</v>
      </c>
      <c r="C49" s="103" t="s">
        <v>16</v>
      </c>
      <c r="D49" s="80">
        <v>7764</v>
      </c>
      <c r="E49" s="80">
        <v>7221</v>
      </c>
      <c r="F49" s="80">
        <v>7221</v>
      </c>
      <c r="G49" s="80">
        <v>26106.164000000001</v>
      </c>
      <c r="H49" s="129">
        <v>24607.787</v>
      </c>
      <c r="I49" s="129">
        <v>24607.787</v>
      </c>
    </row>
    <row r="50" spans="1:10" ht="75" outlineLevel="1" x14ac:dyDescent="0.25">
      <c r="A50" s="105">
        <v>10</v>
      </c>
      <c r="B50" s="62" t="s">
        <v>477</v>
      </c>
      <c r="C50" s="103" t="s">
        <v>16</v>
      </c>
      <c r="D50" s="80">
        <v>7655</v>
      </c>
      <c r="E50" s="80">
        <v>7190</v>
      </c>
      <c r="F50" s="80">
        <v>7190</v>
      </c>
      <c r="G50" s="80">
        <v>2009.9970000000001</v>
      </c>
      <c r="H50" s="130">
        <v>1871.8030000000001</v>
      </c>
      <c r="I50" s="130">
        <v>1871.8030000000001</v>
      </c>
    </row>
    <row r="51" spans="1:10" ht="30" outlineLevel="1" x14ac:dyDescent="0.25">
      <c r="A51" s="105">
        <v>11</v>
      </c>
      <c r="B51" s="62" t="s">
        <v>211</v>
      </c>
      <c r="C51" s="103" t="s">
        <v>16</v>
      </c>
      <c r="D51" s="80"/>
      <c r="E51" s="80"/>
      <c r="F51" s="80"/>
      <c r="G51" s="80"/>
      <c r="H51" s="131"/>
      <c r="I51" s="131"/>
    </row>
    <row r="52" spans="1:10" ht="45" outlineLevel="1" x14ac:dyDescent="0.25">
      <c r="A52" s="105">
        <v>12</v>
      </c>
      <c r="B52" s="62" t="s">
        <v>301</v>
      </c>
      <c r="C52" s="103" t="s">
        <v>16</v>
      </c>
      <c r="D52" s="80">
        <v>4000</v>
      </c>
      <c r="E52" s="80">
        <v>3000</v>
      </c>
      <c r="F52" s="80">
        <v>3000</v>
      </c>
      <c r="G52" s="80">
        <v>4500</v>
      </c>
      <c r="H52" s="129">
        <v>4500</v>
      </c>
      <c r="I52" s="129">
        <v>4500</v>
      </c>
    </row>
    <row r="53" spans="1:10" ht="45" outlineLevel="1" x14ac:dyDescent="0.25">
      <c r="A53" s="105">
        <v>13</v>
      </c>
      <c r="B53" s="62" t="s">
        <v>302</v>
      </c>
      <c r="C53" s="103" t="s">
        <v>16</v>
      </c>
      <c r="D53" s="80">
        <v>612</v>
      </c>
      <c r="E53" s="80">
        <v>794</v>
      </c>
      <c r="F53" s="80">
        <v>794</v>
      </c>
      <c r="G53" s="80">
        <v>3927.973</v>
      </c>
      <c r="H53" s="129">
        <v>5096.0950000000003</v>
      </c>
      <c r="I53" s="129">
        <v>5096.0950000000003</v>
      </c>
    </row>
    <row r="54" spans="1:10" ht="30" outlineLevel="1" x14ac:dyDescent="0.25">
      <c r="A54" s="105">
        <v>14</v>
      </c>
      <c r="B54" s="62" t="s">
        <v>303</v>
      </c>
      <c r="C54" s="103" t="s">
        <v>16</v>
      </c>
      <c r="D54" s="80">
        <v>116</v>
      </c>
      <c r="E54" s="80">
        <v>115</v>
      </c>
      <c r="F54" s="80">
        <v>115</v>
      </c>
      <c r="G54" s="80">
        <v>21.111000000000001</v>
      </c>
      <c r="H54" s="132">
        <v>20.928999999999998</v>
      </c>
      <c r="I54" s="132">
        <v>20.928999999999998</v>
      </c>
    </row>
    <row r="55" spans="1:10" ht="30" outlineLevel="1" x14ac:dyDescent="0.25">
      <c r="A55" s="105">
        <v>15</v>
      </c>
      <c r="B55" s="62" t="s">
        <v>304</v>
      </c>
      <c r="C55" s="103" t="s">
        <v>16</v>
      </c>
      <c r="D55" s="80">
        <v>117</v>
      </c>
      <c r="E55" s="80">
        <v>121</v>
      </c>
      <c r="F55" s="80">
        <v>121</v>
      </c>
      <c r="G55" s="80">
        <v>532.82000000000005</v>
      </c>
      <c r="H55" s="132">
        <v>554.13900000000001</v>
      </c>
      <c r="I55" s="132">
        <v>554.13900000000001</v>
      </c>
    </row>
    <row r="56" spans="1:10" ht="45" outlineLevel="1" x14ac:dyDescent="0.25">
      <c r="A56" s="105">
        <v>16</v>
      </c>
      <c r="B56" s="62" t="s">
        <v>213</v>
      </c>
      <c r="C56" s="103"/>
      <c r="D56" s="80"/>
      <c r="E56" s="80"/>
      <c r="F56" s="80"/>
      <c r="G56" s="133">
        <v>7015.7560000000003</v>
      </c>
      <c r="H56" s="134">
        <v>7015.7560000000003</v>
      </c>
      <c r="I56" s="134">
        <v>7015.7560000000003</v>
      </c>
    </row>
    <row r="57" spans="1:10" x14ac:dyDescent="0.25">
      <c r="A57" s="103"/>
      <c r="B57" s="61" t="s">
        <v>0</v>
      </c>
      <c r="C57" s="103"/>
      <c r="D57" s="63"/>
      <c r="E57" s="63"/>
      <c r="F57" s="63"/>
      <c r="G57" s="122">
        <f>SUM(G41:G56)</f>
        <v>578723.24400000006</v>
      </c>
      <c r="H57" s="122">
        <f>SUM(H41:H56)</f>
        <v>604435.07299999997</v>
      </c>
      <c r="I57" s="122">
        <f>SUM(I41:I56)</f>
        <v>604435.07299999997</v>
      </c>
    </row>
    <row r="58" spans="1:10" ht="14.45" customHeight="1" x14ac:dyDescent="0.25">
      <c r="A58" s="157" t="s">
        <v>214</v>
      </c>
      <c r="B58" s="158"/>
      <c r="C58" s="158"/>
      <c r="D58" s="158"/>
      <c r="E58" s="158"/>
      <c r="F58" s="158"/>
      <c r="G58" s="158"/>
      <c r="H58" s="158"/>
      <c r="I58" s="159"/>
    </row>
    <row r="59" spans="1:10" outlineLevel="1" x14ac:dyDescent="0.25">
      <c r="A59" s="105"/>
      <c r="B59" s="62" t="s">
        <v>416</v>
      </c>
      <c r="C59" s="64"/>
      <c r="D59" s="106"/>
      <c r="E59" s="105"/>
      <c r="F59" s="105"/>
      <c r="G59" s="108"/>
      <c r="H59" s="108"/>
      <c r="I59" s="108"/>
    </row>
    <row r="60" spans="1:10" ht="90" outlineLevel="1" x14ac:dyDescent="0.25">
      <c r="A60" s="105">
        <v>1</v>
      </c>
      <c r="B60" s="62" t="s">
        <v>295</v>
      </c>
      <c r="C60" s="64" t="s">
        <v>218</v>
      </c>
      <c r="D60" s="106">
        <v>30</v>
      </c>
      <c r="E60" s="105">
        <v>30</v>
      </c>
      <c r="F60" s="105">
        <v>33</v>
      </c>
      <c r="G60" s="80">
        <v>1539.7707</v>
      </c>
      <c r="H60" s="80">
        <v>1539.7707</v>
      </c>
      <c r="I60" s="80">
        <v>1539.7707</v>
      </c>
      <c r="J60" s="138"/>
    </row>
    <row r="61" spans="1:10" ht="60" outlineLevel="1" x14ac:dyDescent="0.25">
      <c r="A61" s="105">
        <v>2</v>
      </c>
      <c r="B61" s="65" t="s">
        <v>417</v>
      </c>
      <c r="C61" s="64" t="s">
        <v>218</v>
      </c>
      <c r="D61" s="106">
        <v>100</v>
      </c>
      <c r="E61" s="106">
        <v>100</v>
      </c>
      <c r="F61" s="106">
        <v>108</v>
      </c>
      <c r="G61" s="80">
        <v>341.89600000000002</v>
      </c>
      <c r="H61" s="80">
        <v>341.89600000000002</v>
      </c>
      <c r="I61" s="80">
        <v>341.89600000000002</v>
      </c>
    </row>
    <row r="62" spans="1:10" ht="60" outlineLevel="1" x14ac:dyDescent="0.25">
      <c r="A62" s="105">
        <v>3</v>
      </c>
      <c r="B62" s="65" t="s">
        <v>417</v>
      </c>
      <c r="C62" s="64" t="s">
        <v>218</v>
      </c>
      <c r="D62" s="106">
        <v>100</v>
      </c>
      <c r="E62" s="106">
        <v>100</v>
      </c>
      <c r="F62" s="106">
        <v>105</v>
      </c>
      <c r="G62" s="80">
        <v>512.83000000000004</v>
      </c>
      <c r="H62" s="80">
        <v>512.83000000000004</v>
      </c>
      <c r="I62" s="80">
        <v>512.83000000000004</v>
      </c>
    </row>
    <row r="63" spans="1:10" ht="45" outlineLevel="1" x14ac:dyDescent="0.25">
      <c r="A63" s="105">
        <v>4</v>
      </c>
      <c r="B63" s="65" t="s">
        <v>418</v>
      </c>
      <c r="C63" s="64" t="s">
        <v>218</v>
      </c>
      <c r="D63" s="106">
        <v>400</v>
      </c>
      <c r="E63" s="106">
        <v>400</v>
      </c>
      <c r="F63" s="106">
        <v>401</v>
      </c>
      <c r="G63" s="80">
        <v>2036</v>
      </c>
      <c r="H63" s="80">
        <v>2036</v>
      </c>
      <c r="I63" s="80">
        <v>2036</v>
      </c>
    </row>
    <row r="64" spans="1:10" ht="45" outlineLevel="1" x14ac:dyDescent="0.25">
      <c r="A64" s="105">
        <v>5</v>
      </c>
      <c r="B64" s="65" t="s">
        <v>419</v>
      </c>
      <c r="C64" s="64" t="s">
        <v>218</v>
      </c>
      <c r="D64" s="106">
        <v>400</v>
      </c>
      <c r="E64" s="106">
        <v>400</v>
      </c>
      <c r="F64" s="106">
        <v>403</v>
      </c>
      <c r="G64" s="80">
        <v>2714.72</v>
      </c>
      <c r="H64" s="80">
        <v>2714.72</v>
      </c>
      <c r="I64" s="80">
        <v>2714.72</v>
      </c>
    </row>
    <row r="65" spans="1:9" ht="60" outlineLevel="1" x14ac:dyDescent="0.25">
      <c r="A65" s="105">
        <v>6</v>
      </c>
      <c r="B65" s="65" t="s">
        <v>420</v>
      </c>
      <c r="C65" s="64" t="s">
        <v>421</v>
      </c>
      <c r="D65" s="106">
        <v>53</v>
      </c>
      <c r="E65" s="106">
        <v>53</v>
      </c>
      <c r="F65" s="106">
        <v>53</v>
      </c>
      <c r="G65" s="80">
        <v>89.94</v>
      </c>
      <c r="H65" s="80">
        <v>89.94</v>
      </c>
      <c r="I65" s="80">
        <v>89.94</v>
      </c>
    </row>
    <row r="66" spans="1:9" ht="45" outlineLevel="1" x14ac:dyDescent="0.25">
      <c r="A66" s="105">
        <v>7</v>
      </c>
      <c r="B66" s="65" t="s">
        <v>422</v>
      </c>
      <c r="C66" s="64" t="s">
        <v>421</v>
      </c>
      <c r="D66" s="106">
        <v>53</v>
      </c>
      <c r="E66" s="106">
        <v>53</v>
      </c>
      <c r="F66" s="106">
        <v>53</v>
      </c>
      <c r="G66" s="80">
        <v>89.87</v>
      </c>
      <c r="H66" s="80">
        <v>89.87</v>
      </c>
      <c r="I66" s="80">
        <v>89.87</v>
      </c>
    </row>
    <row r="67" spans="1:9" ht="45" outlineLevel="1" x14ac:dyDescent="0.25">
      <c r="A67" s="105">
        <v>8</v>
      </c>
      <c r="B67" s="65" t="s">
        <v>423</v>
      </c>
      <c r="C67" s="64" t="s">
        <v>296</v>
      </c>
      <c r="D67" s="106">
        <v>200</v>
      </c>
      <c r="E67" s="106">
        <v>200</v>
      </c>
      <c r="F67" s="106">
        <v>200</v>
      </c>
      <c r="G67" s="80">
        <v>84.77</v>
      </c>
      <c r="H67" s="80">
        <v>84.77</v>
      </c>
      <c r="I67" s="80">
        <v>84.77</v>
      </c>
    </row>
    <row r="68" spans="1:9" ht="45" outlineLevel="1" x14ac:dyDescent="0.25">
      <c r="A68" s="105">
        <v>9</v>
      </c>
      <c r="B68" s="65" t="s">
        <v>424</v>
      </c>
      <c r="C68" s="64" t="s">
        <v>218</v>
      </c>
      <c r="D68" s="106">
        <v>800</v>
      </c>
      <c r="E68" s="106">
        <v>800</v>
      </c>
      <c r="F68" s="106">
        <v>807</v>
      </c>
      <c r="G68" s="80">
        <v>4907.53</v>
      </c>
      <c r="H68" s="80">
        <v>4907.53</v>
      </c>
      <c r="I68" s="80">
        <v>4907.53</v>
      </c>
    </row>
    <row r="69" spans="1:9" outlineLevel="1" x14ac:dyDescent="0.25">
      <c r="A69" s="105"/>
      <c r="B69" s="65" t="s">
        <v>425</v>
      </c>
      <c r="C69" s="64"/>
      <c r="D69" s="106"/>
      <c r="E69" s="106"/>
      <c r="F69" s="106"/>
      <c r="G69" s="108"/>
      <c r="H69" s="108"/>
      <c r="I69" s="108"/>
    </row>
    <row r="70" spans="1:9" ht="45" outlineLevel="1" x14ac:dyDescent="0.25">
      <c r="A70" s="105">
        <v>1</v>
      </c>
      <c r="B70" s="65" t="s">
        <v>426</v>
      </c>
      <c r="C70" s="64" t="s">
        <v>218</v>
      </c>
      <c r="D70" s="106">
        <v>0</v>
      </c>
      <c r="E70" s="106">
        <v>0</v>
      </c>
      <c r="F70" s="106">
        <v>0</v>
      </c>
      <c r="G70" s="80">
        <v>0</v>
      </c>
      <c r="H70" s="80">
        <v>0</v>
      </c>
      <c r="I70" s="80">
        <v>0</v>
      </c>
    </row>
    <row r="71" spans="1:9" ht="90" outlineLevel="1" x14ac:dyDescent="0.25">
      <c r="A71" s="105">
        <v>2</v>
      </c>
      <c r="B71" s="65" t="s">
        <v>427</v>
      </c>
      <c r="C71" s="64" t="s">
        <v>218</v>
      </c>
      <c r="D71" s="106">
        <v>40000</v>
      </c>
      <c r="E71" s="106">
        <v>40000</v>
      </c>
      <c r="F71" s="106">
        <v>40000</v>
      </c>
      <c r="G71" s="80">
        <v>120</v>
      </c>
      <c r="H71" s="80">
        <v>120</v>
      </c>
      <c r="I71" s="80">
        <v>120</v>
      </c>
    </row>
    <row r="72" spans="1:9" ht="90" outlineLevel="1" x14ac:dyDescent="0.25">
      <c r="A72" s="105">
        <v>3</v>
      </c>
      <c r="B72" s="65" t="s">
        <v>427</v>
      </c>
      <c r="C72" s="64" t="s">
        <v>421</v>
      </c>
      <c r="D72" s="106">
        <v>20</v>
      </c>
      <c r="E72" s="106">
        <v>20</v>
      </c>
      <c r="F72" s="106">
        <v>20</v>
      </c>
      <c r="G72" s="80">
        <v>2716.59</v>
      </c>
      <c r="H72" s="80">
        <v>2716.585</v>
      </c>
      <c r="I72" s="80">
        <v>2716.585</v>
      </c>
    </row>
    <row r="73" spans="1:9" ht="150" outlineLevel="1" x14ac:dyDescent="0.25">
      <c r="A73" s="105">
        <v>4</v>
      </c>
      <c r="B73" s="65" t="s">
        <v>428</v>
      </c>
      <c r="C73" s="64" t="s">
        <v>218</v>
      </c>
      <c r="D73" s="106">
        <v>262578.7403</v>
      </c>
      <c r="E73" s="106">
        <v>269374.32579999999</v>
      </c>
      <c r="F73" s="106">
        <v>270977</v>
      </c>
      <c r="G73" s="80">
        <v>45003.368199999997</v>
      </c>
      <c r="H73" s="80">
        <v>46168.069000000003</v>
      </c>
      <c r="I73" s="80">
        <v>46168.069000000003</v>
      </c>
    </row>
    <row r="74" spans="1:9" ht="45" outlineLevel="1" x14ac:dyDescent="0.25">
      <c r="A74" s="105">
        <v>5</v>
      </c>
      <c r="B74" s="65" t="s">
        <v>237</v>
      </c>
      <c r="C74" s="64"/>
      <c r="D74" s="106"/>
      <c r="E74" s="106"/>
      <c r="F74" s="106"/>
      <c r="G74" s="80">
        <v>10.86</v>
      </c>
      <c r="H74" s="80">
        <v>10.86</v>
      </c>
      <c r="I74" s="80">
        <v>10.86</v>
      </c>
    </row>
    <row r="75" spans="1:9" x14ac:dyDescent="0.25">
      <c r="A75" s="60"/>
      <c r="B75" s="61" t="s">
        <v>0</v>
      </c>
      <c r="C75" s="60"/>
      <c r="D75" s="17"/>
      <c r="E75" s="17"/>
      <c r="F75" s="17"/>
      <c r="G75" s="122">
        <f>G74+G73+G72+G71+G70+G69+G68+G67+G66+G65+G64+G63+G62+G61+G60</f>
        <v>60168.144899999999</v>
      </c>
      <c r="H75" s="122">
        <f t="shared" ref="H75:I75" si="5">H74+H73+H72+H71+H70+H69+H68+H67+H66+H65+H64+H63+H62+H61+H60</f>
        <v>61332.840700000008</v>
      </c>
      <c r="I75" s="122">
        <f t="shared" si="5"/>
        <v>61332.840700000008</v>
      </c>
    </row>
    <row r="76" spans="1:9" ht="14.45" customHeight="1" x14ac:dyDescent="0.25">
      <c r="A76" s="157" t="s">
        <v>12</v>
      </c>
      <c r="B76" s="158"/>
      <c r="C76" s="158"/>
      <c r="D76" s="158"/>
      <c r="E76" s="158"/>
      <c r="F76" s="158"/>
      <c r="G76" s="158"/>
      <c r="H76" s="158"/>
      <c r="I76" s="159"/>
    </row>
    <row r="77" spans="1:9" ht="45" customHeight="1" outlineLevel="2" x14ac:dyDescent="0.25">
      <c r="A77" s="184">
        <v>1</v>
      </c>
      <c r="B77" s="186" t="s">
        <v>41</v>
      </c>
      <c r="C77" s="64" t="s">
        <v>14</v>
      </c>
      <c r="D77" s="106">
        <v>140</v>
      </c>
      <c r="E77" s="106">
        <v>140</v>
      </c>
      <c r="F77" s="106">
        <v>140</v>
      </c>
      <c r="G77" s="164">
        <v>785</v>
      </c>
      <c r="H77" s="164">
        <v>785</v>
      </c>
      <c r="I77" s="164">
        <v>785</v>
      </c>
    </row>
    <row r="78" spans="1:9" outlineLevel="2" x14ac:dyDescent="0.25">
      <c r="A78" s="185"/>
      <c r="B78" s="187"/>
      <c r="C78" s="64" t="s">
        <v>57</v>
      </c>
      <c r="D78" s="106">
        <v>79</v>
      </c>
      <c r="E78" s="106">
        <v>79</v>
      </c>
      <c r="F78" s="106">
        <v>79</v>
      </c>
      <c r="G78" s="165"/>
      <c r="H78" s="165"/>
      <c r="I78" s="165"/>
    </row>
    <row r="79" spans="1:9" ht="45" customHeight="1" outlineLevel="2" x14ac:dyDescent="0.25">
      <c r="A79" s="105">
        <v>2</v>
      </c>
      <c r="B79" s="65" t="s">
        <v>493</v>
      </c>
      <c r="C79" s="64" t="s">
        <v>14</v>
      </c>
      <c r="D79" s="106">
        <v>250</v>
      </c>
      <c r="E79" s="106">
        <v>250</v>
      </c>
      <c r="F79" s="106">
        <v>250</v>
      </c>
      <c r="G79" s="80">
        <f>ROUND(108171.16,2)</f>
        <v>108171.16</v>
      </c>
      <c r="H79" s="80">
        <v>112864.39200000001</v>
      </c>
      <c r="I79" s="80">
        <v>112864.39200000001</v>
      </c>
    </row>
    <row r="80" spans="1:9" ht="45" customHeight="1" outlineLevel="2" x14ac:dyDescent="0.25">
      <c r="A80" s="105">
        <v>3</v>
      </c>
      <c r="B80" s="65" t="s">
        <v>494</v>
      </c>
      <c r="C80" s="64" t="s">
        <v>14</v>
      </c>
      <c r="D80" s="106">
        <v>25</v>
      </c>
      <c r="E80" s="106">
        <v>25</v>
      </c>
      <c r="F80" s="106">
        <v>25</v>
      </c>
      <c r="G80" s="80">
        <v>12019.02</v>
      </c>
      <c r="H80" s="80">
        <v>12540.486999999999</v>
      </c>
      <c r="I80" s="80">
        <v>12540.486999999999</v>
      </c>
    </row>
    <row r="81" spans="1:9" ht="45" customHeight="1" outlineLevel="2" x14ac:dyDescent="0.25">
      <c r="A81" s="105">
        <v>4</v>
      </c>
      <c r="B81" s="65" t="s">
        <v>495</v>
      </c>
      <c r="C81" s="64" t="s">
        <v>16</v>
      </c>
      <c r="D81" s="106">
        <v>3</v>
      </c>
      <c r="E81" s="106">
        <v>3</v>
      </c>
      <c r="F81" s="106">
        <v>3</v>
      </c>
      <c r="G81" s="80">
        <v>330.33199999999999</v>
      </c>
      <c r="H81" s="80">
        <v>330.33199999999999</v>
      </c>
      <c r="I81" s="80">
        <v>330.33199999999999</v>
      </c>
    </row>
    <row r="82" spans="1:9" ht="45" customHeight="1" outlineLevel="2" x14ac:dyDescent="0.25">
      <c r="A82" s="105">
        <v>5</v>
      </c>
      <c r="B82" s="65" t="s">
        <v>496</v>
      </c>
      <c r="C82" s="64" t="s">
        <v>16</v>
      </c>
      <c r="D82" s="106">
        <v>1</v>
      </c>
      <c r="E82" s="106">
        <v>1</v>
      </c>
      <c r="F82" s="106">
        <v>1</v>
      </c>
      <c r="G82" s="80">
        <v>129.87</v>
      </c>
      <c r="H82" s="80">
        <v>129.86799999999999</v>
      </c>
      <c r="I82" s="80">
        <v>129.86799999999999</v>
      </c>
    </row>
    <row r="83" spans="1:9" ht="45" customHeight="1" outlineLevel="2" x14ac:dyDescent="0.25">
      <c r="A83" s="105">
        <v>6</v>
      </c>
      <c r="B83" s="65" t="s">
        <v>497</v>
      </c>
      <c r="C83" s="64" t="s">
        <v>296</v>
      </c>
      <c r="D83" s="106" t="s">
        <v>498</v>
      </c>
      <c r="E83" s="106" t="s">
        <v>498</v>
      </c>
      <c r="F83" s="106" t="s">
        <v>498</v>
      </c>
      <c r="G83" s="80">
        <v>1347.2</v>
      </c>
      <c r="H83" s="80">
        <v>1347.2</v>
      </c>
      <c r="I83" s="80">
        <v>1347.2</v>
      </c>
    </row>
    <row r="84" spans="1:9" outlineLevel="2" x14ac:dyDescent="0.25">
      <c r="A84" s="105">
        <v>7</v>
      </c>
      <c r="B84" s="65" t="s">
        <v>647</v>
      </c>
      <c r="C84" s="64" t="s">
        <v>330</v>
      </c>
      <c r="D84" s="106">
        <v>118127.75</v>
      </c>
      <c r="E84" s="106">
        <v>123909.75</v>
      </c>
      <c r="F84" s="106">
        <v>123909.75</v>
      </c>
      <c r="G84" s="80">
        <v>257597.7</v>
      </c>
      <c r="H84" s="80">
        <v>262060.5</v>
      </c>
      <c r="I84" s="80">
        <v>262060.5</v>
      </c>
    </row>
    <row r="85" spans="1:9" ht="90" outlineLevel="2" x14ac:dyDescent="0.25">
      <c r="A85" s="105">
        <v>8</v>
      </c>
      <c r="B85" s="65" t="s">
        <v>331</v>
      </c>
      <c r="C85" s="64" t="s">
        <v>296</v>
      </c>
      <c r="D85" s="106">
        <v>5</v>
      </c>
      <c r="E85" s="106">
        <v>5</v>
      </c>
      <c r="F85" s="106">
        <v>5</v>
      </c>
      <c r="G85" s="80">
        <v>483.2</v>
      </c>
      <c r="H85" s="80">
        <v>643.20000000000005</v>
      </c>
      <c r="I85" s="80">
        <v>643.20000000000005</v>
      </c>
    </row>
    <row r="86" spans="1:9" ht="90" outlineLevel="2" x14ac:dyDescent="0.25">
      <c r="A86" s="105">
        <v>9</v>
      </c>
      <c r="B86" s="65" t="s">
        <v>332</v>
      </c>
      <c r="C86" s="64" t="s">
        <v>296</v>
      </c>
      <c r="D86" s="106">
        <v>5</v>
      </c>
      <c r="E86" s="106">
        <v>6</v>
      </c>
      <c r="F86" s="106">
        <v>6</v>
      </c>
      <c r="G86" s="80">
        <v>405.1</v>
      </c>
      <c r="H86" s="80">
        <v>405.1</v>
      </c>
      <c r="I86" s="80">
        <v>405.1</v>
      </c>
    </row>
    <row r="87" spans="1:9" ht="30" outlineLevel="2" x14ac:dyDescent="0.25">
      <c r="A87" s="105">
        <v>10</v>
      </c>
      <c r="B87" s="65" t="s">
        <v>333</v>
      </c>
      <c r="C87" s="64" t="s">
        <v>296</v>
      </c>
      <c r="D87" s="106">
        <v>28</v>
      </c>
      <c r="E87" s="106">
        <v>33</v>
      </c>
      <c r="F87" s="106">
        <v>33</v>
      </c>
      <c r="G87" s="80">
        <v>1196.2</v>
      </c>
      <c r="H87" s="80">
        <v>1196.2</v>
      </c>
      <c r="I87" s="80">
        <v>1196.2</v>
      </c>
    </row>
    <row r="88" spans="1:9" ht="60" outlineLevel="2" x14ac:dyDescent="0.25">
      <c r="A88" s="105">
        <v>11</v>
      </c>
      <c r="B88" s="65" t="s">
        <v>334</v>
      </c>
      <c r="C88" s="64" t="s">
        <v>296</v>
      </c>
      <c r="D88" s="106">
        <v>69</v>
      </c>
      <c r="E88" s="106">
        <v>160</v>
      </c>
      <c r="F88" s="106">
        <v>160</v>
      </c>
      <c r="G88" s="80">
        <v>1712.65</v>
      </c>
      <c r="H88" s="80">
        <v>1712.65</v>
      </c>
      <c r="I88" s="80">
        <v>1712.65</v>
      </c>
    </row>
    <row r="89" spans="1:9" ht="45" outlineLevel="2" x14ac:dyDescent="0.25">
      <c r="A89" s="105">
        <v>12</v>
      </c>
      <c r="B89" s="65" t="s">
        <v>335</v>
      </c>
      <c r="C89" s="64" t="s">
        <v>296</v>
      </c>
      <c r="D89" s="106">
        <v>1151</v>
      </c>
      <c r="E89" s="106">
        <v>1284</v>
      </c>
      <c r="F89" s="106">
        <v>1284</v>
      </c>
      <c r="G89" s="80">
        <v>20518.3</v>
      </c>
      <c r="H89" s="80">
        <v>20518.3</v>
      </c>
      <c r="I89" s="80">
        <v>20518.3</v>
      </c>
    </row>
    <row r="90" spans="1:9" ht="30" outlineLevel="2" x14ac:dyDescent="0.25">
      <c r="A90" s="105">
        <v>13</v>
      </c>
      <c r="B90" s="65" t="s">
        <v>489</v>
      </c>
      <c r="C90" s="64" t="s">
        <v>296</v>
      </c>
      <c r="D90" s="106">
        <v>1</v>
      </c>
      <c r="E90" s="106">
        <v>1</v>
      </c>
      <c r="F90" s="106">
        <v>1</v>
      </c>
      <c r="G90" s="80">
        <v>46197.1</v>
      </c>
      <c r="H90" s="80">
        <v>49449.08</v>
      </c>
      <c r="I90" s="80">
        <v>49449.08</v>
      </c>
    </row>
    <row r="91" spans="1:9" ht="45" outlineLevel="2" x14ac:dyDescent="0.25">
      <c r="A91" s="105">
        <v>14</v>
      </c>
      <c r="B91" s="65" t="s">
        <v>336</v>
      </c>
      <c r="C91" s="64" t="s">
        <v>14</v>
      </c>
      <c r="D91" s="106">
        <v>380</v>
      </c>
      <c r="E91" s="106">
        <v>380</v>
      </c>
      <c r="F91" s="106">
        <v>380</v>
      </c>
      <c r="G91" s="80">
        <v>120925.06</v>
      </c>
      <c r="H91" s="80">
        <v>151201.60000000001</v>
      </c>
      <c r="I91" s="80">
        <v>151201.60000000001</v>
      </c>
    </row>
    <row r="92" spans="1:9" ht="45" outlineLevel="2" x14ac:dyDescent="0.25">
      <c r="A92" s="105">
        <v>15</v>
      </c>
      <c r="B92" s="65" t="s">
        <v>490</v>
      </c>
      <c r="C92" s="64" t="s">
        <v>16</v>
      </c>
      <c r="D92" s="106">
        <v>3</v>
      </c>
      <c r="E92" s="106">
        <v>3</v>
      </c>
      <c r="F92" s="106">
        <v>3</v>
      </c>
      <c r="G92" s="80">
        <v>1037.79</v>
      </c>
      <c r="H92" s="80">
        <v>1239.94</v>
      </c>
      <c r="I92" s="80">
        <v>1239.94</v>
      </c>
    </row>
    <row r="93" spans="1:9" ht="45" outlineLevel="2" x14ac:dyDescent="0.25">
      <c r="A93" s="105">
        <v>16</v>
      </c>
      <c r="B93" s="65" t="s">
        <v>490</v>
      </c>
      <c r="C93" s="64" t="s">
        <v>16</v>
      </c>
      <c r="D93" s="106">
        <v>17</v>
      </c>
      <c r="E93" s="106">
        <v>17</v>
      </c>
      <c r="F93" s="106">
        <v>17</v>
      </c>
      <c r="G93" s="80">
        <v>5880.83</v>
      </c>
      <c r="H93" s="80">
        <v>7026.3</v>
      </c>
      <c r="I93" s="80">
        <v>7026.3</v>
      </c>
    </row>
    <row r="94" spans="1:9" ht="45" outlineLevel="2" x14ac:dyDescent="0.25">
      <c r="A94" s="105">
        <v>17</v>
      </c>
      <c r="B94" s="65" t="s">
        <v>491</v>
      </c>
      <c r="C94" s="64" t="s">
        <v>296</v>
      </c>
      <c r="D94" s="106">
        <v>17</v>
      </c>
      <c r="E94" s="106">
        <v>18</v>
      </c>
      <c r="F94" s="106">
        <v>18</v>
      </c>
      <c r="G94" s="80">
        <v>4984.51</v>
      </c>
      <c r="H94" s="80">
        <v>12556.87</v>
      </c>
      <c r="I94" s="80">
        <v>12556.87</v>
      </c>
    </row>
    <row r="95" spans="1:9" ht="30" outlineLevel="2" x14ac:dyDescent="0.25">
      <c r="A95" s="105">
        <v>18</v>
      </c>
      <c r="B95" s="65" t="s">
        <v>492</v>
      </c>
      <c r="C95" s="64" t="s">
        <v>16</v>
      </c>
      <c r="D95" s="106">
        <v>27</v>
      </c>
      <c r="E95" s="106">
        <v>27</v>
      </c>
      <c r="F95" s="106">
        <v>27</v>
      </c>
      <c r="G95" s="80">
        <v>10472.290000000001</v>
      </c>
      <c r="H95" s="80">
        <v>11286.039999999999</v>
      </c>
      <c r="I95" s="80">
        <v>11286.039999999999</v>
      </c>
    </row>
    <row r="96" spans="1:9" ht="90" customHeight="1" outlineLevel="2" x14ac:dyDescent="0.25">
      <c r="A96" s="105">
        <v>19</v>
      </c>
      <c r="B96" s="65" t="s">
        <v>499</v>
      </c>
      <c r="C96" s="64" t="s">
        <v>16</v>
      </c>
      <c r="D96" s="106">
        <v>3</v>
      </c>
      <c r="E96" s="106">
        <v>3</v>
      </c>
      <c r="F96" s="106">
        <v>3</v>
      </c>
      <c r="G96" s="80">
        <v>303</v>
      </c>
      <c r="H96" s="80">
        <v>303</v>
      </c>
      <c r="I96" s="80">
        <v>303</v>
      </c>
    </row>
    <row r="97" spans="1:9" ht="45" outlineLevel="2" x14ac:dyDescent="0.25">
      <c r="A97" s="105">
        <v>20</v>
      </c>
      <c r="B97" s="65" t="s">
        <v>337</v>
      </c>
      <c r="C97" s="64" t="s">
        <v>16</v>
      </c>
      <c r="D97" s="106">
        <v>7</v>
      </c>
      <c r="E97" s="106">
        <v>7</v>
      </c>
      <c r="F97" s="106">
        <v>7</v>
      </c>
      <c r="G97" s="80">
        <v>695.13400000000001</v>
      </c>
      <c r="H97" s="80">
        <v>511.94299999999998</v>
      </c>
      <c r="I97" s="80">
        <v>511.94299999999998</v>
      </c>
    </row>
    <row r="98" spans="1:9" ht="45" outlineLevel="2" x14ac:dyDescent="0.25">
      <c r="A98" s="105">
        <v>21</v>
      </c>
      <c r="B98" s="65" t="s">
        <v>338</v>
      </c>
      <c r="C98" s="64" t="s">
        <v>16</v>
      </c>
      <c r="D98" s="106">
        <v>4</v>
      </c>
      <c r="E98" s="106">
        <v>4</v>
      </c>
      <c r="F98" s="106">
        <v>3</v>
      </c>
      <c r="G98" s="80">
        <v>877.14300000000003</v>
      </c>
      <c r="H98" s="80">
        <v>904.54100000000005</v>
      </c>
      <c r="I98" s="80">
        <v>904.54100000000005</v>
      </c>
    </row>
    <row r="99" spans="1:9" ht="45" outlineLevel="2" x14ac:dyDescent="0.25">
      <c r="A99" s="105">
        <v>22</v>
      </c>
      <c r="B99" s="65" t="s">
        <v>339</v>
      </c>
      <c r="C99" s="64" t="s">
        <v>16</v>
      </c>
      <c r="D99" s="106">
        <v>19</v>
      </c>
      <c r="E99" s="106">
        <v>19</v>
      </c>
      <c r="F99" s="106">
        <v>14</v>
      </c>
      <c r="G99" s="80">
        <v>2109.0219999999999</v>
      </c>
      <c r="H99" s="80">
        <v>2064.8000000000002</v>
      </c>
      <c r="I99" s="80">
        <v>2064.8000000000002</v>
      </c>
    </row>
    <row r="100" spans="1:9" ht="60" outlineLevel="2" x14ac:dyDescent="0.25">
      <c r="A100" s="105">
        <v>23</v>
      </c>
      <c r="B100" s="65" t="s">
        <v>340</v>
      </c>
      <c r="C100" s="64" t="s">
        <v>16</v>
      </c>
      <c r="D100" s="106">
        <v>87</v>
      </c>
      <c r="E100" s="106">
        <v>87</v>
      </c>
      <c r="F100" s="106">
        <v>87</v>
      </c>
      <c r="G100" s="80">
        <v>53452.63</v>
      </c>
      <c r="H100" s="80">
        <v>52847.964</v>
      </c>
      <c r="I100" s="80">
        <v>52847.964</v>
      </c>
    </row>
    <row r="101" spans="1:9" ht="45" outlineLevel="2" x14ac:dyDescent="0.25">
      <c r="A101" s="105">
        <v>24</v>
      </c>
      <c r="B101" s="65" t="s">
        <v>17</v>
      </c>
      <c r="C101" s="64" t="s">
        <v>16</v>
      </c>
      <c r="D101" s="106">
        <v>41</v>
      </c>
      <c r="E101" s="106">
        <v>41</v>
      </c>
      <c r="F101" s="106">
        <v>41</v>
      </c>
      <c r="G101" s="80">
        <v>28680.59</v>
      </c>
      <c r="H101" s="80">
        <v>31744.919000000002</v>
      </c>
      <c r="I101" s="80">
        <v>31744.919000000002</v>
      </c>
    </row>
    <row r="102" spans="1:9" ht="45" outlineLevel="2" x14ac:dyDescent="0.25">
      <c r="A102" s="105">
        <v>25</v>
      </c>
      <c r="B102" s="65" t="s">
        <v>42</v>
      </c>
      <c r="C102" s="64" t="s">
        <v>16</v>
      </c>
      <c r="D102" s="106">
        <v>2</v>
      </c>
      <c r="E102" s="106">
        <v>2</v>
      </c>
      <c r="F102" s="106">
        <v>2</v>
      </c>
      <c r="G102" s="80">
        <v>467.9</v>
      </c>
      <c r="H102" s="80">
        <v>129.16300000000001</v>
      </c>
      <c r="I102" s="80">
        <v>129.16300000000001</v>
      </c>
    </row>
    <row r="103" spans="1:9" ht="45" outlineLevel="2" x14ac:dyDescent="0.25">
      <c r="A103" s="105">
        <v>26</v>
      </c>
      <c r="B103" s="65" t="s">
        <v>18</v>
      </c>
      <c r="C103" s="64" t="s">
        <v>16</v>
      </c>
      <c r="D103" s="106">
        <v>6</v>
      </c>
      <c r="E103" s="106">
        <v>6</v>
      </c>
      <c r="F103" s="106">
        <v>6</v>
      </c>
      <c r="G103" s="80">
        <v>4201.8</v>
      </c>
      <c r="H103" s="80">
        <v>4833.2669999999998</v>
      </c>
      <c r="I103" s="80">
        <v>4833.2669999999998</v>
      </c>
    </row>
    <row r="104" spans="1:9" ht="75" customHeight="1" outlineLevel="2" x14ac:dyDescent="0.25">
      <c r="A104" s="105">
        <v>27</v>
      </c>
      <c r="B104" s="65" t="s">
        <v>500</v>
      </c>
      <c r="C104" s="64" t="s">
        <v>296</v>
      </c>
      <c r="D104" s="106">
        <v>0</v>
      </c>
      <c r="E104" s="106">
        <v>2</v>
      </c>
      <c r="F104" s="106">
        <v>2</v>
      </c>
      <c r="G104" s="80">
        <v>0</v>
      </c>
      <c r="H104" s="80">
        <v>3098.8</v>
      </c>
      <c r="I104" s="80">
        <v>3098.8</v>
      </c>
    </row>
    <row r="105" spans="1:9" ht="60" customHeight="1" outlineLevel="2" x14ac:dyDescent="0.25">
      <c r="A105" s="105">
        <v>28</v>
      </c>
      <c r="B105" s="65" t="s">
        <v>501</v>
      </c>
      <c r="C105" s="64" t="s">
        <v>16</v>
      </c>
      <c r="D105" s="106">
        <v>13</v>
      </c>
      <c r="E105" s="106">
        <v>11</v>
      </c>
      <c r="F105" s="106">
        <v>11</v>
      </c>
      <c r="G105" s="80">
        <v>2819.24</v>
      </c>
      <c r="H105" s="80">
        <v>2011.12</v>
      </c>
      <c r="I105" s="80">
        <v>2011.12</v>
      </c>
    </row>
    <row r="106" spans="1:9" ht="30" outlineLevel="2" x14ac:dyDescent="0.25">
      <c r="A106" s="105">
        <v>29</v>
      </c>
      <c r="B106" s="65" t="s">
        <v>49</v>
      </c>
      <c r="C106" s="64" t="s">
        <v>16</v>
      </c>
      <c r="D106" s="106">
        <v>26</v>
      </c>
      <c r="E106" s="106">
        <v>26</v>
      </c>
      <c r="F106" s="106">
        <v>26</v>
      </c>
      <c r="G106" s="80">
        <v>4634.4799999999996</v>
      </c>
      <c r="H106" s="80">
        <v>4624.3</v>
      </c>
      <c r="I106" s="80">
        <v>4624.3</v>
      </c>
    </row>
    <row r="107" spans="1:9" ht="60" outlineLevel="2" x14ac:dyDescent="0.25">
      <c r="A107" s="105">
        <v>30</v>
      </c>
      <c r="B107" s="65" t="s">
        <v>48</v>
      </c>
      <c r="C107" s="64" t="s">
        <v>16</v>
      </c>
      <c r="D107" s="106">
        <v>54</v>
      </c>
      <c r="E107" s="106">
        <v>54</v>
      </c>
      <c r="F107" s="106">
        <v>54</v>
      </c>
      <c r="G107" s="80">
        <v>11005.07</v>
      </c>
      <c r="H107" s="80">
        <v>11090.782999999999</v>
      </c>
      <c r="I107" s="80">
        <v>11090.782999999999</v>
      </c>
    </row>
    <row r="108" spans="1:9" ht="60" outlineLevel="2" x14ac:dyDescent="0.25">
      <c r="A108" s="105">
        <v>31</v>
      </c>
      <c r="B108" s="65" t="s">
        <v>34</v>
      </c>
      <c r="C108" s="64" t="s">
        <v>16</v>
      </c>
      <c r="D108" s="106">
        <v>7</v>
      </c>
      <c r="E108" s="106">
        <v>7</v>
      </c>
      <c r="F108" s="106">
        <v>7</v>
      </c>
      <c r="G108" s="80">
        <v>913.29</v>
      </c>
      <c r="H108" s="80">
        <v>803.69</v>
      </c>
      <c r="I108" s="80">
        <v>803.69</v>
      </c>
    </row>
    <row r="109" spans="1:9" ht="45" outlineLevel="2" x14ac:dyDescent="0.25">
      <c r="A109" s="105">
        <v>32</v>
      </c>
      <c r="B109" s="65" t="s">
        <v>17</v>
      </c>
      <c r="C109" s="64" t="s">
        <v>16</v>
      </c>
      <c r="D109" s="106">
        <v>372</v>
      </c>
      <c r="E109" s="106">
        <v>403</v>
      </c>
      <c r="F109" s="106">
        <v>403</v>
      </c>
      <c r="G109" s="80">
        <v>80972.051999999996</v>
      </c>
      <c r="H109" s="80">
        <v>92715.692999999999</v>
      </c>
      <c r="I109" s="80">
        <v>92715.692999999999</v>
      </c>
    </row>
    <row r="110" spans="1:9" ht="45" outlineLevel="2" x14ac:dyDescent="0.25">
      <c r="A110" s="105">
        <v>33</v>
      </c>
      <c r="B110" s="65" t="s">
        <v>42</v>
      </c>
      <c r="C110" s="64" t="s">
        <v>16</v>
      </c>
      <c r="D110" s="106">
        <v>16</v>
      </c>
      <c r="E110" s="106">
        <v>30</v>
      </c>
      <c r="F110" s="106">
        <v>30</v>
      </c>
      <c r="G110" s="80">
        <v>4612.8500000000004</v>
      </c>
      <c r="H110" s="80">
        <v>5557.433</v>
      </c>
      <c r="I110" s="80">
        <v>5557.433</v>
      </c>
    </row>
    <row r="111" spans="1:9" ht="45" outlineLevel="2" x14ac:dyDescent="0.25">
      <c r="A111" s="105">
        <v>34</v>
      </c>
      <c r="B111" s="65" t="s">
        <v>18</v>
      </c>
      <c r="C111" s="64" t="s">
        <v>16</v>
      </c>
      <c r="D111" s="106">
        <v>83</v>
      </c>
      <c r="E111" s="106">
        <v>83</v>
      </c>
      <c r="F111" s="106">
        <v>83</v>
      </c>
      <c r="G111" s="80">
        <v>13947.851000000001</v>
      </c>
      <c r="H111" s="80">
        <v>15078.423000000001</v>
      </c>
      <c r="I111" s="80">
        <v>15078.423000000001</v>
      </c>
    </row>
    <row r="112" spans="1:9" ht="30" outlineLevel="2" x14ac:dyDescent="0.25">
      <c r="A112" s="105">
        <v>35</v>
      </c>
      <c r="B112" s="65" t="s">
        <v>43</v>
      </c>
      <c r="C112" s="64" t="s">
        <v>16</v>
      </c>
      <c r="D112" s="106">
        <v>0</v>
      </c>
      <c r="E112" s="106">
        <v>3</v>
      </c>
      <c r="F112" s="106">
        <v>3</v>
      </c>
      <c r="G112" s="80">
        <v>0</v>
      </c>
      <c r="H112" s="80">
        <v>613.87599999999998</v>
      </c>
      <c r="I112" s="80">
        <v>613.87599999999998</v>
      </c>
    </row>
    <row r="113" spans="1:9" ht="30" outlineLevel="2" x14ac:dyDescent="0.25">
      <c r="A113" s="105">
        <v>36</v>
      </c>
      <c r="B113" s="65" t="s">
        <v>22</v>
      </c>
      <c r="C113" s="64" t="s">
        <v>16</v>
      </c>
      <c r="D113" s="106">
        <v>380</v>
      </c>
      <c r="E113" s="106">
        <v>394</v>
      </c>
      <c r="F113" s="106">
        <v>394</v>
      </c>
      <c r="G113" s="80">
        <v>40715.072999999997</v>
      </c>
      <c r="H113" s="80">
        <v>48855.273000000001</v>
      </c>
      <c r="I113" s="80">
        <v>48855.273000000001</v>
      </c>
    </row>
    <row r="114" spans="1:9" ht="30" outlineLevel="2" x14ac:dyDescent="0.25">
      <c r="A114" s="105">
        <v>37</v>
      </c>
      <c r="B114" s="65" t="s">
        <v>21</v>
      </c>
      <c r="C114" s="64" t="s">
        <v>16</v>
      </c>
      <c r="D114" s="106">
        <v>37</v>
      </c>
      <c r="E114" s="106">
        <v>34</v>
      </c>
      <c r="F114" s="106">
        <v>34</v>
      </c>
      <c r="G114" s="80">
        <v>3726.35</v>
      </c>
      <c r="H114" s="80">
        <v>3936.4</v>
      </c>
      <c r="I114" s="80">
        <v>3936.4</v>
      </c>
    </row>
    <row r="115" spans="1:9" ht="30" outlineLevel="2" x14ac:dyDescent="0.25">
      <c r="A115" s="105">
        <v>38</v>
      </c>
      <c r="B115" s="65" t="s">
        <v>20</v>
      </c>
      <c r="C115" s="64" t="s">
        <v>16</v>
      </c>
      <c r="D115" s="106">
        <v>45</v>
      </c>
      <c r="E115" s="106">
        <v>41</v>
      </c>
      <c r="F115" s="106">
        <v>41</v>
      </c>
      <c r="G115" s="80">
        <v>10863.2</v>
      </c>
      <c r="H115" s="80">
        <v>18492.323</v>
      </c>
      <c r="I115" s="80">
        <v>18492.323</v>
      </c>
    </row>
    <row r="116" spans="1:9" ht="75" outlineLevel="2" x14ac:dyDescent="0.25">
      <c r="A116" s="105">
        <v>39</v>
      </c>
      <c r="B116" s="65" t="s">
        <v>52</v>
      </c>
      <c r="C116" s="64" t="s">
        <v>16</v>
      </c>
      <c r="D116" s="106">
        <v>12</v>
      </c>
      <c r="E116" s="106">
        <v>12</v>
      </c>
      <c r="F116" s="106">
        <v>12</v>
      </c>
      <c r="G116" s="80">
        <v>10062.6</v>
      </c>
      <c r="H116" s="80">
        <v>11443.9</v>
      </c>
      <c r="I116" s="80">
        <v>11443.9</v>
      </c>
    </row>
    <row r="117" spans="1:9" ht="30" outlineLevel="2" x14ac:dyDescent="0.25">
      <c r="A117" s="105">
        <v>40</v>
      </c>
      <c r="B117" s="65" t="s">
        <v>15</v>
      </c>
      <c r="C117" s="64" t="s">
        <v>16</v>
      </c>
      <c r="D117" s="106">
        <v>94</v>
      </c>
      <c r="E117" s="106">
        <v>115</v>
      </c>
      <c r="F117" s="106">
        <v>115</v>
      </c>
      <c r="G117" s="80">
        <v>15702.9</v>
      </c>
      <c r="H117" s="80">
        <v>20191.873</v>
      </c>
      <c r="I117" s="80">
        <v>20191.873</v>
      </c>
    </row>
    <row r="118" spans="1:9" ht="45" outlineLevel="2" x14ac:dyDescent="0.25">
      <c r="A118" s="105">
        <v>41</v>
      </c>
      <c r="B118" s="65" t="s">
        <v>19</v>
      </c>
      <c r="C118" s="64" t="s">
        <v>16</v>
      </c>
      <c r="D118" s="106">
        <v>100</v>
      </c>
      <c r="E118" s="106">
        <v>109</v>
      </c>
      <c r="F118" s="106">
        <v>109</v>
      </c>
      <c r="G118" s="80">
        <v>17508.599999999999</v>
      </c>
      <c r="H118" s="80">
        <v>27176.262999999999</v>
      </c>
      <c r="I118" s="80">
        <v>27176.262999999999</v>
      </c>
    </row>
    <row r="119" spans="1:9" ht="45" outlineLevel="2" x14ac:dyDescent="0.25">
      <c r="A119" s="105">
        <v>42</v>
      </c>
      <c r="B119" s="65" t="s">
        <v>45</v>
      </c>
      <c r="C119" s="64" t="s">
        <v>16</v>
      </c>
      <c r="D119" s="106">
        <v>19</v>
      </c>
      <c r="E119" s="106">
        <v>19</v>
      </c>
      <c r="F119" s="106">
        <v>19</v>
      </c>
      <c r="G119" s="80">
        <v>5399.34</v>
      </c>
      <c r="H119" s="80">
        <v>6108.52</v>
      </c>
      <c r="I119" s="80">
        <v>6108.52</v>
      </c>
    </row>
    <row r="120" spans="1:9" ht="60" outlineLevel="2" x14ac:dyDescent="0.25">
      <c r="A120" s="105">
        <v>43</v>
      </c>
      <c r="B120" s="65" t="s">
        <v>53</v>
      </c>
      <c r="C120" s="64" t="s">
        <v>16</v>
      </c>
      <c r="D120" s="106">
        <v>0</v>
      </c>
      <c r="E120" s="106">
        <v>0</v>
      </c>
      <c r="F120" s="106">
        <v>0</v>
      </c>
      <c r="G120" s="80">
        <v>0</v>
      </c>
      <c r="H120" s="80">
        <v>0</v>
      </c>
      <c r="I120" s="80">
        <v>0</v>
      </c>
    </row>
    <row r="121" spans="1:9" x14ac:dyDescent="0.25">
      <c r="A121" s="66"/>
      <c r="B121" s="67" t="s">
        <v>0</v>
      </c>
      <c r="C121" s="60"/>
      <c r="D121" s="60"/>
      <c r="E121" s="60"/>
      <c r="F121" s="60"/>
      <c r="G121" s="122">
        <f>SUM(G77:G120)</f>
        <v>907863.42699999991</v>
      </c>
      <c r="H121" s="122">
        <f>SUM(H77:H120)</f>
        <v>1012431.3260000001</v>
      </c>
      <c r="I121" s="122">
        <f>SUM(I77:I120)</f>
        <v>1012431.3260000001</v>
      </c>
    </row>
    <row r="122" spans="1:9" ht="14.45" customHeight="1" x14ac:dyDescent="0.25">
      <c r="A122" s="160" t="s">
        <v>268</v>
      </c>
      <c r="B122" s="160"/>
      <c r="C122" s="160"/>
      <c r="D122" s="160"/>
      <c r="E122" s="160"/>
      <c r="F122" s="160"/>
      <c r="G122" s="160"/>
      <c r="H122" s="160"/>
      <c r="I122" s="160"/>
    </row>
    <row r="123" spans="1:9" ht="45" outlineLevel="1" x14ac:dyDescent="0.25">
      <c r="A123" s="74" t="s">
        <v>287</v>
      </c>
      <c r="B123" s="65" t="s">
        <v>282</v>
      </c>
      <c r="C123" s="68" t="s">
        <v>14</v>
      </c>
      <c r="D123" s="74">
        <v>1229</v>
      </c>
      <c r="E123" s="74">
        <v>1359</v>
      </c>
      <c r="F123" s="89">
        <v>1372</v>
      </c>
      <c r="G123" s="64">
        <v>32596.010999999999</v>
      </c>
      <c r="H123" s="64">
        <v>36028.531000000003</v>
      </c>
      <c r="I123" s="64">
        <v>36028.531000000003</v>
      </c>
    </row>
    <row r="124" spans="1:9" ht="60" outlineLevel="1" x14ac:dyDescent="0.25">
      <c r="A124" s="74" t="s">
        <v>288</v>
      </c>
      <c r="B124" s="65" t="s">
        <v>283</v>
      </c>
      <c r="C124" s="64" t="s">
        <v>14</v>
      </c>
      <c r="D124" s="74">
        <v>607</v>
      </c>
      <c r="E124" s="74">
        <v>607</v>
      </c>
      <c r="F124" s="89">
        <v>612</v>
      </c>
      <c r="G124" s="64">
        <v>16172.723</v>
      </c>
      <c r="H124" s="64">
        <v>16172.723</v>
      </c>
      <c r="I124" s="64">
        <v>16172.723</v>
      </c>
    </row>
    <row r="125" spans="1:9" ht="195" outlineLevel="1" x14ac:dyDescent="0.25">
      <c r="A125" s="74" t="s">
        <v>289</v>
      </c>
      <c r="B125" s="65" t="s">
        <v>284</v>
      </c>
      <c r="C125" s="64" t="s">
        <v>14</v>
      </c>
      <c r="D125" s="74">
        <v>592</v>
      </c>
      <c r="E125" s="74">
        <v>722</v>
      </c>
      <c r="F125" s="89">
        <v>729</v>
      </c>
      <c r="G125" s="64">
        <v>15631.168</v>
      </c>
      <c r="H125" s="64">
        <v>19063.687999999998</v>
      </c>
      <c r="I125" s="64">
        <v>19063.687999999998</v>
      </c>
    </row>
    <row r="126" spans="1:9" ht="60" outlineLevel="1" x14ac:dyDescent="0.25">
      <c r="A126" s="74" t="s">
        <v>290</v>
      </c>
      <c r="B126" s="65" t="s">
        <v>285</v>
      </c>
      <c r="C126" s="64" t="s">
        <v>286</v>
      </c>
      <c r="D126" s="74">
        <v>30</v>
      </c>
      <c r="E126" s="74">
        <v>30</v>
      </c>
      <c r="F126" s="89">
        <v>31</v>
      </c>
      <c r="G126" s="64">
        <v>792.12</v>
      </c>
      <c r="H126" s="64">
        <v>792.12</v>
      </c>
      <c r="I126" s="85">
        <v>792.12</v>
      </c>
    </row>
    <row r="127" spans="1:9" ht="30" outlineLevel="1" x14ac:dyDescent="0.25">
      <c r="A127" s="74" t="s">
        <v>291</v>
      </c>
      <c r="B127" s="65" t="s">
        <v>188</v>
      </c>
      <c r="C127" s="64" t="s">
        <v>189</v>
      </c>
      <c r="D127" s="74">
        <v>6698</v>
      </c>
      <c r="E127" s="74">
        <v>6698</v>
      </c>
      <c r="F127" s="89">
        <v>6720</v>
      </c>
      <c r="G127" s="64">
        <v>703.32799999999997</v>
      </c>
      <c r="H127" s="64">
        <v>703.32799999999997</v>
      </c>
      <c r="I127" s="64">
        <v>703.32799999999997</v>
      </c>
    </row>
    <row r="128" spans="1:9" ht="105" outlineLevel="1" x14ac:dyDescent="0.25">
      <c r="A128" s="74" t="s">
        <v>292</v>
      </c>
      <c r="B128" s="65" t="s">
        <v>190</v>
      </c>
      <c r="C128" s="64" t="s">
        <v>14</v>
      </c>
      <c r="D128" s="74">
        <v>10496</v>
      </c>
      <c r="E128" s="74">
        <v>10496</v>
      </c>
      <c r="F128" s="89">
        <v>10496</v>
      </c>
      <c r="G128" s="64">
        <v>16258.304</v>
      </c>
      <c r="H128" s="64">
        <v>16258.304</v>
      </c>
      <c r="I128" s="64">
        <v>16258.304</v>
      </c>
    </row>
    <row r="129" spans="1:9" outlineLevel="1" x14ac:dyDescent="0.25">
      <c r="A129" s="74" t="s">
        <v>408</v>
      </c>
      <c r="B129" s="65" t="s">
        <v>192</v>
      </c>
      <c r="C129" s="64" t="s">
        <v>14</v>
      </c>
      <c r="D129" s="74">
        <v>0</v>
      </c>
      <c r="E129" s="74">
        <v>47</v>
      </c>
      <c r="F129" s="89">
        <v>47</v>
      </c>
      <c r="G129" s="64" t="s">
        <v>58</v>
      </c>
      <c r="H129" s="64">
        <v>347.61200000000002</v>
      </c>
      <c r="I129" s="64">
        <v>347.61200000000002</v>
      </c>
    </row>
    <row r="130" spans="1:9" outlineLevel="1" x14ac:dyDescent="0.25">
      <c r="A130" s="74">
        <v>5</v>
      </c>
      <c r="B130" s="84" t="s">
        <v>249</v>
      </c>
      <c r="C130" s="64"/>
      <c r="D130" s="74"/>
      <c r="E130" s="74"/>
      <c r="F130" s="89"/>
      <c r="G130" s="64"/>
      <c r="H130" s="64"/>
      <c r="I130" s="64"/>
    </row>
    <row r="131" spans="1:9" ht="75" outlineLevel="1" x14ac:dyDescent="0.25">
      <c r="A131" s="74" t="s">
        <v>409</v>
      </c>
      <c r="B131" s="83" t="s">
        <v>195</v>
      </c>
      <c r="C131" s="64" t="s">
        <v>57</v>
      </c>
      <c r="D131" s="74">
        <v>7</v>
      </c>
      <c r="E131" s="74">
        <v>7</v>
      </c>
      <c r="F131" s="89">
        <v>7</v>
      </c>
      <c r="G131" s="64">
        <v>469</v>
      </c>
      <c r="H131" s="64">
        <v>469</v>
      </c>
      <c r="I131" s="64">
        <v>469</v>
      </c>
    </row>
    <row r="132" spans="1:9" ht="60" outlineLevel="1" x14ac:dyDescent="0.25">
      <c r="A132" s="74" t="s">
        <v>410</v>
      </c>
      <c r="B132" s="83" t="s">
        <v>196</v>
      </c>
      <c r="C132" s="64" t="s">
        <v>57</v>
      </c>
      <c r="D132" s="74">
        <v>1</v>
      </c>
      <c r="E132" s="74">
        <v>1</v>
      </c>
      <c r="F132" s="89">
        <v>1</v>
      </c>
      <c r="G132" s="64">
        <v>400</v>
      </c>
      <c r="H132" s="64">
        <v>400</v>
      </c>
      <c r="I132" s="64">
        <v>400</v>
      </c>
    </row>
    <row r="133" spans="1:9" ht="90" outlineLevel="1" x14ac:dyDescent="0.25">
      <c r="A133" s="74" t="s">
        <v>411</v>
      </c>
      <c r="B133" s="65" t="s">
        <v>649</v>
      </c>
      <c r="C133" s="64" t="s">
        <v>57</v>
      </c>
      <c r="D133" s="74">
        <v>1</v>
      </c>
      <c r="E133" s="74">
        <v>1</v>
      </c>
      <c r="F133" s="89">
        <v>1</v>
      </c>
      <c r="G133" s="64" t="s">
        <v>58</v>
      </c>
      <c r="H133" s="64">
        <v>100</v>
      </c>
      <c r="I133" s="64">
        <v>100</v>
      </c>
    </row>
    <row r="134" spans="1:9" x14ac:dyDescent="0.25">
      <c r="A134" s="69"/>
      <c r="B134" s="70" t="s">
        <v>0</v>
      </c>
      <c r="C134" s="68"/>
      <c r="D134" s="68"/>
      <c r="E134" s="68"/>
      <c r="F134" s="68"/>
      <c r="G134" s="122">
        <f>G123+G127+G128+SUM(G131:G133)</f>
        <v>50426.642999999996</v>
      </c>
      <c r="H134" s="122">
        <f>H123+H127+H128+H129+SUM(H131:H133)</f>
        <v>54306.775000000001</v>
      </c>
      <c r="I134" s="122">
        <f>I123+I127+I128+I129+SUM(I131:I133)</f>
        <v>54306.775000000001</v>
      </c>
    </row>
    <row r="135" spans="1:9" ht="14.45" customHeight="1" x14ac:dyDescent="0.25">
      <c r="A135" s="157" t="s">
        <v>60</v>
      </c>
      <c r="B135" s="158"/>
      <c r="C135" s="158"/>
      <c r="D135" s="158"/>
      <c r="E135" s="158"/>
      <c r="F135" s="158"/>
      <c r="G135" s="158"/>
      <c r="H135" s="158"/>
      <c r="I135" s="159"/>
    </row>
    <row r="136" spans="1:9" ht="90" outlineLevel="1" x14ac:dyDescent="0.25">
      <c r="A136" s="105">
        <v>1</v>
      </c>
      <c r="B136" s="62" t="s">
        <v>435</v>
      </c>
      <c r="C136" s="103" t="s">
        <v>436</v>
      </c>
      <c r="D136" s="91" t="s">
        <v>437</v>
      </c>
      <c r="E136" s="91" t="s">
        <v>438</v>
      </c>
      <c r="F136" s="64" t="s">
        <v>439</v>
      </c>
      <c r="G136" s="64">
        <v>48003.600934663584</v>
      </c>
      <c r="H136" s="64">
        <v>57745.203000000001</v>
      </c>
      <c r="I136" s="64">
        <v>57745.203000000001</v>
      </c>
    </row>
    <row r="137" spans="1:9" ht="45" outlineLevel="1" x14ac:dyDescent="0.25">
      <c r="A137" s="105">
        <v>2</v>
      </c>
      <c r="B137" s="62" t="s">
        <v>327</v>
      </c>
      <c r="C137" s="103" t="s">
        <v>440</v>
      </c>
      <c r="D137" s="74" t="s">
        <v>441</v>
      </c>
      <c r="E137" s="74" t="s">
        <v>442</v>
      </c>
      <c r="F137" s="74" t="s">
        <v>443</v>
      </c>
      <c r="G137" s="64">
        <v>77426.301507544063</v>
      </c>
      <c r="H137" s="64">
        <v>113768.702</v>
      </c>
      <c r="I137" s="64">
        <v>113768.702</v>
      </c>
    </row>
    <row r="138" spans="1:9" ht="60" outlineLevel="1" x14ac:dyDescent="0.25">
      <c r="A138" s="105">
        <v>3</v>
      </c>
      <c r="B138" s="62" t="s">
        <v>328</v>
      </c>
      <c r="C138" s="103" t="s">
        <v>444</v>
      </c>
      <c r="D138" s="91" t="s">
        <v>445</v>
      </c>
      <c r="E138" s="91" t="s">
        <v>446</v>
      </c>
      <c r="F138" s="91" t="s">
        <v>447</v>
      </c>
      <c r="G138" s="64">
        <v>10700.300208342307</v>
      </c>
      <c r="H138" s="64">
        <v>11135.2</v>
      </c>
      <c r="I138" s="64">
        <v>11135.2</v>
      </c>
    </row>
    <row r="139" spans="1:9" ht="60" outlineLevel="1" x14ac:dyDescent="0.25">
      <c r="A139" s="105">
        <v>4</v>
      </c>
      <c r="B139" s="62" t="s">
        <v>329</v>
      </c>
      <c r="C139" s="103" t="s">
        <v>448</v>
      </c>
      <c r="D139" s="91" t="s">
        <v>449</v>
      </c>
      <c r="E139" s="91" t="s">
        <v>449</v>
      </c>
      <c r="F139" s="91" t="s">
        <v>449</v>
      </c>
      <c r="G139" s="64">
        <v>2546.4700495815473</v>
      </c>
      <c r="H139" s="64">
        <v>2546.5</v>
      </c>
      <c r="I139" s="64">
        <v>2546.5</v>
      </c>
    </row>
    <row r="140" spans="1:9" ht="60" outlineLevel="1" x14ac:dyDescent="0.25">
      <c r="A140" s="105">
        <v>5</v>
      </c>
      <c r="B140" s="62" t="s">
        <v>325</v>
      </c>
      <c r="C140" s="103" t="s">
        <v>450</v>
      </c>
      <c r="D140" s="91" t="s">
        <v>451</v>
      </c>
      <c r="E140" s="91" t="s">
        <v>452</v>
      </c>
      <c r="F140" s="91" t="s">
        <v>453</v>
      </c>
      <c r="G140" s="64">
        <v>107558.0020942293</v>
      </c>
      <c r="H140" s="64">
        <v>114578.1</v>
      </c>
      <c r="I140" s="64">
        <v>114578.1</v>
      </c>
    </row>
    <row r="141" spans="1:9" ht="45" outlineLevel="1" x14ac:dyDescent="0.25">
      <c r="A141" s="105">
        <v>6</v>
      </c>
      <c r="B141" s="62" t="s">
        <v>326</v>
      </c>
      <c r="C141" s="103" t="s">
        <v>218</v>
      </c>
      <c r="D141" s="91" t="s">
        <v>454</v>
      </c>
      <c r="E141" s="91" t="s">
        <v>455</v>
      </c>
      <c r="F141" s="91" t="s">
        <v>456</v>
      </c>
      <c r="G141" s="64">
        <v>10561.470205639189</v>
      </c>
      <c r="H141" s="64">
        <v>10561.5</v>
      </c>
      <c r="I141" s="64">
        <v>10561.5</v>
      </c>
    </row>
    <row r="142" spans="1:9" x14ac:dyDescent="0.25">
      <c r="A142" s="17"/>
      <c r="B142" s="67" t="s">
        <v>0</v>
      </c>
      <c r="C142" s="60"/>
      <c r="D142" s="17"/>
      <c r="E142" s="17"/>
      <c r="F142" s="17"/>
      <c r="G142" s="123">
        <f>SUM(G136:G141)</f>
        <v>256796.14500000002</v>
      </c>
      <c r="H142" s="122">
        <f>SUM(H136:H141)</f>
        <v>310335.20500000002</v>
      </c>
      <c r="I142" s="122">
        <f>SUM(I136:I141)</f>
        <v>310335.20500000002</v>
      </c>
    </row>
    <row r="143" spans="1:9" ht="14.45" customHeight="1" x14ac:dyDescent="0.25">
      <c r="A143" s="157" t="s">
        <v>253</v>
      </c>
      <c r="B143" s="158"/>
      <c r="C143" s="158"/>
      <c r="D143" s="158"/>
      <c r="E143" s="158"/>
      <c r="F143" s="158"/>
      <c r="G143" s="158"/>
      <c r="H143" s="158"/>
      <c r="I143" s="159"/>
    </row>
    <row r="144" spans="1:9" ht="60" outlineLevel="1" x14ac:dyDescent="0.25">
      <c r="A144" s="86">
        <v>1</v>
      </c>
      <c r="B144" s="71" t="s">
        <v>131</v>
      </c>
      <c r="C144" s="92" t="s">
        <v>412</v>
      </c>
      <c r="D144" s="93">
        <v>4801286</v>
      </c>
      <c r="E144" s="93">
        <v>4864137</v>
      </c>
      <c r="F144" s="93">
        <v>4868930</v>
      </c>
      <c r="G144" s="175">
        <v>1678467.86</v>
      </c>
      <c r="H144" s="175">
        <v>1755404.78</v>
      </c>
      <c r="I144" s="175">
        <v>1755404.78</v>
      </c>
    </row>
    <row r="145" spans="1:9" ht="60" outlineLevel="1" x14ac:dyDescent="0.25">
      <c r="A145" s="86">
        <v>2</v>
      </c>
      <c r="B145" s="71" t="s">
        <v>413</v>
      </c>
      <c r="C145" s="92" t="s">
        <v>412</v>
      </c>
      <c r="D145" s="93">
        <v>296990</v>
      </c>
      <c r="E145" s="93">
        <v>307221</v>
      </c>
      <c r="F145" s="93">
        <v>321318</v>
      </c>
      <c r="G145" s="176"/>
      <c r="H145" s="176"/>
      <c r="I145" s="176"/>
    </row>
    <row r="146" spans="1:9" ht="45" outlineLevel="1" x14ac:dyDescent="0.25">
      <c r="A146" s="86">
        <v>3</v>
      </c>
      <c r="B146" s="71" t="s">
        <v>341</v>
      </c>
      <c r="C146" s="92" t="s">
        <v>412</v>
      </c>
      <c r="D146" s="93">
        <v>4183</v>
      </c>
      <c r="E146" s="93">
        <v>3000</v>
      </c>
      <c r="F146" s="93">
        <v>3307</v>
      </c>
      <c r="G146" s="92">
        <v>2208.68012</v>
      </c>
      <c r="H146" s="92">
        <v>1584.21</v>
      </c>
      <c r="I146" s="92">
        <v>1584.21</v>
      </c>
    </row>
    <row r="147" spans="1:9" x14ac:dyDescent="0.25">
      <c r="A147" s="17"/>
      <c r="B147" s="67" t="s">
        <v>0</v>
      </c>
      <c r="C147" s="60"/>
      <c r="D147" s="17"/>
      <c r="E147" s="17"/>
      <c r="F147" s="17"/>
      <c r="G147" s="122">
        <f>SUM(G144:G146)</f>
        <v>1680676.54012</v>
      </c>
      <c r="H147" s="122">
        <f t="shared" ref="H147:I147" si="6">SUM(H144:H146)</f>
        <v>1756988.99</v>
      </c>
      <c r="I147" s="122">
        <f t="shared" si="6"/>
        <v>1756988.99</v>
      </c>
    </row>
    <row r="148" spans="1:9" ht="14.45" customHeight="1" x14ac:dyDescent="0.25">
      <c r="A148" s="157" t="s">
        <v>266</v>
      </c>
      <c r="B148" s="158"/>
      <c r="C148" s="158"/>
      <c r="D148" s="158"/>
      <c r="E148" s="158"/>
      <c r="F148" s="158"/>
      <c r="G148" s="158"/>
      <c r="H148" s="158"/>
      <c r="I148" s="158"/>
    </row>
    <row r="149" spans="1:9" ht="45" outlineLevel="1" x14ac:dyDescent="0.25">
      <c r="A149" s="74">
        <v>1</v>
      </c>
      <c r="B149" s="65" t="s">
        <v>133</v>
      </c>
      <c r="C149" s="64" t="s">
        <v>134</v>
      </c>
      <c r="D149" s="64">
        <v>40180</v>
      </c>
      <c r="E149" s="64">
        <v>40180</v>
      </c>
      <c r="F149" s="64">
        <v>42746</v>
      </c>
      <c r="G149" s="64">
        <v>121343.6</v>
      </c>
      <c r="H149" s="64">
        <v>121343.6</v>
      </c>
      <c r="I149" s="64">
        <v>121343.6</v>
      </c>
    </row>
    <row r="150" spans="1:9" ht="60" outlineLevel="1" x14ac:dyDescent="0.25">
      <c r="A150" s="74">
        <v>2</v>
      </c>
      <c r="B150" s="65" t="s">
        <v>305</v>
      </c>
      <c r="C150" s="64" t="s">
        <v>134</v>
      </c>
      <c r="D150" s="64">
        <v>2905</v>
      </c>
      <c r="E150" s="64">
        <v>2905</v>
      </c>
      <c r="F150" s="64">
        <v>2908</v>
      </c>
      <c r="G150" s="64">
        <v>163073.5</v>
      </c>
      <c r="H150" s="64">
        <v>164719</v>
      </c>
      <c r="I150" s="64">
        <v>164719</v>
      </c>
    </row>
    <row r="151" spans="1:9" ht="75" outlineLevel="1" x14ac:dyDescent="0.25">
      <c r="A151" s="74">
        <v>3</v>
      </c>
      <c r="B151" s="65" t="s">
        <v>136</v>
      </c>
      <c r="C151" s="64" t="s">
        <v>137</v>
      </c>
      <c r="D151" s="64">
        <v>53314</v>
      </c>
      <c r="E151" s="64">
        <v>52573</v>
      </c>
      <c r="F151" s="64">
        <v>54813</v>
      </c>
      <c r="G151" s="64">
        <v>50392.5</v>
      </c>
      <c r="H151" s="64">
        <v>50022</v>
      </c>
      <c r="I151" s="64">
        <v>50022</v>
      </c>
    </row>
    <row r="152" spans="1:9" ht="75" outlineLevel="1" x14ac:dyDescent="0.25">
      <c r="A152" s="74">
        <v>4</v>
      </c>
      <c r="B152" s="65" t="s">
        <v>136</v>
      </c>
      <c r="C152" s="64" t="s">
        <v>306</v>
      </c>
      <c r="D152" s="64">
        <v>34373</v>
      </c>
      <c r="E152" s="64">
        <v>34378</v>
      </c>
      <c r="F152" s="64">
        <v>34966</v>
      </c>
      <c r="G152" s="64">
        <v>54067.3</v>
      </c>
      <c r="H152" s="64">
        <v>54072.2</v>
      </c>
      <c r="I152" s="64">
        <v>54072.2</v>
      </c>
    </row>
    <row r="153" spans="1:9" ht="90" outlineLevel="1" x14ac:dyDescent="0.25">
      <c r="A153" s="74">
        <v>5</v>
      </c>
      <c r="B153" s="65" t="s">
        <v>138</v>
      </c>
      <c r="C153" s="64" t="s">
        <v>137</v>
      </c>
      <c r="D153" s="64">
        <v>17450</v>
      </c>
      <c r="E153" s="64">
        <v>17450</v>
      </c>
      <c r="F153" s="64">
        <v>25538</v>
      </c>
      <c r="G153" s="64">
        <v>9737.1</v>
      </c>
      <c r="H153" s="64">
        <v>9737.1</v>
      </c>
      <c r="I153" s="64">
        <v>9737.1</v>
      </c>
    </row>
    <row r="154" spans="1:9" ht="45" outlineLevel="1" x14ac:dyDescent="0.25">
      <c r="A154" s="74">
        <v>6</v>
      </c>
      <c r="B154" s="65" t="s">
        <v>307</v>
      </c>
      <c r="C154" s="64" t="s">
        <v>137</v>
      </c>
      <c r="D154" s="64">
        <v>150313</v>
      </c>
      <c r="E154" s="64">
        <v>150424</v>
      </c>
      <c r="F154" s="64">
        <v>156667</v>
      </c>
      <c r="G154" s="64">
        <v>118926.1</v>
      </c>
      <c r="H154" s="64">
        <v>122811</v>
      </c>
      <c r="I154" s="64">
        <v>122811</v>
      </c>
    </row>
    <row r="155" spans="1:9" ht="45" outlineLevel="1" x14ac:dyDescent="0.25">
      <c r="A155" s="74">
        <v>7</v>
      </c>
      <c r="B155" s="65" t="s">
        <v>307</v>
      </c>
      <c r="C155" s="64" t="s">
        <v>306</v>
      </c>
      <c r="D155" s="64">
        <v>19609</v>
      </c>
      <c r="E155" s="64">
        <v>19572</v>
      </c>
      <c r="F155" s="64">
        <v>22682</v>
      </c>
      <c r="G155" s="64">
        <v>35780.400000000001</v>
      </c>
      <c r="H155" s="64">
        <v>36719.199999999997</v>
      </c>
      <c r="I155" s="64">
        <v>36719.199999999997</v>
      </c>
    </row>
    <row r="156" spans="1:9" ht="30" outlineLevel="1" x14ac:dyDescent="0.25">
      <c r="A156" s="74">
        <v>8</v>
      </c>
      <c r="B156" s="65" t="s">
        <v>308</v>
      </c>
      <c r="C156" s="64" t="s">
        <v>137</v>
      </c>
      <c r="D156" s="64">
        <v>125794</v>
      </c>
      <c r="E156" s="64">
        <v>126253</v>
      </c>
      <c r="F156" s="64">
        <v>138647</v>
      </c>
      <c r="G156" s="64">
        <v>79250.2</v>
      </c>
      <c r="H156" s="64">
        <v>79539.399999999994</v>
      </c>
      <c r="I156" s="64">
        <v>79539.399999999994</v>
      </c>
    </row>
    <row r="157" spans="1:9" ht="30" outlineLevel="1" x14ac:dyDescent="0.25">
      <c r="A157" s="74">
        <v>9</v>
      </c>
      <c r="B157" s="65" t="s">
        <v>308</v>
      </c>
      <c r="C157" s="64" t="s">
        <v>306</v>
      </c>
      <c r="D157" s="64">
        <v>52382</v>
      </c>
      <c r="E157" s="64">
        <v>52292</v>
      </c>
      <c r="F157" s="64">
        <v>55702</v>
      </c>
      <c r="G157" s="64">
        <v>59401.2</v>
      </c>
      <c r="H157" s="64">
        <v>59299.1</v>
      </c>
      <c r="I157" s="64">
        <v>59299.1</v>
      </c>
    </row>
    <row r="158" spans="1:9" ht="60" outlineLevel="1" x14ac:dyDescent="0.25">
      <c r="A158" s="74">
        <v>10</v>
      </c>
      <c r="B158" s="65" t="s">
        <v>141</v>
      </c>
      <c r="C158" s="64" t="s">
        <v>137</v>
      </c>
      <c r="D158" s="64">
        <v>38823</v>
      </c>
      <c r="E158" s="64">
        <v>74301</v>
      </c>
      <c r="F158" s="64">
        <v>83567</v>
      </c>
      <c r="G158" s="64">
        <v>37270.1</v>
      </c>
      <c r="H158" s="64">
        <v>119733.7</v>
      </c>
      <c r="I158" s="64">
        <v>119733.7</v>
      </c>
    </row>
    <row r="159" spans="1:9" ht="15" customHeight="1" outlineLevel="1" x14ac:dyDescent="0.25">
      <c r="A159" s="74">
        <v>11</v>
      </c>
      <c r="B159" s="65" t="s">
        <v>141</v>
      </c>
      <c r="C159" s="64" t="s">
        <v>306</v>
      </c>
      <c r="D159" s="64">
        <v>14424</v>
      </c>
      <c r="E159" s="64">
        <v>18801</v>
      </c>
      <c r="F159" s="64">
        <v>21430</v>
      </c>
      <c r="G159" s="64">
        <v>24924.5</v>
      </c>
      <c r="H159" s="64">
        <v>46227.6</v>
      </c>
      <c r="I159" s="64">
        <v>46227.6</v>
      </c>
    </row>
    <row r="160" spans="1:9" ht="15" customHeight="1" outlineLevel="1" x14ac:dyDescent="0.25">
      <c r="A160" s="74">
        <v>12</v>
      </c>
      <c r="B160" s="65" t="s">
        <v>142</v>
      </c>
      <c r="C160" s="64" t="s">
        <v>137</v>
      </c>
      <c r="D160" s="64">
        <v>44154</v>
      </c>
      <c r="E160" s="64">
        <v>44153</v>
      </c>
      <c r="F160" s="64">
        <v>41751</v>
      </c>
      <c r="G160" s="64">
        <v>27817</v>
      </c>
      <c r="H160" s="64">
        <v>27816.400000000001</v>
      </c>
      <c r="I160" s="64">
        <v>27816.400000000001</v>
      </c>
    </row>
    <row r="161" spans="1:9" ht="15" customHeight="1" outlineLevel="1" x14ac:dyDescent="0.25">
      <c r="A161" s="74">
        <v>13</v>
      </c>
      <c r="B161" s="65" t="s">
        <v>143</v>
      </c>
      <c r="C161" s="64" t="s">
        <v>137</v>
      </c>
      <c r="D161" s="64">
        <v>4000</v>
      </c>
      <c r="E161" s="64">
        <v>4000</v>
      </c>
      <c r="F161" s="64">
        <v>4000</v>
      </c>
      <c r="G161" s="64">
        <v>41520</v>
      </c>
      <c r="H161" s="64">
        <v>41520</v>
      </c>
      <c r="I161" s="64">
        <v>41520</v>
      </c>
    </row>
    <row r="162" spans="1:9" ht="15" customHeight="1" outlineLevel="1" x14ac:dyDescent="0.25">
      <c r="A162" s="74">
        <v>14</v>
      </c>
      <c r="B162" s="65" t="s">
        <v>144</v>
      </c>
      <c r="C162" s="64" t="s">
        <v>137</v>
      </c>
      <c r="D162" s="64">
        <v>19044</v>
      </c>
      <c r="E162" s="64">
        <v>19490</v>
      </c>
      <c r="F162" s="64">
        <v>15004</v>
      </c>
      <c r="G162" s="64">
        <v>17711</v>
      </c>
      <c r="H162" s="64">
        <v>18908.3</v>
      </c>
      <c r="I162" s="64">
        <v>18908.3</v>
      </c>
    </row>
    <row r="163" spans="1:9" ht="30" outlineLevel="1" x14ac:dyDescent="0.25">
      <c r="A163" s="74">
        <v>15</v>
      </c>
      <c r="B163" s="65" t="s">
        <v>144</v>
      </c>
      <c r="C163" s="64" t="s">
        <v>306</v>
      </c>
      <c r="D163" s="64">
        <v>9518</v>
      </c>
      <c r="E163" s="64">
        <v>10280</v>
      </c>
      <c r="F163" s="64">
        <v>8098</v>
      </c>
      <c r="G163" s="64">
        <v>15731.6</v>
      </c>
      <c r="H163" s="64">
        <v>19019.7</v>
      </c>
      <c r="I163" s="64">
        <v>19019.7</v>
      </c>
    </row>
    <row r="164" spans="1:9" ht="30" outlineLevel="1" x14ac:dyDescent="0.25">
      <c r="A164" s="74">
        <v>16</v>
      </c>
      <c r="B164" s="65" t="s">
        <v>635</v>
      </c>
      <c r="C164" s="64" t="s">
        <v>137</v>
      </c>
      <c r="D164" s="64">
        <v>0</v>
      </c>
      <c r="E164" s="64">
        <v>197238</v>
      </c>
      <c r="F164" s="64">
        <v>197238</v>
      </c>
      <c r="G164" s="64">
        <v>0</v>
      </c>
      <c r="H164" s="64">
        <v>155200.79999999999</v>
      </c>
      <c r="I164" s="64">
        <v>155200.79999999999</v>
      </c>
    </row>
    <row r="165" spans="1:9" ht="30" outlineLevel="1" x14ac:dyDescent="0.25">
      <c r="A165" s="74">
        <v>17</v>
      </c>
      <c r="B165" s="65" t="s">
        <v>635</v>
      </c>
      <c r="C165" s="64" t="s">
        <v>306</v>
      </c>
      <c r="D165" s="64">
        <v>0</v>
      </c>
      <c r="E165" s="64">
        <v>32075</v>
      </c>
      <c r="F165" s="64">
        <v>32075</v>
      </c>
      <c r="G165" s="64">
        <v>0</v>
      </c>
      <c r="H165" s="64">
        <v>47118.3</v>
      </c>
      <c r="I165" s="64">
        <v>47118.3</v>
      </c>
    </row>
    <row r="166" spans="1:9" outlineLevel="1" x14ac:dyDescent="0.25">
      <c r="A166" s="74">
        <v>18</v>
      </c>
      <c r="B166" s="65" t="s">
        <v>636</v>
      </c>
      <c r="C166" s="64" t="s">
        <v>177</v>
      </c>
      <c r="D166" s="64">
        <v>0</v>
      </c>
      <c r="E166" s="64">
        <v>1894</v>
      </c>
      <c r="F166" s="64">
        <v>1894</v>
      </c>
      <c r="G166" s="64">
        <v>0</v>
      </c>
      <c r="H166" s="64">
        <v>22322.9</v>
      </c>
      <c r="I166" s="64">
        <v>22322.9</v>
      </c>
    </row>
    <row r="167" spans="1:9" ht="60" outlineLevel="1" x14ac:dyDescent="0.25">
      <c r="A167" s="74">
        <v>19</v>
      </c>
      <c r="B167" s="65" t="s">
        <v>146</v>
      </c>
      <c r="C167" s="64" t="s">
        <v>137</v>
      </c>
      <c r="D167" s="64">
        <v>3000</v>
      </c>
      <c r="E167" s="64">
        <v>3000</v>
      </c>
      <c r="F167" s="64">
        <v>3000</v>
      </c>
      <c r="G167" s="64">
        <v>22530</v>
      </c>
      <c r="H167" s="64">
        <v>23366</v>
      </c>
      <c r="I167" s="64">
        <v>23366</v>
      </c>
    </row>
    <row r="168" spans="1:9" ht="60" outlineLevel="1" x14ac:dyDescent="0.25">
      <c r="A168" s="74">
        <v>20</v>
      </c>
      <c r="B168" s="65" t="s">
        <v>147</v>
      </c>
      <c r="C168" s="64" t="s">
        <v>137</v>
      </c>
      <c r="D168" s="64">
        <v>9884</v>
      </c>
      <c r="E168" s="64">
        <v>9884</v>
      </c>
      <c r="F168" s="64">
        <v>10076</v>
      </c>
      <c r="G168" s="64">
        <v>11959.6</v>
      </c>
      <c r="H168" s="64">
        <v>11959.6</v>
      </c>
      <c r="I168" s="64">
        <v>11959.6</v>
      </c>
    </row>
    <row r="169" spans="1:9" ht="30" outlineLevel="1" x14ac:dyDescent="0.25">
      <c r="A169" s="74">
        <v>21</v>
      </c>
      <c r="B169" s="65" t="s">
        <v>148</v>
      </c>
      <c r="C169" s="64" t="s">
        <v>137</v>
      </c>
      <c r="D169" s="64">
        <v>10217</v>
      </c>
      <c r="E169" s="64">
        <v>10217</v>
      </c>
      <c r="F169" s="64">
        <v>10058</v>
      </c>
      <c r="G169" s="64">
        <v>5721.5</v>
      </c>
      <c r="H169" s="64">
        <v>5721.5</v>
      </c>
      <c r="I169" s="64">
        <v>5721.5</v>
      </c>
    </row>
    <row r="170" spans="1:9" ht="45" outlineLevel="1" x14ac:dyDescent="0.25">
      <c r="A170" s="74">
        <v>22</v>
      </c>
      <c r="B170" s="65" t="s">
        <v>309</v>
      </c>
      <c r="C170" s="64" t="s">
        <v>150</v>
      </c>
      <c r="D170" s="64">
        <v>390</v>
      </c>
      <c r="E170" s="64">
        <v>390</v>
      </c>
      <c r="F170" s="64">
        <v>390</v>
      </c>
      <c r="G170" s="64">
        <v>9516</v>
      </c>
      <c r="H170" s="64">
        <v>9516</v>
      </c>
      <c r="I170" s="64">
        <v>9516</v>
      </c>
    </row>
    <row r="171" spans="1:9" ht="30" outlineLevel="1" x14ac:dyDescent="0.25">
      <c r="A171" s="74">
        <v>23</v>
      </c>
      <c r="B171" s="65" t="s">
        <v>151</v>
      </c>
      <c r="C171" s="64" t="s">
        <v>150</v>
      </c>
      <c r="D171" s="64">
        <v>422</v>
      </c>
      <c r="E171" s="64">
        <v>422</v>
      </c>
      <c r="F171" s="64">
        <v>430</v>
      </c>
      <c r="G171" s="64">
        <v>8279.6</v>
      </c>
      <c r="H171" s="64">
        <v>8279.6</v>
      </c>
      <c r="I171" s="64">
        <v>8279.6</v>
      </c>
    </row>
    <row r="172" spans="1:9" ht="30" outlineLevel="1" x14ac:dyDescent="0.25">
      <c r="A172" s="74">
        <v>24</v>
      </c>
      <c r="B172" s="65" t="s">
        <v>152</v>
      </c>
      <c r="C172" s="64" t="s">
        <v>150</v>
      </c>
      <c r="D172" s="64">
        <v>1233</v>
      </c>
      <c r="E172" s="64">
        <v>1233</v>
      </c>
      <c r="F172" s="64">
        <v>1194</v>
      </c>
      <c r="G172" s="64">
        <v>16522.2</v>
      </c>
      <c r="H172" s="64">
        <v>16522.2</v>
      </c>
      <c r="I172" s="64">
        <v>16522.2</v>
      </c>
    </row>
    <row r="173" spans="1:9" ht="30" outlineLevel="1" x14ac:dyDescent="0.25">
      <c r="A173" s="74">
        <v>25</v>
      </c>
      <c r="B173" s="65" t="s">
        <v>637</v>
      </c>
      <c r="C173" s="64" t="s">
        <v>150</v>
      </c>
      <c r="D173" s="64">
        <v>0</v>
      </c>
      <c r="E173" s="64">
        <v>2207</v>
      </c>
      <c r="F173" s="64">
        <v>2192</v>
      </c>
      <c r="G173" s="64">
        <v>0</v>
      </c>
      <c r="H173" s="64">
        <v>27785.8</v>
      </c>
      <c r="I173" s="64">
        <v>27785.8</v>
      </c>
    </row>
    <row r="174" spans="1:9" ht="60" outlineLevel="1" x14ac:dyDescent="0.25">
      <c r="A174" s="74">
        <v>26</v>
      </c>
      <c r="B174" s="65" t="s">
        <v>153</v>
      </c>
      <c r="C174" s="64" t="s">
        <v>154</v>
      </c>
      <c r="D174" s="64">
        <v>916</v>
      </c>
      <c r="E174" s="64">
        <v>916</v>
      </c>
      <c r="F174" s="64">
        <v>916</v>
      </c>
      <c r="G174" s="64">
        <f>295959.6</f>
        <v>295959.59999999998</v>
      </c>
      <c r="H174" s="64">
        <f>295959.6+10839</f>
        <v>306798.59999999998</v>
      </c>
      <c r="I174" s="64">
        <f>295959.6+10839</f>
        <v>306798.59999999998</v>
      </c>
    </row>
    <row r="175" spans="1:9" ht="60" outlineLevel="1" x14ac:dyDescent="0.25">
      <c r="A175" s="74">
        <v>27</v>
      </c>
      <c r="B175" s="65" t="s">
        <v>310</v>
      </c>
      <c r="C175" s="64" t="s">
        <v>154</v>
      </c>
      <c r="D175" s="64">
        <v>65</v>
      </c>
      <c r="E175" s="64">
        <v>65</v>
      </c>
      <c r="F175" s="64">
        <v>65</v>
      </c>
      <c r="G175" s="64">
        <f>12096.5</f>
        <v>12096.5</v>
      </c>
      <c r="H175" s="64">
        <f>12096.5+376.2</f>
        <v>12472.7</v>
      </c>
      <c r="I175" s="64">
        <f>12096.5+376.2</f>
        <v>12472.7</v>
      </c>
    </row>
    <row r="176" spans="1:9" ht="60" outlineLevel="1" x14ac:dyDescent="0.25">
      <c r="A176" s="74">
        <v>28</v>
      </c>
      <c r="B176" s="65" t="s">
        <v>311</v>
      </c>
      <c r="C176" s="64" t="s">
        <v>154</v>
      </c>
      <c r="D176" s="64">
        <v>10</v>
      </c>
      <c r="E176" s="64">
        <v>10</v>
      </c>
      <c r="F176" s="64">
        <v>10</v>
      </c>
      <c r="G176" s="64">
        <f>1417.79</f>
        <v>1417.79</v>
      </c>
      <c r="H176" s="64">
        <f>1417.793+375.9</f>
        <v>1793.6929999999998</v>
      </c>
      <c r="I176" s="64">
        <f>1417.793+375.9</f>
        <v>1793.6929999999998</v>
      </c>
    </row>
    <row r="177" spans="1:9" ht="60" outlineLevel="1" x14ac:dyDescent="0.25">
      <c r="A177" s="74">
        <v>29</v>
      </c>
      <c r="B177" s="65" t="s">
        <v>312</v>
      </c>
      <c r="C177" s="64" t="s">
        <v>154</v>
      </c>
      <c r="D177" s="64">
        <v>35</v>
      </c>
      <c r="E177" s="64">
        <v>35</v>
      </c>
      <c r="F177" s="64">
        <v>35</v>
      </c>
      <c r="G177" s="64">
        <f>8002.61</f>
        <v>8002.61</v>
      </c>
      <c r="H177" s="64">
        <f>8002.61+438.8</f>
        <v>8441.41</v>
      </c>
      <c r="I177" s="64">
        <f>8002.61+438.8</f>
        <v>8441.41</v>
      </c>
    </row>
    <row r="178" spans="1:9" ht="60" outlineLevel="1" x14ac:dyDescent="0.25">
      <c r="A178" s="74">
        <v>30</v>
      </c>
      <c r="B178" s="65" t="s">
        <v>313</v>
      </c>
      <c r="C178" s="64" t="s">
        <v>154</v>
      </c>
      <c r="D178" s="64">
        <v>576</v>
      </c>
      <c r="E178" s="64">
        <v>576</v>
      </c>
      <c r="F178" s="64">
        <v>576</v>
      </c>
      <c r="G178" s="64">
        <f>162107.1</f>
        <v>162107.1</v>
      </c>
      <c r="H178" s="64">
        <f>162107.08+6937.5</f>
        <v>169044.58</v>
      </c>
      <c r="I178" s="64">
        <f>162107.08+6937.5</f>
        <v>169044.58</v>
      </c>
    </row>
    <row r="179" spans="1:9" ht="60" outlineLevel="1" x14ac:dyDescent="0.25">
      <c r="A179" s="74">
        <v>31</v>
      </c>
      <c r="B179" s="65" t="s">
        <v>314</v>
      </c>
      <c r="C179" s="64" t="s">
        <v>154</v>
      </c>
      <c r="D179" s="64">
        <v>520</v>
      </c>
      <c r="E179" s="64">
        <v>520</v>
      </c>
      <c r="F179" s="64">
        <v>520</v>
      </c>
      <c r="G179" s="64">
        <f>79336.4</f>
        <v>79336.399999999994</v>
      </c>
      <c r="H179" s="64">
        <f>79336.4+2268.2</f>
        <v>81604.599999999991</v>
      </c>
      <c r="I179" s="64">
        <f>79336.4+2268.2</f>
        <v>81604.599999999991</v>
      </c>
    </row>
    <row r="180" spans="1:9" ht="60" outlineLevel="1" x14ac:dyDescent="0.25">
      <c r="A180" s="74">
        <v>32</v>
      </c>
      <c r="B180" s="65" t="s">
        <v>315</v>
      </c>
      <c r="C180" s="64" t="s">
        <v>154</v>
      </c>
      <c r="D180" s="64">
        <v>892</v>
      </c>
      <c r="E180" s="64">
        <v>892</v>
      </c>
      <c r="F180" s="64">
        <v>892</v>
      </c>
      <c r="G180" s="64">
        <f>291216.7</f>
        <v>291216.7</v>
      </c>
      <c r="H180" s="64">
        <f>291216.703+7209.8</f>
        <v>298426.50299999997</v>
      </c>
      <c r="I180" s="64">
        <f>291216.703+7209.8</f>
        <v>298426.50299999997</v>
      </c>
    </row>
    <row r="181" spans="1:9" ht="60" outlineLevel="1" x14ac:dyDescent="0.25">
      <c r="A181" s="74">
        <v>33</v>
      </c>
      <c r="B181" s="65" t="s">
        <v>638</v>
      </c>
      <c r="C181" s="64" t="s">
        <v>154</v>
      </c>
      <c r="D181" s="64">
        <v>20</v>
      </c>
      <c r="E181" s="64">
        <v>20</v>
      </c>
      <c r="F181" s="64">
        <v>20</v>
      </c>
      <c r="G181" s="64">
        <f>2854.92</f>
        <v>2854.92</v>
      </c>
      <c r="H181" s="64">
        <f>2854.92+198.9</f>
        <v>3053.82</v>
      </c>
      <c r="I181" s="64">
        <f>2854.92+198.9</f>
        <v>3053.82</v>
      </c>
    </row>
    <row r="182" spans="1:9" ht="60" outlineLevel="1" x14ac:dyDescent="0.25">
      <c r="A182" s="74">
        <v>34</v>
      </c>
      <c r="B182" s="65" t="s">
        <v>639</v>
      </c>
      <c r="C182" s="64" t="s">
        <v>154</v>
      </c>
      <c r="D182" s="64">
        <v>30</v>
      </c>
      <c r="E182" s="64">
        <v>30</v>
      </c>
      <c r="F182" s="64">
        <v>30</v>
      </c>
      <c r="G182" s="64">
        <f>35252.1</f>
        <v>35252.1</v>
      </c>
      <c r="H182" s="64">
        <f>35252.1+3459.6</f>
        <v>38711.699999999997</v>
      </c>
      <c r="I182" s="64">
        <f>35252.1+3459.6</f>
        <v>38711.699999999997</v>
      </c>
    </row>
    <row r="183" spans="1:9" ht="60" outlineLevel="1" x14ac:dyDescent="0.25">
      <c r="A183" s="74">
        <v>35</v>
      </c>
      <c r="B183" s="65" t="s">
        <v>316</v>
      </c>
      <c r="C183" s="64" t="s">
        <v>154</v>
      </c>
      <c r="D183" s="64">
        <v>236</v>
      </c>
      <c r="E183" s="64">
        <v>236</v>
      </c>
      <c r="F183" s="64">
        <v>236</v>
      </c>
      <c r="G183" s="64">
        <f>49692</f>
        <v>49692</v>
      </c>
      <c r="H183" s="64">
        <f>49692+2237.9</f>
        <v>51929.9</v>
      </c>
      <c r="I183" s="64">
        <f>49692+2237.9</f>
        <v>51929.9</v>
      </c>
    </row>
    <row r="184" spans="1:9" ht="60" outlineLevel="1" x14ac:dyDescent="0.25">
      <c r="A184" s="74">
        <v>36</v>
      </c>
      <c r="B184" s="65" t="s">
        <v>163</v>
      </c>
      <c r="C184" s="64" t="s">
        <v>154</v>
      </c>
      <c r="D184" s="64">
        <v>30</v>
      </c>
      <c r="E184" s="64">
        <v>30</v>
      </c>
      <c r="F184" s="64">
        <v>30</v>
      </c>
      <c r="G184" s="64">
        <f>3489.78</f>
        <v>3489.78</v>
      </c>
      <c r="H184" s="64">
        <f>3489.775+264.2</f>
        <v>3753.9749999999999</v>
      </c>
      <c r="I184" s="64">
        <f>3489.775+264.2</f>
        <v>3753.9749999999999</v>
      </c>
    </row>
    <row r="185" spans="1:9" ht="60" outlineLevel="1" x14ac:dyDescent="0.25">
      <c r="A185" s="74">
        <v>37</v>
      </c>
      <c r="B185" s="65" t="s">
        <v>317</v>
      </c>
      <c r="C185" s="64" t="s">
        <v>154</v>
      </c>
      <c r="D185" s="64">
        <v>79</v>
      </c>
      <c r="E185" s="64">
        <v>79</v>
      </c>
      <c r="F185" s="64">
        <v>78</v>
      </c>
      <c r="G185" s="64">
        <f>15191.7</f>
        <v>15191.7</v>
      </c>
      <c r="H185" s="64">
        <f>15191.7+1877</f>
        <v>17068.7</v>
      </c>
      <c r="I185" s="64">
        <f>15191.7+1877</f>
        <v>17068.7</v>
      </c>
    </row>
    <row r="186" spans="1:9" ht="60" outlineLevel="1" x14ac:dyDescent="0.25">
      <c r="A186" s="74">
        <v>38</v>
      </c>
      <c r="B186" s="65" t="s">
        <v>166</v>
      </c>
      <c r="C186" s="64" t="s">
        <v>154</v>
      </c>
      <c r="D186" s="64">
        <v>35</v>
      </c>
      <c r="E186" s="64">
        <v>35</v>
      </c>
      <c r="F186" s="64">
        <v>35</v>
      </c>
      <c r="G186" s="64">
        <f>4093.6</f>
        <v>4093.6</v>
      </c>
      <c r="H186" s="64">
        <f>4093.6+735.6</f>
        <v>4829.2</v>
      </c>
      <c r="I186" s="64">
        <f>4093.6+735.6</f>
        <v>4829.2</v>
      </c>
    </row>
    <row r="187" spans="1:9" ht="90" outlineLevel="1" x14ac:dyDescent="0.25">
      <c r="A187" s="74">
        <v>39</v>
      </c>
      <c r="B187" s="65" t="s">
        <v>318</v>
      </c>
      <c r="C187" s="64" t="s">
        <v>154</v>
      </c>
      <c r="D187" s="64">
        <v>325</v>
      </c>
      <c r="E187" s="64">
        <v>325</v>
      </c>
      <c r="F187" s="64">
        <v>337</v>
      </c>
      <c r="G187" s="64">
        <v>30361.5</v>
      </c>
      <c r="H187" s="64">
        <v>30361.5</v>
      </c>
      <c r="I187" s="64">
        <v>30361.5</v>
      </c>
    </row>
    <row r="188" spans="1:9" ht="75" outlineLevel="1" x14ac:dyDescent="0.25">
      <c r="A188" s="74">
        <v>40</v>
      </c>
      <c r="B188" s="65" t="s">
        <v>169</v>
      </c>
      <c r="C188" s="64" t="s">
        <v>154</v>
      </c>
      <c r="D188" s="64">
        <v>5371</v>
      </c>
      <c r="E188" s="64">
        <v>5371</v>
      </c>
      <c r="F188" s="64">
        <v>5394</v>
      </c>
      <c r="G188" s="64">
        <v>269196.7</v>
      </c>
      <c r="H188" s="64">
        <v>279837.8</v>
      </c>
      <c r="I188" s="64">
        <v>279837.8</v>
      </c>
    </row>
    <row r="189" spans="1:9" ht="75" outlineLevel="1" x14ac:dyDescent="0.25">
      <c r="A189" s="74">
        <v>41</v>
      </c>
      <c r="B189" s="65" t="s">
        <v>170</v>
      </c>
      <c r="C189" s="64" t="s">
        <v>154</v>
      </c>
      <c r="D189" s="64">
        <v>2133</v>
      </c>
      <c r="E189" s="64">
        <v>2256</v>
      </c>
      <c r="F189" s="64">
        <v>2242</v>
      </c>
      <c r="G189" s="64">
        <v>112605.5</v>
      </c>
      <c r="H189" s="64">
        <v>131741.883</v>
      </c>
      <c r="I189" s="64">
        <v>131741.883</v>
      </c>
    </row>
    <row r="190" spans="1:9" ht="60" outlineLevel="1" x14ac:dyDescent="0.25">
      <c r="A190" s="74">
        <v>42</v>
      </c>
      <c r="B190" s="65" t="s">
        <v>171</v>
      </c>
      <c r="C190" s="64" t="s">
        <v>154</v>
      </c>
      <c r="D190" s="64">
        <v>6300</v>
      </c>
      <c r="E190" s="64">
        <v>6300</v>
      </c>
      <c r="F190" s="64">
        <v>6100</v>
      </c>
      <c r="G190" s="64">
        <v>105525</v>
      </c>
      <c r="H190" s="64">
        <v>105525</v>
      </c>
      <c r="I190" s="64">
        <v>105525</v>
      </c>
    </row>
    <row r="191" spans="1:9" ht="75" outlineLevel="1" x14ac:dyDescent="0.25">
      <c r="A191" s="74">
        <v>43</v>
      </c>
      <c r="B191" s="65" t="s">
        <v>640</v>
      </c>
      <c r="C191" s="64" t="s">
        <v>154</v>
      </c>
      <c r="D191" s="64">
        <v>0</v>
      </c>
      <c r="E191" s="64">
        <v>377</v>
      </c>
      <c r="F191" s="64">
        <v>399</v>
      </c>
      <c r="G191" s="64">
        <v>0</v>
      </c>
      <c r="H191" s="64">
        <v>118386.8</v>
      </c>
      <c r="I191" s="64">
        <v>118386.8</v>
      </c>
    </row>
    <row r="192" spans="1:9" ht="105" outlineLevel="1" x14ac:dyDescent="0.25">
      <c r="A192" s="74">
        <v>44</v>
      </c>
      <c r="B192" s="65" t="s">
        <v>172</v>
      </c>
      <c r="C192" s="64" t="s">
        <v>154</v>
      </c>
      <c r="D192" s="64">
        <v>394</v>
      </c>
      <c r="E192" s="64">
        <v>394</v>
      </c>
      <c r="F192" s="64">
        <v>439</v>
      </c>
      <c r="G192" s="64">
        <v>25641.5</v>
      </c>
      <c r="H192" s="64">
        <v>25641.5</v>
      </c>
      <c r="I192" s="64">
        <v>25641.5</v>
      </c>
    </row>
    <row r="193" spans="1:10" ht="30" outlineLevel="1" x14ac:dyDescent="0.25">
      <c r="A193" s="74">
        <v>45</v>
      </c>
      <c r="B193" s="65" t="s">
        <v>641</v>
      </c>
      <c r="C193" s="64" t="s">
        <v>58</v>
      </c>
      <c r="D193" s="64">
        <v>0</v>
      </c>
      <c r="E193" s="64">
        <v>0</v>
      </c>
      <c r="F193" s="64">
        <v>0</v>
      </c>
      <c r="G193" s="64">
        <v>0</v>
      </c>
      <c r="H193" s="64">
        <v>0</v>
      </c>
      <c r="I193" s="64">
        <v>0</v>
      </c>
    </row>
    <row r="194" spans="1:10" ht="30" outlineLevel="1" x14ac:dyDescent="0.25">
      <c r="A194" s="74">
        <v>46</v>
      </c>
      <c r="B194" s="65" t="s">
        <v>175</v>
      </c>
      <c r="C194" s="64" t="s">
        <v>174</v>
      </c>
      <c r="D194" s="64">
        <v>171090</v>
      </c>
      <c r="E194" s="64">
        <v>171090</v>
      </c>
      <c r="F194" s="64">
        <v>174267</v>
      </c>
      <c r="G194" s="64">
        <v>565812.1</v>
      </c>
      <c r="H194" s="64">
        <v>570117.30000000005</v>
      </c>
      <c r="I194" s="64">
        <v>570117.30000000005</v>
      </c>
    </row>
    <row r="195" spans="1:10" ht="30" outlineLevel="1" x14ac:dyDescent="0.25">
      <c r="A195" s="74">
        <v>47</v>
      </c>
      <c r="B195" s="65" t="s">
        <v>176</v>
      </c>
      <c r="C195" s="64" t="s">
        <v>177</v>
      </c>
      <c r="D195" s="64">
        <v>850</v>
      </c>
      <c r="E195" s="64">
        <v>850</v>
      </c>
      <c r="F195" s="64">
        <v>859</v>
      </c>
      <c r="G195" s="64">
        <v>20213</v>
      </c>
      <c r="H195" s="64">
        <v>20213</v>
      </c>
      <c r="I195" s="64">
        <v>20213</v>
      </c>
    </row>
    <row r="196" spans="1:10" ht="30" outlineLevel="1" x14ac:dyDescent="0.25">
      <c r="A196" s="74">
        <v>48</v>
      </c>
      <c r="B196" s="65" t="s">
        <v>178</v>
      </c>
      <c r="C196" s="64" t="s">
        <v>205</v>
      </c>
      <c r="D196" s="64">
        <v>1</v>
      </c>
      <c r="E196" s="64">
        <v>1</v>
      </c>
      <c r="F196" s="64">
        <v>1</v>
      </c>
      <c r="G196" s="64">
        <v>12321.3</v>
      </c>
      <c r="H196" s="64">
        <v>12321.3</v>
      </c>
      <c r="I196" s="64">
        <v>12321.3</v>
      </c>
    </row>
    <row r="197" spans="1:10" ht="75" outlineLevel="1" x14ac:dyDescent="0.25">
      <c r="A197" s="74">
        <v>49</v>
      </c>
      <c r="B197" s="65" t="s">
        <v>319</v>
      </c>
      <c r="C197" s="64" t="s">
        <v>181</v>
      </c>
      <c r="D197" s="64">
        <v>1834</v>
      </c>
      <c r="E197" s="64">
        <v>1834</v>
      </c>
      <c r="F197" s="64">
        <v>1884</v>
      </c>
      <c r="G197" s="64">
        <v>234238.5</v>
      </c>
      <c r="H197" s="64">
        <v>234238.5</v>
      </c>
      <c r="I197" s="64">
        <v>234238.5</v>
      </c>
    </row>
    <row r="198" spans="1:10" ht="45" outlineLevel="1" x14ac:dyDescent="0.25">
      <c r="A198" s="74">
        <v>50</v>
      </c>
      <c r="B198" s="65" t="s">
        <v>320</v>
      </c>
      <c r="C198" s="64" t="s">
        <v>181</v>
      </c>
      <c r="D198" s="64">
        <v>3304</v>
      </c>
      <c r="E198" s="64">
        <v>3304</v>
      </c>
      <c r="F198" s="64">
        <v>3404</v>
      </c>
      <c r="G198" s="64">
        <v>29339.5</v>
      </c>
      <c r="H198" s="64">
        <v>29339.5</v>
      </c>
      <c r="I198" s="64">
        <v>29339.5</v>
      </c>
    </row>
    <row r="199" spans="1:10" ht="60" outlineLevel="1" x14ac:dyDescent="0.25">
      <c r="A199" s="74">
        <v>51</v>
      </c>
      <c r="B199" s="65" t="s">
        <v>321</v>
      </c>
      <c r="C199" s="64" t="s">
        <v>322</v>
      </c>
      <c r="D199" s="64">
        <v>229511</v>
      </c>
      <c r="E199" s="64">
        <v>229511</v>
      </c>
      <c r="F199" s="64">
        <v>227842</v>
      </c>
      <c r="G199" s="64">
        <v>122221.9</v>
      </c>
      <c r="H199" s="64">
        <v>123007.78200000001</v>
      </c>
      <c r="I199" s="64">
        <v>123007.78200000001</v>
      </c>
    </row>
    <row r="200" spans="1:10" ht="75" outlineLevel="1" x14ac:dyDescent="0.25">
      <c r="A200" s="74">
        <v>52</v>
      </c>
      <c r="B200" s="65" t="s">
        <v>323</v>
      </c>
      <c r="C200" s="64" t="s">
        <v>205</v>
      </c>
      <c r="D200" s="64">
        <v>1</v>
      </c>
      <c r="E200" s="64">
        <v>1</v>
      </c>
      <c r="F200" s="64">
        <v>1</v>
      </c>
      <c r="G200" s="64">
        <v>85200</v>
      </c>
      <c r="H200" s="64">
        <v>85200</v>
      </c>
      <c r="I200" s="64">
        <v>85200</v>
      </c>
    </row>
    <row r="201" spans="1:10" ht="150" outlineLevel="1" x14ac:dyDescent="0.25">
      <c r="A201" s="74">
        <v>53</v>
      </c>
      <c r="B201" s="65" t="s">
        <v>324</v>
      </c>
      <c r="C201" s="64" t="s">
        <v>205</v>
      </c>
      <c r="D201" s="64">
        <v>1</v>
      </c>
      <c r="E201" s="64">
        <v>1</v>
      </c>
      <c r="F201" s="64">
        <v>1</v>
      </c>
      <c r="G201" s="64">
        <v>293796</v>
      </c>
      <c r="H201" s="64">
        <v>293796</v>
      </c>
      <c r="I201" s="64">
        <v>293796</v>
      </c>
    </row>
    <row r="202" spans="1:10" s="54" customFormat="1" x14ac:dyDescent="0.25">
      <c r="A202" s="69"/>
      <c r="B202" s="70" t="s">
        <v>0</v>
      </c>
      <c r="C202" s="68"/>
      <c r="D202" s="69"/>
      <c r="E202" s="69"/>
      <c r="F202" s="69"/>
      <c r="G202" s="122">
        <f>SUM(G149:G201)</f>
        <v>3798658.3</v>
      </c>
      <c r="H202" s="123">
        <f>SUM(H149:H201)</f>
        <v>4356938.2459999993</v>
      </c>
      <c r="I202" s="123">
        <f>SUM(I149:I201)</f>
        <v>4356938.2459999993</v>
      </c>
      <c r="J202" s="135"/>
    </row>
    <row r="203" spans="1:10" ht="14.45" customHeight="1" x14ac:dyDescent="0.25">
      <c r="A203" s="160" t="s">
        <v>62</v>
      </c>
      <c r="B203" s="160"/>
      <c r="C203" s="160"/>
      <c r="D203" s="160"/>
      <c r="E203" s="160"/>
      <c r="F203" s="160"/>
      <c r="G203" s="160"/>
      <c r="H203" s="160"/>
      <c r="I203" s="160"/>
    </row>
    <row r="204" spans="1:10" ht="45" outlineLevel="1" x14ac:dyDescent="0.25">
      <c r="A204" s="101" t="s">
        <v>533</v>
      </c>
      <c r="B204" s="99" t="s">
        <v>63</v>
      </c>
      <c r="C204" s="98" t="s">
        <v>14</v>
      </c>
      <c r="D204" s="98">
        <v>4196</v>
      </c>
      <c r="E204" s="98">
        <v>4196</v>
      </c>
      <c r="F204" s="98">
        <v>4192</v>
      </c>
      <c r="G204" s="98">
        <v>507012</v>
      </c>
      <c r="H204" s="98">
        <v>514110</v>
      </c>
      <c r="I204" s="112">
        <v>514110</v>
      </c>
    </row>
    <row r="205" spans="1:10" ht="60" outlineLevel="1" x14ac:dyDescent="0.25">
      <c r="A205" s="101" t="s">
        <v>534</v>
      </c>
      <c r="B205" s="99" t="s">
        <v>64</v>
      </c>
      <c r="C205" s="98" t="s">
        <v>14</v>
      </c>
      <c r="D205" s="98">
        <v>11698</v>
      </c>
      <c r="E205" s="98">
        <v>11828</v>
      </c>
      <c r="F205" s="98">
        <v>11823</v>
      </c>
      <c r="G205" s="98">
        <v>1611223.26956704</v>
      </c>
      <c r="H205" s="98">
        <v>1641683.9</v>
      </c>
      <c r="I205" s="98">
        <v>1641683.9</v>
      </c>
    </row>
    <row r="206" spans="1:10" ht="60" outlineLevel="1" x14ac:dyDescent="0.25">
      <c r="A206" s="101" t="s">
        <v>535</v>
      </c>
      <c r="B206" s="99" t="s">
        <v>65</v>
      </c>
      <c r="C206" s="98" t="s">
        <v>14</v>
      </c>
      <c r="D206" s="98">
        <v>878</v>
      </c>
      <c r="E206" s="98">
        <v>886</v>
      </c>
      <c r="F206" s="98">
        <v>886</v>
      </c>
      <c r="G206" s="98">
        <v>51709.736000000004</v>
      </c>
      <c r="H206" s="98">
        <v>52813.8</v>
      </c>
      <c r="I206" s="112">
        <v>52813.8</v>
      </c>
    </row>
    <row r="207" spans="1:10" ht="60" outlineLevel="1" x14ac:dyDescent="0.25">
      <c r="A207" s="101" t="s">
        <v>536</v>
      </c>
      <c r="B207" s="99" t="s">
        <v>66</v>
      </c>
      <c r="C207" s="98" t="s">
        <v>67</v>
      </c>
      <c r="D207" s="98">
        <v>299700</v>
      </c>
      <c r="E207" s="98">
        <v>455072</v>
      </c>
      <c r="F207" s="98">
        <v>452192</v>
      </c>
      <c r="G207" s="98">
        <v>63405.899999999994</v>
      </c>
      <c r="H207" s="98">
        <v>71691.040000000008</v>
      </c>
      <c r="I207" s="112">
        <v>71691.040000000008</v>
      </c>
    </row>
    <row r="208" spans="1:10" ht="45" outlineLevel="1" x14ac:dyDescent="0.25">
      <c r="A208" s="101" t="s">
        <v>537</v>
      </c>
      <c r="B208" s="99" t="s">
        <v>361</v>
      </c>
      <c r="C208" s="98" t="s">
        <v>14</v>
      </c>
      <c r="D208" s="98">
        <v>17</v>
      </c>
      <c r="E208" s="98">
        <v>17</v>
      </c>
      <c r="F208" s="98">
        <v>17</v>
      </c>
      <c r="G208" s="98">
        <v>4161.2342174122377</v>
      </c>
      <c r="H208" s="98">
        <v>3796.6185</v>
      </c>
      <c r="I208" s="98">
        <v>3796.6185</v>
      </c>
    </row>
    <row r="209" spans="1:9" ht="45" outlineLevel="1" x14ac:dyDescent="0.25">
      <c r="A209" s="101" t="s">
        <v>538</v>
      </c>
      <c r="B209" s="99" t="s">
        <v>68</v>
      </c>
      <c r="C209" s="98" t="s">
        <v>14</v>
      </c>
      <c r="D209" s="98">
        <v>3095</v>
      </c>
      <c r="E209" s="98">
        <v>3010</v>
      </c>
      <c r="F209" s="98">
        <v>3010</v>
      </c>
      <c r="G209" s="98">
        <v>624358.83524643397</v>
      </c>
      <c r="H209" s="98">
        <v>659539.69900000014</v>
      </c>
      <c r="I209" s="98">
        <v>659539.69900000014</v>
      </c>
    </row>
    <row r="210" spans="1:9" ht="45" outlineLevel="1" x14ac:dyDescent="0.25">
      <c r="A210" s="101" t="s">
        <v>539</v>
      </c>
      <c r="B210" s="99" t="s">
        <v>69</v>
      </c>
      <c r="C210" s="98" t="s">
        <v>14</v>
      </c>
      <c r="D210" s="98">
        <v>226</v>
      </c>
      <c r="E210" s="98">
        <v>222</v>
      </c>
      <c r="F210" s="98">
        <v>222</v>
      </c>
      <c r="G210" s="98">
        <v>19680.202012269943</v>
      </c>
      <c r="H210" s="98">
        <v>18803.202999999998</v>
      </c>
      <c r="I210" s="98">
        <v>18803.202999999998</v>
      </c>
    </row>
    <row r="211" spans="1:9" ht="45" outlineLevel="1" x14ac:dyDescent="0.25">
      <c r="A211" s="101" t="s">
        <v>540</v>
      </c>
      <c r="B211" s="99" t="s">
        <v>70</v>
      </c>
      <c r="C211" s="98" t="s">
        <v>14</v>
      </c>
      <c r="D211" s="98">
        <v>1084</v>
      </c>
      <c r="E211" s="98">
        <v>1081</v>
      </c>
      <c r="F211" s="98">
        <v>1081</v>
      </c>
      <c r="G211" s="98">
        <v>78532.857055319153</v>
      </c>
      <c r="H211" s="98">
        <v>91784.460599999991</v>
      </c>
      <c r="I211" s="98">
        <v>91784.460599999991</v>
      </c>
    </row>
    <row r="212" spans="1:9" ht="45" outlineLevel="1" x14ac:dyDescent="0.25">
      <c r="A212" s="101" t="s">
        <v>541</v>
      </c>
      <c r="B212" s="99" t="s">
        <v>71</v>
      </c>
      <c r="C212" s="98" t="s">
        <v>14</v>
      </c>
      <c r="D212" s="98">
        <v>395</v>
      </c>
      <c r="E212" s="98">
        <v>400</v>
      </c>
      <c r="F212" s="98">
        <v>400</v>
      </c>
      <c r="G212" s="98">
        <v>71237.197720000011</v>
      </c>
      <c r="H212" s="98">
        <v>81747.234499999991</v>
      </c>
      <c r="I212" s="98">
        <v>81747.234499999991</v>
      </c>
    </row>
    <row r="213" spans="1:9" ht="45" outlineLevel="1" x14ac:dyDescent="0.25">
      <c r="A213" s="101" t="s">
        <v>542</v>
      </c>
      <c r="B213" s="99" t="s">
        <v>362</v>
      </c>
      <c r="C213" s="98" t="s">
        <v>14</v>
      </c>
      <c r="D213" s="98">
        <v>28</v>
      </c>
      <c r="E213" s="98">
        <v>29</v>
      </c>
      <c r="F213" s="98">
        <v>29</v>
      </c>
      <c r="G213" s="98">
        <v>3478.28</v>
      </c>
      <c r="H213" s="98">
        <v>3244.3605000000002</v>
      </c>
      <c r="I213" s="98">
        <v>3244.3605000000002</v>
      </c>
    </row>
    <row r="214" spans="1:9" ht="30" outlineLevel="1" x14ac:dyDescent="0.25">
      <c r="A214" s="101" t="s">
        <v>543</v>
      </c>
      <c r="B214" s="99" t="s">
        <v>72</v>
      </c>
      <c r="C214" s="98" t="s">
        <v>14</v>
      </c>
      <c r="D214" s="98">
        <v>224</v>
      </c>
      <c r="E214" s="98">
        <v>224</v>
      </c>
      <c r="F214" s="98">
        <v>224</v>
      </c>
      <c r="G214" s="98">
        <v>37434.129795728157</v>
      </c>
      <c r="H214" s="98">
        <v>39072.654649999997</v>
      </c>
      <c r="I214" s="98">
        <v>39072.654649999997</v>
      </c>
    </row>
    <row r="215" spans="1:9" ht="60" outlineLevel="1" x14ac:dyDescent="0.25">
      <c r="A215" s="101" t="s">
        <v>544</v>
      </c>
      <c r="B215" s="99" t="s">
        <v>73</v>
      </c>
      <c r="C215" s="98" t="s">
        <v>14</v>
      </c>
      <c r="D215" s="98">
        <v>113.2</v>
      </c>
      <c r="E215" s="98">
        <v>116.4</v>
      </c>
      <c r="F215" s="98">
        <v>116.4</v>
      </c>
      <c r="G215" s="98">
        <v>26813.729280000003</v>
      </c>
      <c r="H215" s="98">
        <v>27055.272000000001</v>
      </c>
      <c r="I215" s="98">
        <v>27055.272000000001</v>
      </c>
    </row>
    <row r="216" spans="1:9" ht="45" outlineLevel="1" x14ac:dyDescent="0.25">
      <c r="A216" s="101" t="s">
        <v>545</v>
      </c>
      <c r="B216" s="99" t="s">
        <v>74</v>
      </c>
      <c r="C216" s="98" t="s">
        <v>14</v>
      </c>
      <c r="D216" s="98">
        <v>62.1</v>
      </c>
      <c r="E216" s="98">
        <v>62.1</v>
      </c>
      <c r="F216" s="98">
        <v>62.1</v>
      </c>
      <c r="G216" s="98">
        <v>9739.2672000000002</v>
      </c>
      <c r="H216" s="98">
        <v>8225.2195200000006</v>
      </c>
      <c r="I216" s="98">
        <v>8225.2195200000006</v>
      </c>
    </row>
    <row r="217" spans="1:9" ht="30" outlineLevel="1" x14ac:dyDescent="0.25">
      <c r="A217" s="101" t="s">
        <v>546</v>
      </c>
      <c r="B217" s="99" t="s">
        <v>75</v>
      </c>
      <c r="C217" s="98" t="s">
        <v>67</v>
      </c>
      <c r="D217" s="98">
        <v>263321</v>
      </c>
      <c r="E217" s="98">
        <v>282071</v>
      </c>
      <c r="F217" s="98">
        <v>282071</v>
      </c>
      <c r="G217" s="98">
        <v>30518.704018952762</v>
      </c>
      <c r="H217" s="98">
        <v>26691.814786249601</v>
      </c>
      <c r="I217" s="98">
        <v>26691.814786249601</v>
      </c>
    </row>
    <row r="218" spans="1:9" ht="30" outlineLevel="1" x14ac:dyDescent="0.25">
      <c r="A218" s="101" t="s">
        <v>547</v>
      </c>
      <c r="B218" s="99" t="s">
        <v>76</v>
      </c>
      <c r="C218" s="98" t="s">
        <v>67</v>
      </c>
      <c r="D218" s="98">
        <v>1341260</v>
      </c>
      <c r="E218" s="98">
        <v>1307410</v>
      </c>
      <c r="F218" s="98">
        <v>1307410</v>
      </c>
      <c r="G218" s="98">
        <v>151723.40737937673</v>
      </c>
      <c r="H218" s="98">
        <v>141894.29345680299</v>
      </c>
      <c r="I218" s="98">
        <v>141894.29345680299</v>
      </c>
    </row>
    <row r="219" spans="1:9" ht="45" outlineLevel="1" x14ac:dyDescent="0.25">
      <c r="A219" s="101" t="s">
        <v>548</v>
      </c>
      <c r="B219" s="99" t="s">
        <v>83</v>
      </c>
      <c r="C219" s="98" t="s">
        <v>14</v>
      </c>
      <c r="D219" s="98">
        <v>4674</v>
      </c>
      <c r="E219" s="100">
        <v>4674</v>
      </c>
      <c r="F219" s="100">
        <v>4674</v>
      </c>
      <c r="G219" s="98">
        <v>4504.58</v>
      </c>
      <c r="H219" s="98">
        <v>4504.5755999999992</v>
      </c>
      <c r="I219" s="98">
        <v>4504.5755999999992</v>
      </c>
    </row>
    <row r="220" spans="1:9" ht="30" outlineLevel="1" x14ac:dyDescent="0.25">
      <c r="A220" s="101" t="s">
        <v>549</v>
      </c>
      <c r="B220" s="99" t="s">
        <v>84</v>
      </c>
      <c r="C220" s="98" t="s">
        <v>14</v>
      </c>
      <c r="D220" s="98">
        <v>1496</v>
      </c>
      <c r="E220" s="100">
        <v>1496</v>
      </c>
      <c r="F220" s="98">
        <v>1496</v>
      </c>
      <c r="G220" s="98">
        <v>14735.6</v>
      </c>
      <c r="H220" s="98">
        <v>14735.6</v>
      </c>
      <c r="I220" s="98">
        <v>14735.6</v>
      </c>
    </row>
    <row r="221" spans="1:9" ht="30" outlineLevel="1" x14ac:dyDescent="0.25">
      <c r="A221" s="101" t="s">
        <v>550</v>
      </c>
      <c r="B221" s="99" t="s">
        <v>85</v>
      </c>
      <c r="C221" s="98" t="s">
        <v>14</v>
      </c>
      <c r="D221" s="98">
        <v>30</v>
      </c>
      <c r="E221" s="100">
        <v>30</v>
      </c>
      <c r="F221" s="98">
        <v>30</v>
      </c>
      <c r="G221" s="98">
        <v>2531.1</v>
      </c>
      <c r="H221" s="98">
        <v>2531.1000000000004</v>
      </c>
      <c r="I221" s="98">
        <v>2531.1000000000004</v>
      </c>
    </row>
    <row r="222" spans="1:9" ht="30" outlineLevel="1" x14ac:dyDescent="0.25">
      <c r="A222" s="101" t="s">
        <v>551</v>
      </c>
      <c r="B222" s="99" t="s">
        <v>363</v>
      </c>
      <c r="C222" s="98" t="s">
        <v>67</v>
      </c>
      <c r="D222" s="100">
        <v>1087611</v>
      </c>
      <c r="E222" s="100">
        <v>1034150</v>
      </c>
      <c r="F222" s="100">
        <v>1034150</v>
      </c>
      <c r="G222" s="98">
        <v>209762.59185475201</v>
      </c>
      <c r="H222" s="98">
        <v>182405.51169240801</v>
      </c>
      <c r="I222" s="98">
        <v>182405.51169240801</v>
      </c>
    </row>
    <row r="223" spans="1:9" ht="30" outlineLevel="1" x14ac:dyDescent="0.25">
      <c r="A223" s="101" t="s">
        <v>552</v>
      </c>
      <c r="B223" s="99" t="s">
        <v>364</v>
      </c>
      <c r="C223" s="98" t="s">
        <v>67</v>
      </c>
      <c r="D223" s="98">
        <v>140172</v>
      </c>
      <c r="E223" s="100">
        <v>140172</v>
      </c>
      <c r="F223" s="98">
        <v>140172</v>
      </c>
      <c r="G223" s="98">
        <v>8066.2</v>
      </c>
      <c r="H223" s="98">
        <v>8066.2</v>
      </c>
      <c r="I223" s="98">
        <v>8066.2</v>
      </c>
    </row>
    <row r="224" spans="1:9" ht="60" outlineLevel="1" x14ac:dyDescent="0.25">
      <c r="A224" s="101" t="s">
        <v>553</v>
      </c>
      <c r="B224" s="99" t="s">
        <v>365</v>
      </c>
      <c r="C224" s="98" t="s">
        <v>14</v>
      </c>
      <c r="D224" s="98">
        <v>97</v>
      </c>
      <c r="E224" s="100">
        <v>97</v>
      </c>
      <c r="F224" s="98">
        <v>97</v>
      </c>
      <c r="G224" s="98">
        <v>31793.330089094707</v>
      </c>
      <c r="H224" s="98">
        <v>31793.330089094707</v>
      </c>
      <c r="I224" s="98">
        <v>31793.330089094707</v>
      </c>
    </row>
    <row r="225" spans="1:9" ht="60" outlineLevel="1" x14ac:dyDescent="0.25">
      <c r="A225" s="101" t="s">
        <v>554</v>
      </c>
      <c r="B225" s="99" t="s">
        <v>555</v>
      </c>
      <c r="C225" s="98" t="s">
        <v>14</v>
      </c>
      <c r="D225" s="98">
        <v>0</v>
      </c>
      <c r="E225" s="98">
        <v>124</v>
      </c>
      <c r="F225" s="98">
        <v>124</v>
      </c>
      <c r="G225" s="98">
        <v>0</v>
      </c>
      <c r="H225" s="98">
        <v>7778.3</v>
      </c>
      <c r="I225" s="98">
        <v>7778.3</v>
      </c>
    </row>
    <row r="226" spans="1:9" ht="45" outlineLevel="1" x14ac:dyDescent="0.25">
      <c r="A226" s="101" t="s">
        <v>556</v>
      </c>
      <c r="B226" s="99" t="s">
        <v>87</v>
      </c>
      <c r="C226" s="98" t="s">
        <v>88</v>
      </c>
      <c r="D226" s="98">
        <v>253</v>
      </c>
      <c r="E226" s="100">
        <v>255</v>
      </c>
      <c r="F226" s="98">
        <v>255</v>
      </c>
      <c r="G226" s="98">
        <v>35937.699999999997</v>
      </c>
      <c r="H226" s="98">
        <v>36221.792490118576</v>
      </c>
      <c r="I226" s="98">
        <v>36221.792490118576</v>
      </c>
    </row>
    <row r="227" spans="1:9" ht="30" outlineLevel="1" x14ac:dyDescent="0.25">
      <c r="A227" s="101" t="s">
        <v>557</v>
      </c>
      <c r="B227" s="99" t="s">
        <v>558</v>
      </c>
      <c r="C227" s="98" t="s">
        <v>88</v>
      </c>
      <c r="D227" s="98">
        <v>227</v>
      </c>
      <c r="E227" s="100">
        <v>227</v>
      </c>
      <c r="F227" s="98">
        <v>227</v>
      </c>
      <c r="G227" s="98">
        <v>32193.8</v>
      </c>
      <c r="H227" s="98">
        <v>32193.8</v>
      </c>
      <c r="I227" s="98">
        <v>32193.8</v>
      </c>
    </row>
    <row r="228" spans="1:9" ht="30" outlineLevel="1" x14ac:dyDescent="0.25">
      <c r="A228" s="101" t="s">
        <v>559</v>
      </c>
      <c r="B228" s="99" t="s">
        <v>560</v>
      </c>
      <c r="C228" s="98" t="s">
        <v>88</v>
      </c>
      <c r="D228" s="98">
        <v>42</v>
      </c>
      <c r="E228" s="98">
        <v>42</v>
      </c>
      <c r="F228" s="98">
        <v>42</v>
      </c>
      <c r="G228" s="98">
        <v>6498.1</v>
      </c>
      <c r="H228" s="98">
        <v>6498.1</v>
      </c>
      <c r="I228" s="98">
        <v>6498.1</v>
      </c>
    </row>
    <row r="229" spans="1:9" outlineLevel="1" x14ac:dyDescent="0.25">
      <c r="A229" s="101" t="s">
        <v>561</v>
      </c>
      <c r="B229" s="99" t="s">
        <v>91</v>
      </c>
      <c r="C229" s="98" t="s">
        <v>92</v>
      </c>
      <c r="D229" s="98">
        <v>82306</v>
      </c>
      <c r="E229" s="98">
        <v>83566</v>
      </c>
      <c r="F229" s="98">
        <v>83566</v>
      </c>
      <c r="G229" s="98">
        <v>290357.44448903401</v>
      </c>
      <c r="H229" s="98">
        <v>282807.22704117105</v>
      </c>
      <c r="I229" s="98">
        <v>282807.22704117105</v>
      </c>
    </row>
    <row r="230" spans="1:9" ht="30" outlineLevel="1" x14ac:dyDescent="0.25">
      <c r="A230" s="101" t="s">
        <v>562</v>
      </c>
      <c r="B230" s="99" t="s">
        <v>93</v>
      </c>
      <c r="C230" s="98" t="s">
        <v>14</v>
      </c>
      <c r="D230" s="98">
        <v>258</v>
      </c>
      <c r="E230" s="98">
        <v>252</v>
      </c>
      <c r="F230" s="98">
        <v>252</v>
      </c>
      <c r="G230" s="98">
        <v>31957.64</v>
      </c>
      <c r="H230" s="98">
        <v>29761.7</v>
      </c>
      <c r="I230" s="98">
        <v>29761.7</v>
      </c>
    </row>
    <row r="231" spans="1:9" ht="105" outlineLevel="1" x14ac:dyDescent="0.25">
      <c r="A231" s="101" t="s">
        <v>563</v>
      </c>
      <c r="B231" s="99" t="s">
        <v>94</v>
      </c>
      <c r="C231" s="98" t="s">
        <v>14</v>
      </c>
      <c r="D231" s="98">
        <v>139497</v>
      </c>
      <c r="E231" s="98">
        <v>139497</v>
      </c>
      <c r="F231" s="98">
        <v>139497</v>
      </c>
      <c r="G231" s="98">
        <v>92908.88</v>
      </c>
      <c r="H231" s="98">
        <v>91119.4</v>
      </c>
      <c r="I231" s="98">
        <v>91119.4</v>
      </c>
    </row>
    <row r="232" spans="1:9" ht="30" outlineLevel="1" x14ac:dyDescent="0.25">
      <c r="A232" s="101" t="s">
        <v>564</v>
      </c>
      <c r="B232" s="99" t="s">
        <v>95</v>
      </c>
      <c r="C232" s="98" t="s">
        <v>14</v>
      </c>
      <c r="D232" s="98">
        <v>11300</v>
      </c>
      <c r="E232" s="98">
        <v>11300</v>
      </c>
      <c r="F232" s="98">
        <v>11300</v>
      </c>
      <c r="G232" s="98">
        <v>20312.8</v>
      </c>
      <c r="H232" s="98">
        <v>20125.248</v>
      </c>
      <c r="I232" s="98">
        <v>20125.248</v>
      </c>
    </row>
    <row r="233" spans="1:9" ht="60" outlineLevel="1" x14ac:dyDescent="0.25">
      <c r="A233" s="101" t="s">
        <v>565</v>
      </c>
      <c r="B233" s="99" t="s">
        <v>566</v>
      </c>
      <c r="C233" s="98" t="s">
        <v>14</v>
      </c>
      <c r="D233" s="98">
        <v>0</v>
      </c>
      <c r="E233" s="98">
        <v>180</v>
      </c>
      <c r="F233" s="98">
        <v>180</v>
      </c>
      <c r="G233" s="98">
        <v>0</v>
      </c>
      <c r="H233" s="98">
        <v>8995.2200000000012</v>
      </c>
      <c r="I233" s="98">
        <v>8995.2200000000012</v>
      </c>
    </row>
    <row r="234" spans="1:9" ht="120" outlineLevel="1" x14ac:dyDescent="0.25">
      <c r="A234" s="101" t="s">
        <v>567</v>
      </c>
      <c r="B234" s="99" t="s">
        <v>96</v>
      </c>
      <c r="C234" s="98" t="s">
        <v>14</v>
      </c>
      <c r="D234" s="98">
        <v>94477</v>
      </c>
      <c r="E234" s="98">
        <v>94477</v>
      </c>
      <c r="F234" s="98">
        <v>94477</v>
      </c>
      <c r="G234" s="98">
        <v>103589.48770044355</v>
      </c>
      <c r="H234" s="100">
        <v>103589.48770044355</v>
      </c>
      <c r="I234" s="100">
        <v>103589.48770044355</v>
      </c>
    </row>
    <row r="235" spans="1:9" ht="60" outlineLevel="1" x14ac:dyDescent="0.25">
      <c r="A235" s="101" t="s">
        <v>568</v>
      </c>
      <c r="B235" s="99" t="s">
        <v>366</v>
      </c>
      <c r="C235" s="98" t="s">
        <v>14</v>
      </c>
      <c r="D235" s="98">
        <v>22</v>
      </c>
      <c r="E235" s="98">
        <v>22</v>
      </c>
      <c r="F235" s="98">
        <v>22</v>
      </c>
      <c r="G235" s="98">
        <v>16165.732830042469</v>
      </c>
      <c r="H235" s="100">
        <v>16044.783380858715</v>
      </c>
      <c r="I235" s="100">
        <v>16044.783380858715</v>
      </c>
    </row>
    <row r="236" spans="1:9" ht="60" outlineLevel="1" x14ac:dyDescent="0.25">
      <c r="A236" s="101" t="s">
        <v>569</v>
      </c>
      <c r="B236" s="99" t="s">
        <v>367</v>
      </c>
      <c r="C236" s="98" t="s">
        <v>14</v>
      </c>
      <c r="D236" s="98">
        <v>25</v>
      </c>
      <c r="E236" s="98">
        <v>25</v>
      </c>
      <c r="F236" s="98">
        <v>25</v>
      </c>
      <c r="G236" s="98">
        <v>20979.91399002145</v>
      </c>
      <c r="H236" s="100">
        <v>20822.945600917563</v>
      </c>
      <c r="I236" s="100">
        <v>20822.945600917563</v>
      </c>
    </row>
    <row r="237" spans="1:9" outlineLevel="1" x14ac:dyDescent="0.25">
      <c r="A237" s="101" t="s">
        <v>570</v>
      </c>
      <c r="B237" s="99" t="s">
        <v>368</v>
      </c>
      <c r="C237" s="98" t="s">
        <v>78</v>
      </c>
      <c r="D237" s="98">
        <v>5235</v>
      </c>
      <c r="E237" s="98">
        <v>5235</v>
      </c>
      <c r="F237" s="98">
        <v>5235</v>
      </c>
      <c r="G237" s="98">
        <v>8740.9324822204217</v>
      </c>
      <c r="H237" s="98">
        <v>8675.5342116816282</v>
      </c>
      <c r="I237" s="98">
        <v>8675.5342116816282</v>
      </c>
    </row>
    <row r="238" spans="1:9" ht="30" outlineLevel="1" x14ac:dyDescent="0.25">
      <c r="A238" s="101" t="s">
        <v>571</v>
      </c>
      <c r="B238" s="99" t="s">
        <v>369</v>
      </c>
      <c r="C238" s="98" t="s">
        <v>78</v>
      </c>
      <c r="D238" s="98">
        <v>11070</v>
      </c>
      <c r="E238" s="98">
        <v>11070</v>
      </c>
      <c r="F238" s="98">
        <v>11070</v>
      </c>
      <c r="G238" s="98">
        <v>20061.297175852025</v>
      </c>
      <c r="H238" s="98">
        <v>19911.20173206109</v>
      </c>
      <c r="I238" s="98">
        <v>19911.20173206109</v>
      </c>
    </row>
    <row r="239" spans="1:9" ht="45" outlineLevel="1" x14ac:dyDescent="0.25">
      <c r="A239" s="101" t="s">
        <v>572</v>
      </c>
      <c r="B239" s="99" t="s">
        <v>370</v>
      </c>
      <c r="C239" s="98" t="s">
        <v>14</v>
      </c>
      <c r="D239" s="98">
        <v>5</v>
      </c>
      <c r="E239" s="98">
        <v>5</v>
      </c>
      <c r="F239" s="98">
        <v>5</v>
      </c>
      <c r="G239" s="98">
        <v>2170.403758357354</v>
      </c>
      <c r="H239" s="98">
        <v>2154.1651416587142</v>
      </c>
      <c r="I239" s="98">
        <v>2154.1651416587142</v>
      </c>
    </row>
    <row r="240" spans="1:9" ht="60" outlineLevel="1" x14ac:dyDescent="0.25">
      <c r="A240" s="101" t="s">
        <v>573</v>
      </c>
      <c r="B240" s="99" t="s">
        <v>371</v>
      </c>
      <c r="C240" s="98" t="s">
        <v>14</v>
      </c>
      <c r="D240" s="98">
        <v>20</v>
      </c>
      <c r="E240" s="98">
        <v>20</v>
      </c>
      <c r="F240" s="98">
        <v>20</v>
      </c>
      <c r="G240" s="98">
        <v>10769.425470862514</v>
      </c>
      <c r="H240" s="98">
        <v>10688.850337497348</v>
      </c>
      <c r="I240" s="98">
        <v>10688.850337497348</v>
      </c>
    </row>
    <row r="241" spans="1:9" ht="30" outlineLevel="1" x14ac:dyDescent="0.25">
      <c r="A241" s="101" t="s">
        <v>574</v>
      </c>
      <c r="B241" s="99" t="s">
        <v>575</v>
      </c>
      <c r="C241" s="98" t="s">
        <v>14</v>
      </c>
      <c r="D241" s="98">
        <v>702</v>
      </c>
      <c r="E241" s="98">
        <v>706</v>
      </c>
      <c r="F241" s="98">
        <v>706</v>
      </c>
      <c r="G241" s="98">
        <v>239134.32911646261</v>
      </c>
      <c r="H241" s="98">
        <v>238697.55808902762</v>
      </c>
      <c r="I241" s="98">
        <v>238697.55808902762</v>
      </c>
    </row>
    <row r="242" spans="1:9" ht="30" outlineLevel="1" x14ac:dyDescent="0.25">
      <c r="A242" s="101" t="s">
        <v>576</v>
      </c>
      <c r="B242" s="99" t="s">
        <v>577</v>
      </c>
      <c r="C242" s="98" t="s">
        <v>14</v>
      </c>
      <c r="D242" s="98">
        <v>0</v>
      </c>
      <c r="E242" s="98">
        <v>1</v>
      </c>
      <c r="F242" s="98">
        <v>1</v>
      </c>
      <c r="G242" s="98">
        <v>0</v>
      </c>
      <c r="H242" s="100">
        <v>266.36417493486653</v>
      </c>
      <c r="I242" s="98">
        <v>266.36417493486653</v>
      </c>
    </row>
    <row r="243" spans="1:9" ht="30" outlineLevel="1" x14ac:dyDescent="0.25">
      <c r="A243" s="101" t="s">
        <v>578</v>
      </c>
      <c r="B243" s="99" t="s">
        <v>372</v>
      </c>
      <c r="C243" s="98" t="s">
        <v>14</v>
      </c>
      <c r="D243" s="98">
        <v>701</v>
      </c>
      <c r="E243" s="98">
        <v>722</v>
      </c>
      <c r="F243" s="98">
        <v>722</v>
      </c>
      <c r="G243" s="98">
        <v>238793.68192398903</v>
      </c>
      <c r="H243" s="100">
        <v>244107.13447631436</v>
      </c>
      <c r="I243" s="98">
        <v>244107.13447631436</v>
      </c>
    </row>
    <row r="244" spans="1:9" ht="60" outlineLevel="1" x14ac:dyDescent="0.25">
      <c r="A244" s="101" t="s">
        <v>579</v>
      </c>
      <c r="B244" s="99" t="s">
        <v>373</v>
      </c>
      <c r="C244" s="98" t="s">
        <v>14</v>
      </c>
      <c r="D244" s="98">
        <v>25</v>
      </c>
      <c r="E244" s="98">
        <v>29</v>
      </c>
      <c r="F244" s="98">
        <v>29</v>
      </c>
      <c r="G244" s="98">
        <v>55363.706950673957</v>
      </c>
      <c r="H244" s="100">
        <v>54715.182089145157</v>
      </c>
      <c r="I244" s="98">
        <v>54715.182089145157</v>
      </c>
    </row>
    <row r="245" spans="1:9" outlineLevel="1" x14ac:dyDescent="0.25">
      <c r="A245" s="101" t="s">
        <v>580</v>
      </c>
      <c r="B245" s="99" t="s">
        <v>374</v>
      </c>
      <c r="C245" s="98" t="s">
        <v>14</v>
      </c>
      <c r="D245" s="98">
        <v>55</v>
      </c>
      <c r="E245" s="98">
        <v>47</v>
      </c>
      <c r="F245" s="98">
        <v>47</v>
      </c>
      <c r="G245" s="98">
        <v>18735.595586047639</v>
      </c>
      <c r="H245" s="100">
        <v>15890.630637654815</v>
      </c>
      <c r="I245" s="98">
        <v>15890.630637654815</v>
      </c>
    </row>
    <row r="246" spans="1:9" ht="60" outlineLevel="1" x14ac:dyDescent="0.25">
      <c r="A246" s="101" t="s">
        <v>581</v>
      </c>
      <c r="B246" s="99" t="s">
        <v>375</v>
      </c>
      <c r="C246" s="98" t="s">
        <v>14</v>
      </c>
      <c r="D246" s="98">
        <v>91</v>
      </c>
      <c r="E246" s="98">
        <v>101</v>
      </c>
      <c r="F246" s="98">
        <v>101</v>
      </c>
      <c r="G246" s="98">
        <v>25913.167212884473</v>
      </c>
      <c r="H246" s="100">
        <v>28809.388055525225</v>
      </c>
      <c r="I246" s="98">
        <v>28809.388055525225</v>
      </c>
    </row>
    <row r="247" spans="1:9" ht="75" outlineLevel="1" x14ac:dyDescent="0.25">
      <c r="A247" s="101" t="s">
        <v>582</v>
      </c>
      <c r="B247" s="99" t="s">
        <v>583</v>
      </c>
      <c r="C247" s="98" t="s">
        <v>14</v>
      </c>
      <c r="D247" s="98">
        <v>22</v>
      </c>
      <c r="E247" s="98">
        <v>22</v>
      </c>
      <c r="F247" s="98">
        <v>22</v>
      </c>
      <c r="G247" s="98">
        <v>10099.994802637641</v>
      </c>
      <c r="H247" s="100">
        <v>10154.177169690412</v>
      </c>
      <c r="I247" s="98">
        <v>10154.177169690412</v>
      </c>
    </row>
    <row r="248" spans="1:9" ht="60" outlineLevel="1" x14ac:dyDescent="0.25">
      <c r="A248" s="101" t="s">
        <v>584</v>
      </c>
      <c r="B248" s="99" t="s">
        <v>585</v>
      </c>
      <c r="C248" s="98" t="s">
        <v>14</v>
      </c>
      <c r="D248" s="98">
        <v>215</v>
      </c>
      <c r="E248" s="98">
        <v>235</v>
      </c>
      <c r="F248" s="98">
        <v>235</v>
      </c>
      <c r="G248" s="98">
        <v>94413.819194510826</v>
      </c>
      <c r="H248" s="100">
        <v>103746.32546420374</v>
      </c>
      <c r="I248" s="98">
        <v>103746.32546420374</v>
      </c>
    </row>
    <row r="249" spans="1:9" ht="75" outlineLevel="1" x14ac:dyDescent="0.25">
      <c r="A249" s="101" t="s">
        <v>586</v>
      </c>
      <c r="B249" s="99" t="s">
        <v>376</v>
      </c>
      <c r="C249" s="98" t="s">
        <v>14</v>
      </c>
      <c r="D249" s="98">
        <v>399</v>
      </c>
      <c r="E249" s="98">
        <v>393</v>
      </c>
      <c r="F249" s="98">
        <v>393</v>
      </c>
      <c r="G249" s="98">
        <v>175214.48306330148</v>
      </c>
      <c r="H249" s="100">
        <v>173499.17407417903</v>
      </c>
      <c r="I249" s="98">
        <v>173499.17407417903</v>
      </c>
    </row>
    <row r="250" spans="1:9" ht="60" outlineLevel="1" x14ac:dyDescent="0.25">
      <c r="A250" s="101" t="s">
        <v>587</v>
      </c>
      <c r="B250" s="99" t="s">
        <v>377</v>
      </c>
      <c r="C250" s="97" t="s">
        <v>14</v>
      </c>
      <c r="D250" s="98">
        <v>6</v>
      </c>
      <c r="E250" s="98">
        <v>4</v>
      </c>
      <c r="F250" s="98">
        <v>4</v>
      </c>
      <c r="G250" s="98">
        <v>1999.4889746494034</v>
      </c>
      <c r="H250" s="100">
        <v>1341.8799241782542</v>
      </c>
      <c r="I250" s="98">
        <v>1341.8799241782542</v>
      </c>
    </row>
    <row r="251" spans="1:9" ht="60" outlineLevel="1" x14ac:dyDescent="0.25">
      <c r="A251" s="101" t="s">
        <v>588</v>
      </c>
      <c r="B251" s="99" t="s">
        <v>378</v>
      </c>
      <c r="C251" s="98" t="s">
        <v>14</v>
      </c>
      <c r="D251" s="98">
        <v>257</v>
      </c>
      <c r="E251" s="100">
        <v>253</v>
      </c>
      <c r="F251" s="98">
        <v>253</v>
      </c>
      <c r="G251" s="98">
        <v>89021.402410897441</v>
      </c>
      <c r="H251" s="100">
        <v>88059.503297819931</v>
      </c>
      <c r="I251" s="98">
        <v>88059.503297819931</v>
      </c>
    </row>
    <row r="252" spans="1:9" ht="60" outlineLevel="1" x14ac:dyDescent="0.25">
      <c r="A252" s="101" t="s">
        <v>589</v>
      </c>
      <c r="B252" s="99" t="s">
        <v>379</v>
      </c>
      <c r="C252" s="98" t="s">
        <v>14</v>
      </c>
      <c r="D252" s="98">
        <v>2</v>
      </c>
      <c r="E252" s="98">
        <v>3</v>
      </c>
      <c r="F252" s="98">
        <v>3</v>
      </c>
      <c r="G252" s="98">
        <v>666.49543864231862</v>
      </c>
      <c r="H252" s="100">
        <v>1006.4099431336906</v>
      </c>
      <c r="I252" s="98">
        <v>1006.4099431336906</v>
      </c>
    </row>
    <row r="253" spans="1:9" ht="60" outlineLevel="1" x14ac:dyDescent="0.25">
      <c r="A253" s="101" t="s">
        <v>590</v>
      </c>
      <c r="B253" s="99" t="s">
        <v>591</v>
      </c>
      <c r="C253" s="98" t="s">
        <v>14</v>
      </c>
      <c r="D253" s="98">
        <v>22</v>
      </c>
      <c r="E253" s="98">
        <v>22</v>
      </c>
      <c r="F253" s="98">
        <v>22</v>
      </c>
      <c r="G253" s="98">
        <v>7331.4498250655033</v>
      </c>
      <c r="H253" s="100">
        <v>7380.3395829803985</v>
      </c>
      <c r="I253" s="98">
        <v>7380.3395829803985</v>
      </c>
    </row>
    <row r="254" spans="1:9" ht="75" outlineLevel="1" x14ac:dyDescent="0.25">
      <c r="A254" s="101" t="s">
        <v>592</v>
      </c>
      <c r="B254" s="99" t="s">
        <v>593</v>
      </c>
      <c r="C254" s="98" t="s">
        <v>14</v>
      </c>
      <c r="D254" s="98">
        <v>58</v>
      </c>
      <c r="E254" s="100">
        <v>62</v>
      </c>
      <c r="F254" s="98">
        <v>62</v>
      </c>
      <c r="G254" s="98">
        <v>19328.367720627237</v>
      </c>
      <c r="H254" s="100">
        <v>20799.138824762944</v>
      </c>
      <c r="I254" s="98">
        <v>20799.138824762944</v>
      </c>
    </row>
    <row r="255" spans="1:9" ht="60" outlineLevel="1" x14ac:dyDescent="0.25">
      <c r="A255" s="101" t="s">
        <v>594</v>
      </c>
      <c r="B255" s="99" t="s">
        <v>380</v>
      </c>
      <c r="C255" s="100" t="s">
        <v>14</v>
      </c>
      <c r="D255" s="98">
        <v>73</v>
      </c>
      <c r="E255" s="100">
        <v>73</v>
      </c>
      <c r="F255" s="98">
        <v>73</v>
      </c>
      <c r="G255" s="98">
        <v>46665.046988132213</v>
      </c>
      <c r="H255" s="100">
        <v>46521.540041054352</v>
      </c>
      <c r="I255" s="100">
        <v>46521.540041054352</v>
      </c>
    </row>
    <row r="256" spans="1:9" ht="45" outlineLevel="1" x14ac:dyDescent="0.25">
      <c r="A256" s="101" t="s">
        <v>595</v>
      </c>
      <c r="B256" s="99" t="s">
        <v>381</v>
      </c>
      <c r="C256" s="98" t="s">
        <v>14</v>
      </c>
      <c r="D256" s="98">
        <v>138</v>
      </c>
      <c r="E256" s="98">
        <v>138</v>
      </c>
      <c r="F256" s="98">
        <v>138</v>
      </c>
      <c r="G256" s="98">
        <v>36631.246084854989</v>
      </c>
      <c r="H256" s="100">
        <v>36782.176622862418</v>
      </c>
      <c r="I256" s="98">
        <v>36782.176622862418</v>
      </c>
    </row>
    <row r="257" spans="1:9" ht="75" outlineLevel="1" x14ac:dyDescent="0.25">
      <c r="A257" s="101" t="s">
        <v>596</v>
      </c>
      <c r="B257" s="99" t="s">
        <v>597</v>
      </c>
      <c r="C257" s="98" t="s">
        <v>14</v>
      </c>
      <c r="D257" s="98">
        <v>45</v>
      </c>
      <c r="E257" s="98">
        <v>50</v>
      </c>
      <c r="F257" s="98">
        <v>50</v>
      </c>
      <c r="G257" s="98">
        <v>19293.745242479989</v>
      </c>
      <c r="H257" s="100">
        <v>22970.942208556862</v>
      </c>
      <c r="I257" s="98">
        <v>22970.942208556862</v>
      </c>
    </row>
    <row r="258" spans="1:9" ht="75" outlineLevel="1" x14ac:dyDescent="0.25">
      <c r="A258" s="101" t="s">
        <v>598</v>
      </c>
      <c r="B258" s="99" t="s">
        <v>599</v>
      </c>
      <c r="C258" s="98" t="s">
        <v>14</v>
      </c>
      <c r="D258" s="98">
        <v>142</v>
      </c>
      <c r="E258" s="98">
        <v>152</v>
      </c>
      <c r="F258" s="98">
        <v>152</v>
      </c>
      <c r="G258" s="98">
        <v>47321.176143604614</v>
      </c>
      <c r="H258" s="100">
        <v>50991.437118773661</v>
      </c>
      <c r="I258" s="98">
        <v>50991.437118773661</v>
      </c>
    </row>
    <row r="259" spans="1:9" ht="75" outlineLevel="1" x14ac:dyDescent="0.25">
      <c r="A259" s="101" t="s">
        <v>600</v>
      </c>
      <c r="B259" s="99" t="s">
        <v>601</v>
      </c>
      <c r="C259" s="98" t="s">
        <v>14</v>
      </c>
      <c r="D259" s="98">
        <v>63</v>
      </c>
      <c r="E259" s="98">
        <v>67</v>
      </c>
      <c r="F259" s="98">
        <v>67</v>
      </c>
      <c r="G259" s="98">
        <v>28922.712389371427</v>
      </c>
      <c r="H259" s="100">
        <v>30924.085016784444</v>
      </c>
      <c r="I259" s="98">
        <v>30924.085016784444</v>
      </c>
    </row>
    <row r="260" spans="1:9" ht="60" outlineLevel="1" x14ac:dyDescent="0.25">
      <c r="A260" s="101" t="s">
        <v>602</v>
      </c>
      <c r="B260" s="99" t="s">
        <v>603</v>
      </c>
      <c r="C260" s="98" t="s">
        <v>14</v>
      </c>
      <c r="D260" s="98">
        <v>4</v>
      </c>
      <c r="E260" s="98">
        <v>4</v>
      </c>
      <c r="F260" s="98">
        <v>4</v>
      </c>
      <c r="G260" s="98">
        <v>133.32343125058483</v>
      </c>
      <c r="H260" s="100">
        <v>1341.8799241782542</v>
      </c>
      <c r="I260" s="98">
        <v>1341.8799241782542</v>
      </c>
    </row>
    <row r="261" spans="1:9" ht="75" outlineLevel="1" x14ac:dyDescent="0.25">
      <c r="A261" s="101" t="s">
        <v>604</v>
      </c>
      <c r="B261" s="99" t="s">
        <v>382</v>
      </c>
      <c r="C261" s="98" t="s">
        <v>14</v>
      </c>
      <c r="D261" s="98">
        <v>7</v>
      </c>
      <c r="E261" s="98">
        <v>7</v>
      </c>
      <c r="F261" s="98">
        <v>7</v>
      </c>
      <c r="G261" s="98">
        <v>5159.6363493809113</v>
      </c>
      <c r="H261" s="100">
        <v>4034.0492205604824</v>
      </c>
      <c r="I261" s="98">
        <v>4034.0492205604824</v>
      </c>
    </row>
    <row r="262" spans="1:9" ht="90" outlineLevel="1" x14ac:dyDescent="0.25">
      <c r="A262" s="101" t="s">
        <v>605</v>
      </c>
      <c r="B262" s="99" t="s">
        <v>383</v>
      </c>
      <c r="C262" s="98" t="s">
        <v>14</v>
      </c>
      <c r="D262" s="98">
        <v>16</v>
      </c>
      <c r="E262" s="98">
        <v>19</v>
      </c>
      <c r="F262" s="98">
        <v>19</v>
      </c>
      <c r="G262" s="98">
        <v>9181.4737024763417</v>
      </c>
      <c r="H262" s="100">
        <v>14073.553230196972</v>
      </c>
      <c r="I262" s="98">
        <v>14073.553230196972</v>
      </c>
    </row>
    <row r="263" spans="1:9" ht="90" outlineLevel="1" x14ac:dyDescent="0.25">
      <c r="A263" s="101" t="s">
        <v>606</v>
      </c>
      <c r="B263" s="99" t="s">
        <v>384</v>
      </c>
      <c r="C263" s="98" t="s">
        <v>14</v>
      </c>
      <c r="D263" s="98">
        <v>2</v>
      </c>
      <c r="E263" s="100">
        <v>2</v>
      </c>
      <c r="F263" s="98">
        <v>2</v>
      </c>
      <c r="G263" s="98">
        <v>1474.1818141088315</v>
      </c>
      <c r="H263" s="100">
        <v>1481.4266558102076</v>
      </c>
      <c r="I263" s="98">
        <v>1481.4266558102076</v>
      </c>
    </row>
    <row r="264" spans="1:9" ht="45" outlineLevel="1" x14ac:dyDescent="0.25">
      <c r="A264" s="101" t="s">
        <v>607</v>
      </c>
      <c r="B264" s="99" t="s">
        <v>385</v>
      </c>
      <c r="C264" s="98" t="s">
        <v>14</v>
      </c>
      <c r="D264" s="98">
        <v>101</v>
      </c>
      <c r="E264" s="100">
        <v>100</v>
      </c>
      <c r="F264" s="98">
        <v>100</v>
      </c>
      <c r="G264" s="98">
        <v>35790.930559761429</v>
      </c>
      <c r="H264" s="100">
        <v>35534.648762881654</v>
      </c>
      <c r="I264" s="98">
        <v>35534.648762881654</v>
      </c>
    </row>
    <row r="265" spans="1:9" ht="60" outlineLevel="1" x14ac:dyDescent="0.25">
      <c r="A265" s="101" t="s">
        <v>608</v>
      </c>
      <c r="B265" s="99" t="s">
        <v>609</v>
      </c>
      <c r="C265" s="98" t="s">
        <v>14</v>
      </c>
      <c r="D265" s="98">
        <v>6</v>
      </c>
      <c r="E265" s="100">
        <v>1</v>
      </c>
      <c r="F265" s="98">
        <v>1</v>
      </c>
      <c r="G265" s="98">
        <v>2482.1287411886983</v>
      </c>
      <c r="H265" s="100">
        <v>416.48743498497618</v>
      </c>
      <c r="I265" s="98">
        <v>416.48743498497618</v>
      </c>
    </row>
    <row r="266" spans="1:9" ht="60" outlineLevel="1" x14ac:dyDescent="0.25">
      <c r="A266" s="101" t="s">
        <v>610</v>
      </c>
      <c r="B266" s="99" t="s">
        <v>386</v>
      </c>
      <c r="C266" s="98" t="s">
        <v>14</v>
      </c>
      <c r="D266" s="98">
        <v>120</v>
      </c>
      <c r="E266" s="100">
        <v>125</v>
      </c>
      <c r="F266" s="98">
        <v>125</v>
      </c>
      <c r="G266" s="98">
        <v>50510.615279590827</v>
      </c>
      <c r="H266" s="100">
        <v>52891.463668319288</v>
      </c>
      <c r="I266" s="98">
        <v>52891.463668319288</v>
      </c>
    </row>
    <row r="267" spans="1:9" ht="90" outlineLevel="1" x14ac:dyDescent="0.25">
      <c r="A267" s="101" t="s">
        <v>611</v>
      </c>
      <c r="B267" s="99" t="s">
        <v>387</v>
      </c>
      <c r="C267" s="98" t="s">
        <v>14</v>
      </c>
      <c r="D267" s="98">
        <v>6</v>
      </c>
      <c r="E267" s="98">
        <v>1</v>
      </c>
      <c r="F267" s="98">
        <v>1</v>
      </c>
      <c r="G267" s="98">
        <v>2482.1287411886983</v>
      </c>
      <c r="H267" s="100">
        <v>635.84395879406293</v>
      </c>
      <c r="I267" s="98">
        <v>635.84395879406293</v>
      </c>
    </row>
    <row r="268" spans="1:9" ht="45" outlineLevel="1" x14ac:dyDescent="0.25">
      <c r="A268" s="101" t="s">
        <v>612</v>
      </c>
      <c r="B268" s="99" t="s">
        <v>613</v>
      </c>
      <c r="C268" s="98" t="s">
        <v>14</v>
      </c>
      <c r="D268" s="98">
        <v>9</v>
      </c>
      <c r="E268" s="98">
        <v>8</v>
      </c>
      <c r="F268" s="98">
        <v>8</v>
      </c>
      <c r="G268" s="98">
        <v>5436.5516735199826</v>
      </c>
      <c r="H268" s="100">
        <v>5086.7516703525034</v>
      </c>
      <c r="I268" s="98">
        <v>5086.7516703525034</v>
      </c>
    </row>
    <row r="269" spans="1:9" ht="45" outlineLevel="1" x14ac:dyDescent="0.25">
      <c r="A269" s="101" t="s">
        <v>614</v>
      </c>
      <c r="B269" s="99" t="s">
        <v>615</v>
      </c>
      <c r="C269" s="98" t="s">
        <v>14</v>
      </c>
      <c r="D269" s="98">
        <v>99</v>
      </c>
      <c r="E269" s="100">
        <v>99</v>
      </c>
      <c r="F269" s="98">
        <v>99</v>
      </c>
      <c r="G269" s="98">
        <v>59802.06840871981</v>
      </c>
      <c r="H269" s="100">
        <v>62948.551920612234</v>
      </c>
      <c r="I269" s="98">
        <v>62948.551920612234</v>
      </c>
    </row>
    <row r="270" spans="1:9" ht="60" outlineLevel="1" x14ac:dyDescent="0.25">
      <c r="A270" s="101" t="s">
        <v>616</v>
      </c>
      <c r="B270" s="99" t="s">
        <v>388</v>
      </c>
      <c r="C270" s="98" t="s">
        <v>14</v>
      </c>
      <c r="D270" s="98">
        <v>660</v>
      </c>
      <c r="E270" s="98">
        <v>653</v>
      </c>
      <c r="F270" s="98">
        <v>653</v>
      </c>
      <c r="G270" s="98">
        <v>358832.496711332</v>
      </c>
      <c r="H270" s="100">
        <v>357043.97987595981</v>
      </c>
      <c r="I270" s="98">
        <v>357043.97987595981</v>
      </c>
    </row>
    <row r="271" spans="1:9" ht="60" outlineLevel="1" x14ac:dyDescent="0.25">
      <c r="A271" s="101" t="s">
        <v>617</v>
      </c>
      <c r="B271" s="99" t="s">
        <v>389</v>
      </c>
      <c r="C271" s="98" t="s">
        <v>14</v>
      </c>
      <c r="D271" s="98">
        <v>264</v>
      </c>
      <c r="E271" s="98">
        <v>280</v>
      </c>
      <c r="F271" s="98">
        <v>280</v>
      </c>
      <c r="G271" s="98">
        <v>143532.99868453279</v>
      </c>
      <c r="H271" s="100">
        <v>153096.95921174387</v>
      </c>
      <c r="I271" s="98">
        <v>153096.95921174387</v>
      </c>
    </row>
    <row r="272" spans="1:9" ht="60" outlineLevel="1" x14ac:dyDescent="0.25">
      <c r="A272" s="101" t="s">
        <v>618</v>
      </c>
      <c r="B272" s="99" t="s">
        <v>390</v>
      </c>
      <c r="C272" s="98" t="s">
        <v>14</v>
      </c>
      <c r="D272" s="98">
        <v>132</v>
      </c>
      <c r="E272" s="98">
        <v>124</v>
      </c>
      <c r="F272" s="98">
        <v>124</v>
      </c>
      <c r="G272" s="98">
        <v>54606.832306151366</v>
      </c>
      <c r="H272" s="100">
        <v>51644.441938137039</v>
      </c>
      <c r="I272" s="98">
        <v>51644.441938137039</v>
      </c>
    </row>
    <row r="273" spans="1:9" ht="60" outlineLevel="1" x14ac:dyDescent="0.25">
      <c r="A273" s="101" t="s">
        <v>619</v>
      </c>
      <c r="B273" s="99" t="s">
        <v>620</v>
      </c>
      <c r="C273" s="98" t="s">
        <v>14</v>
      </c>
      <c r="D273" s="98">
        <v>47</v>
      </c>
      <c r="E273" s="98">
        <v>71</v>
      </c>
      <c r="F273" s="98">
        <v>71</v>
      </c>
      <c r="G273" s="98">
        <v>19443.341805978136</v>
      </c>
      <c r="H273" s="100">
        <v>29570.607883933302</v>
      </c>
      <c r="I273" s="98">
        <v>29570.607883933302</v>
      </c>
    </row>
    <row r="274" spans="1:9" ht="60" outlineLevel="1" x14ac:dyDescent="0.25">
      <c r="A274" s="101" t="s">
        <v>621</v>
      </c>
      <c r="B274" s="99" t="s">
        <v>622</v>
      </c>
      <c r="C274" s="98" t="s">
        <v>14</v>
      </c>
      <c r="D274" s="98">
        <v>138</v>
      </c>
      <c r="E274" s="98">
        <v>133</v>
      </c>
      <c r="F274" s="98">
        <v>133</v>
      </c>
      <c r="G274" s="98">
        <v>58087.207571529441</v>
      </c>
      <c r="H274" s="100">
        <v>56276.517343091728</v>
      </c>
      <c r="I274" s="98">
        <v>56276.517343091728</v>
      </c>
    </row>
    <row r="275" spans="1:9" ht="75" outlineLevel="1" x14ac:dyDescent="0.25">
      <c r="A275" s="101" t="s">
        <v>623</v>
      </c>
      <c r="B275" s="99" t="s">
        <v>624</v>
      </c>
      <c r="C275" s="98" t="s">
        <v>14</v>
      </c>
      <c r="D275" s="98">
        <v>65</v>
      </c>
      <c r="E275" s="98">
        <v>57</v>
      </c>
      <c r="F275" s="98">
        <v>57</v>
      </c>
      <c r="G275" s="98">
        <v>31670.716228619975</v>
      </c>
      <c r="H275" s="100">
        <v>29541.886189786943</v>
      </c>
      <c r="I275" s="98">
        <v>29541.886189786943</v>
      </c>
    </row>
    <row r="276" spans="1:9" ht="75" outlineLevel="1" x14ac:dyDescent="0.25">
      <c r="A276" s="101" t="s">
        <v>625</v>
      </c>
      <c r="B276" s="99" t="s">
        <v>626</v>
      </c>
      <c r="C276" s="98" t="s">
        <v>14</v>
      </c>
      <c r="D276" s="98">
        <v>1</v>
      </c>
      <c r="E276" s="98">
        <v>1</v>
      </c>
      <c r="F276" s="98">
        <v>1</v>
      </c>
      <c r="G276" s="98">
        <v>604.06129705777585</v>
      </c>
      <c r="H276" s="100">
        <v>635.84395879406293</v>
      </c>
      <c r="I276" s="98">
        <v>635.84395879406293</v>
      </c>
    </row>
    <row r="277" spans="1:9" ht="60" outlineLevel="1" x14ac:dyDescent="0.25">
      <c r="A277" s="101" t="s">
        <v>627</v>
      </c>
      <c r="B277" s="99" t="s">
        <v>628</v>
      </c>
      <c r="C277" s="98" t="s">
        <v>14</v>
      </c>
      <c r="D277" s="98">
        <v>30</v>
      </c>
      <c r="E277" s="98">
        <v>30</v>
      </c>
      <c r="F277" s="98">
        <v>30</v>
      </c>
      <c r="G277" s="98">
        <v>18121.838911733277</v>
      </c>
      <c r="H277" s="100">
        <v>19075.318763821891</v>
      </c>
      <c r="I277" s="98">
        <v>19075.318763821891</v>
      </c>
    </row>
    <row r="278" spans="1:9" ht="45" outlineLevel="1" x14ac:dyDescent="0.25">
      <c r="A278" s="101" t="s">
        <v>629</v>
      </c>
      <c r="B278" s="99" t="s">
        <v>630</v>
      </c>
      <c r="C278" s="98" t="s">
        <v>14</v>
      </c>
      <c r="D278" s="98">
        <v>12</v>
      </c>
      <c r="E278" s="98">
        <v>12</v>
      </c>
      <c r="F278" s="98">
        <v>12</v>
      </c>
      <c r="G278" s="98">
        <v>4516.0552398501768</v>
      </c>
      <c r="H278" s="100">
        <v>4529.7014146165047</v>
      </c>
      <c r="I278" s="98">
        <v>4529.7014146165047</v>
      </c>
    </row>
    <row r="279" spans="1:9" ht="60" outlineLevel="1" x14ac:dyDescent="0.25">
      <c r="A279" s="101" t="s">
        <v>631</v>
      </c>
      <c r="B279" s="99" t="s">
        <v>632</v>
      </c>
      <c r="C279" s="98" t="s">
        <v>14</v>
      </c>
      <c r="D279" s="98">
        <v>10</v>
      </c>
      <c r="E279" s="98">
        <v>11</v>
      </c>
      <c r="F279" s="98">
        <v>11</v>
      </c>
      <c r="G279" s="98">
        <v>4539.0724485511209</v>
      </c>
      <c r="H279" s="100">
        <v>5026.9636813308662</v>
      </c>
      <c r="I279" s="98">
        <v>5026.9636813308662</v>
      </c>
    </row>
    <row r="280" spans="1:9" ht="60" outlineLevel="1" x14ac:dyDescent="0.25">
      <c r="A280" s="101" t="s">
        <v>633</v>
      </c>
      <c r="B280" s="99" t="s">
        <v>391</v>
      </c>
      <c r="C280" s="98" t="s">
        <v>14</v>
      </c>
      <c r="D280" s="98">
        <v>65</v>
      </c>
      <c r="E280" s="98">
        <v>38</v>
      </c>
      <c r="F280" s="98">
        <v>38</v>
      </c>
      <c r="G280" s="98">
        <v>38280.894664082429</v>
      </c>
      <c r="H280" s="100">
        <v>22212.15933993848</v>
      </c>
      <c r="I280" s="98">
        <v>22212.15933993848</v>
      </c>
    </row>
    <row r="281" spans="1:9" ht="45" outlineLevel="1" x14ac:dyDescent="0.25">
      <c r="A281" s="101" t="s">
        <v>634</v>
      </c>
      <c r="B281" s="99" t="s">
        <v>392</v>
      </c>
      <c r="C281" s="98" t="s">
        <v>14</v>
      </c>
      <c r="D281" s="98">
        <v>6</v>
      </c>
      <c r="E281" s="98">
        <v>31</v>
      </c>
      <c r="F281" s="98">
        <v>31</v>
      </c>
      <c r="G281" s="98">
        <v>3367.3406532060844</v>
      </c>
      <c r="H281" s="100">
        <v>17497.606735896996</v>
      </c>
      <c r="I281" s="98">
        <v>17497.606735896996</v>
      </c>
    </row>
    <row r="282" spans="1:9" x14ac:dyDescent="0.25">
      <c r="A282" s="77"/>
      <c r="B282" s="78" t="s">
        <v>0</v>
      </c>
      <c r="C282" s="79"/>
      <c r="D282" s="77"/>
      <c r="E282" s="77"/>
      <c r="F282" s="77"/>
      <c r="G282" s="122">
        <f>SUM(G204:G281)</f>
        <v>6317971.5136258584</v>
      </c>
      <c r="H282" s="122">
        <f t="shared" ref="H282:I282" si="7">SUM(H204:H281)</f>
        <v>6424837.673126284</v>
      </c>
      <c r="I282" s="122">
        <f t="shared" si="7"/>
        <v>6424837.673126284</v>
      </c>
    </row>
    <row r="283" spans="1:9" ht="15" customHeight="1" x14ac:dyDescent="0.25">
      <c r="A283" s="157" t="s">
        <v>278</v>
      </c>
      <c r="B283" s="158"/>
      <c r="C283" s="158"/>
      <c r="D283" s="158"/>
      <c r="E283" s="158"/>
      <c r="F283" s="158"/>
      <c r="G283" s="158"/>
      <c r="H283" s="158"/>
      <c r="I283" s="159"/>
    </row>
    <row r="284" spans="1:9" ht="105" outlineLevel="1" x14ac:dyDescent="0.25">
      <c r="A284" s="105">
        <v>1</v>
      </c>
      <c r="B284" s="41" t="s">
        <v>502</v>
      </c>
      <c r="C284" s="12" t="s">
        <v>99</v>
      </c>
      <c r="D284" s="106">
        <v>151</v>
      </c>
      <c r="E284" s="106">
        <v>156</v>
      </c>
      <c r="F284" s="106">
        <v>157</v>
      </c>
      <c r="G284" s="80">
        <v>51098.89</v>
      </c>
      <c r="H284" s="80">
        <v>58219.17</v>
      </c>
      <c r="I284" s="80">
        <v>58219.17</v>
      </c>
    </row>
    <row r="285" spans="1:9" ht="90" outlineLevel="1" x14ac:dyDescent="0.25">
      <c r="A285" s="105">
        <v>2</v>
      </c>
      <c r="B285" s="41" t="s">
        <v>503</v>
      </c>
      <c r="C285" s="12" t="s">
        <v>99</v>
      </c>
      <c r="D285" s="106">
        <v>53</v>
      </c>
      <c r="E285" s="106">
        <v>51</v>
      </c>
      <c r="F285" s="106">
        <v>51</v>
      </c>
      <c r="G285" s="80">
        <v>10373.931</v>
      </c>
      <c r="H285" s="80">
        <v>11515.063410000001</v>
      </c>
      <c r="I285" s="80">
        <v>11515.063410000001</v>
      </c>
    </row>
    <row r="286" spans="1:9" ht="105" outlineLevel="1" x14ac:dyDescent="0.25">
      <c r="A286" s="105">
        <v>3</v>
      </c>
      <c r="B286" s="41" t="s">
        <v>504</v>
      </c>
      <c r="C286" s="12" t="s">
        <v>99</v>
      </c>
      <c r="D286" s="106">
        <v>75</v>
      </c>
      <c r="E286" s="106">
        <v>71</v>
      </c>
      <c r="F286" s="106">
        <v>71</v>
      </c>
      <c r="G286" s="80">
        <v>9648.4500000000007</v>
      </c>
      <c r="H286" s="80">
        <v>10709.779500000002</v>
      </c>
      <c r="I286" s="80">
        <v>10709.779500000002</v>
      </c>
    </row>
    <row r="287" spans="1:9" ht="90" outlineLevel="1" x14ac:dyDescent="0.25">
      <c r="A287" s="105">
        <v>4</v>
      </c>
      <c r="B287" s="41" t="s">
        <v>505</v>
      </c>
      <c r="C287" s="12" t="s">
        <v>99</v>
      </c>
      <c r="D287" s="106">
        <v>50</v>
      </c>
      <c r="E287" s="106">
        <v>63</v>
      </c>
      <c r="F287" s="106">
        <v>63</v>
      </c>
      <c r="G287" s="80">
        <v>30323.826000000001</v>
      </c>
      <c r="H287" s="80">
        <v>33659.446860000004</v>
      </c>
      <c r="I287" s="80">
        <v>33659.446860000004</v>
      </c>
    </row>
    <row r="288" spans="1:9" ht="90" outlineLevel="1" x14ac:dyDescent="0.25">
      <c r="A288" s="105">
        <v>5</v>
      </c>
      <c r="B288" s="41" t="s">
        <v>103</v>
      </c>
      <c r="C288" s="12" t="s">
        <v>99</v>
      </c>
      <c r="D288" s="106">
        <v>36</v>
      </c>
      <c r="E288" s="106">
        <v>77</v>
      </c>
      <c r="F288" s="106">
        <v>77</v>
      </c>
      <c r="G288" s="80">
        <v>25638.516000000003</v>
      </c>
      <c r="H288" s="80">
        <v>28458.752760000007</v>
      </c>
      <c r="I288" s="80">
        <v>28458.752760000007</v>
      </c>
    </row>
    <row r="289" spans="1:9" ht="105" outlineLevel="1" x14ac:dyDescent="0.25">
      <c r="A289" s="105">
        <v>6</v>
      </c>
      <c r="B289" s="41" t="s">
        <v>506</v>
      </c>
      <c r="C289" s="12" t="s">
        <v>99</v>
      </c>
      <c r="D289" s="106">
        <v>71</v>
      </c>
      <c r="E289" s="106">
        <v>38</v>
      </c>
      <c r="F289" s="106">
        <v>38</v>
      </c>
      <c r="G289" s="80">
        <v>34578.305999999997</v>
      </c>
      <c r="H289" s="80">
        <v>38381.91966</v>
      </c>
      <c r="I289" s="80">
        <v>38381.91966</v>
      </c>
    </row>
    <row r="290" spans="1:9" ht="90" outlineLevel="1" x14ac:dyDescent="0.25">
      <c r="A290" s="105">
        <v>7</v>
      </c>
      <c r="B290" s="41" t="s">
        <v>507</v>
      </c>
      <c r="C290" s="12" t="s">
        <v>99</v>
      </c>
      <c r="D290" s="106">
        <v>55</v>
      </c>
      <c r="E290" s="106">
        <v>55</v>
      </c>
      <c r="F290" s="106">
        <v>55</v>
      </c>
      <c r="G290" s="80">
        <v>23974.272000000001</v>
      </c>
      <c r="H290" s="80">
        <v>26611.441920000005</v>
      </c>
      <c r="I290" s="80">
        <v>26611.441920000005</v>
      </c>
    </row>
    <row r="291" spans="1:9" ht="45" outlineLevel="1" x14ac:dyDescent="0.25">
      <c r="A291" s="105">
        <v>8</v>
      </c>
      <c r="B291" s="41" t="s">
        <v>508</v>
      </c>
      <c r="C291" s="12" t="s">
        <v>509</v>
      </c>
      <c r="D291" s="106">
        <v>14400</v>
      </c>
      <c r="E291" s="106">
        <v>14400</v>
      </c>
      <c r="F291" s="106">
        <v>14400</v>
      </c>
      <c r="G291" s="80">
        <v>849.2</v>
      </c>
      <c r="H291" s="80">
        <v>2100.1999999999998</v>
      </c>
      <c r="I291" s="80">
        <v>2100.1999999999998</v>
      </c>
    </row>
    <row r="292" spans="1:9" ht="30" outlineLevel="1" x14ac:dyDescent="0.25">
      <c r="A292" s="105">
        <v>9</v>
      </c>
      <c r="B292" s="41" t="s">
        <v>510</v>
      </c>
      <c r="C292" s="12" t="s">
        <v>99</v>
      </c>
      <c r="D292" s="106">
        <v>189345</v>
      </c>
      <c r="E292" s="106">
        <v>189345</v>
      </c>
      <c r="F292" s="106">
        <v>244357</v>
      </c>
      <c r="G292" s="80">
        <v>273462.98</v>
      </c>
      <c r="H292" s="80">
        <v>352767.24419999996</v>
      </c>
      <c r="I292" s="80">
        <v>352767.24419999996</v>
      </c>
    </row>
    <row r="293" spans="1:9" ht="30" outlineLevel="1" x14ac:dyDescent="0.25">
      <c r="A293" s="105">
        <v>10</v>
      </c>
      <c r="B293" s="41" t="s">
        <v>511</v>
      </c>
      <c r="C293" s="12" t="s">
        <v>99</v>
      </c>
      <c r="D293" s="106">
        <v>30805</v>
      </c>
      <c r="E293" s="106">
        <v>30805</v>
      </c>
      <c r="F293" s="106">
        <v>43674</v>
      </c>
      <c r="G293" s="80">
        <v>47160.13</v>
      </c>
      <c r="H293" s="80">
        <v>60836.5677</v>
      </c>
      <c r="I293" s="80">
        <v>60836.5677</v>
      </c>
    </row>
    <row r="294" spans="1:9" ht="30" outlineLevel="1" x14ac:dyDescent="0.25">
      <c r="A294" s="105">
        <v>11</v>
      </c>
      <c r="B294" s="41" t="s">
        <v>512</v>
      </c>
      <c r="C294" s="12" t="s">
        <v>99</v>
      </c>
      <c r="D294" s="106">
        <v>12950</v>
      </c>
      <c r="E294" s="106">
        <v>12950</v>
      </c>
      <c r="F294" s="106">
        <v>20958</v>
      </c>
      <c r="G294" s="80">
        <v>36464.03</v>
      </c>
      <c r="H294" s="80">
        <v>47038.598700000002</v>
      </c>
      <c r="I294" s="80">
        <v>47038.598700000002</v>
      </c>
    </row>
    <row r="295" spans="1:9" ht="30" outlineLevel="1" x14ac:dyDescent="0.25">
      <c r="A295" s="105">
        <v>12</v>
      </c>
      <c r="B295" s="41" t="s">
        <v>513</v>
      </c>
      <c r="C295" s="12" t="s">
        <v>99</v>
      </c>
      <c r="D295" s="106">
        <v>87997</v>
      </c>
      <c r="E295" s="106">
        <v>87997</v>
      </c>
      <c r="F295" s="106">
        <v>102352</v>
      </c>
      <c r="G295" s="80">
        <v>109514.2</v>
      </c>
      <c r="H295" s="80">
        <v>153463.6</v>
      </c>
      <c r="I295" s="80">
        <v>153463.6</v>
      </c>
    </row>
    <row r="296" spans="1:9" ht="30" outlineLevel="1" x14ac:dyDescent="0.25">
      <c r="A296" s="105">
        <v>13</v>
      </c>
      <c r="B296" s="41" t="s">
        <v>514</v>
      </c>
      <c r="C296" s="12" t="s">
        <v>99</v>
      </c>
      <c r="D296" s="106">
        <v>4300</v>
      </c>
      <c r="E296" s="106">
        <v>4300</v>
      </c>
      <c r="F296" s="106">
        <v>15048</v>
      </c>
      <c r="G296" s="80">
        <v>3913.24</v>
      </c>
      <c r="H296" s="80">
        <v>5126.34</v>
      </c>
      <c r="I296" s="80">
        <v>5126.34</v>
      </c>
    </row>
    <row r="297" spans="1:9" outlineLevel="1" x14ac:dyDescent="0.25">
      <c r="A297" s="105">
        <v>14</v>
      </c>
      <c r="B297" s="41" t="s">
        <v>396</v>
      </c>
      <c r="C297" s="12" t="s">
        <v>515</v>
      </c>
      <c r="D297" s="106">
        <v>19</v>
      </c>
      <c r="E297" s="106">
        <v>19</v>
      </c>
      <c r="F297" s="106">
        <v>21</v>
      </c>
      <c r="G297" s="80">
        <v>90986.25</v>
      </c>
      <c r="H297" s="80">
        <v>117372.2625</v>
      </c>
      <c r="I297" s="80">
        <v>117372.2625</v>
      </c>
    </row>
    <row r="298" spans="1:9" ht="30" outlineLevel="1" x14ac:dyDescent="0.25">
      <c r="A298" s="105">
        <v>15</v>
      </c>
      <c r="B298" s="41" t="s">
        <v>395</v>
      </c>
      <c r="C298" s="12" t="s">
        <v>516</v>
      </c>
      <c r="D298" s="106">
        <v>51</v>
      </c>
      <c r="E298" s="106">
        <v>51</v>
      </c>
      <c r="F298" s="106">
        <v>52</v>
      </c>
      <c r="G298" s="80">
        <v>25235.98</v>
      </c>
      <c r="H298" s="80">
        <v>42622.83</v>
      </c>
      <c r="I298" s="80">
        <v>42622.83</v>
      </c>
    </row>
    <row r="299" spans="1:9" outlineLevel="1" x14ac:dyDescent="0.25">
      <c r="A299" s="105"/>
      <c r="B299" s="41" t="s">
        <v>397</v>
      </c>
      <c r="C299" s="12" t="s">
        <v>394</v>
      </c>
      <c r="D299" s="106">
        <v>11000</v>
      </c>
      <c r="E299" s="106">
        <v>11000</v>
      </c>
      <c r="F299" s="106">
        <v>13870</v>
      </c>
      <c r="G299" s="80">
        <v>2271.4</v>
      </c>
      <c r="H299" s="80">
        <v>2930.1060000000002</v>
      </c>
      <c r="I299" s="80">
        <v>2930.1060000000002</v>
      </c>
    </row>
    <row r="300" spans="1:9" ht="45" outlineLevel="1" x14ac:dyDescent="0.25">
      <c r="A300" s="105">
        <v>16</v>
      </c>
      <c r="B300" s="41" t="s">
        <v>517</v>
      </c>
      <c r="C300" s="12" t="s">
        <v>99</v>
      </c>
      <c r="D300" s="106">
        <v>384</v>
      </c>
      <c r="E300" s="106">
        <v>384</v>
      </c>
      <c r="F300" s="106">
        <v>384</v>
      </c>
      <c r="G300" s="80">
        <v>42305</v>
      </c>
      <c r="H300" s="80">
        <v>50766</v>
      </c>
      <c r="I300" s="80">
        <v>50766</v>
      </c>
    </row>
    <row r="301" spans="1:9" ht="45" outlineLevel="1" x14ac:dyDescent="0.25">
      <c r="A301" s="105">
        <v>17</v>
      </c>
      <c r="B301" s="41" t="s">
        <v>348</v>
      </c>
      <c r="C301" s="12" t="s">
        <v>518</v>
      </c>
      <c r="D301" s="106">
        <v>358</v>
      </c>
      <c r="E301" s="106">
        <v>358</v>
      </c>
      <c r="F301" s="106">
        <v>678</v>
      </c>
      <c r="G301" s="80">
        <v>202364.9</v>
      </c>
      <c r="H301" s="80">
        <v>212229</v>
      </c>
      <c r="I301" s="80">
        <v>212229</v>
      </c>
    </row>
    <row r="302" spans="1:9" ht="45" outlineLevel="1" x14ac:dyDescent="0.25">
      <c r="A302" s="105" t="s">
        <v>519</v>
      </c>
      <c r="B302" s="41" t="s">
        <v>520</v>
      </c>
      <c r="C302" s="12" t="s">
        <v>521</v>
      </c>
      <c r="D302" s="106">
        <v>21</v>
      </c>
      <c r="E302" s="106">
        <v>21</v>
      </c>
      <c r="F302" s="106">
        <v>21</v>
      </c>
      <c r="G302" s="80">
        <v>1500</v>
      </c>
      <c r="H302" s="80">
        <v>1500</v>
      </c>
      <c r="I302" s="80">
        <v>1500</v>
      </c>
    </row>
    <row r="303" spans="1:9" ht="45" outlineLevel="1" x14ac:dyDescent="0.25">
      <c r="A303" s="105">
        <v>18</v>
      </c>
      <c r="B303" s="41" t="s">
        <v>522</v>
      </c>
      <c r="C303" s="12" t="s">
        <v>393</v>
      </c>
      <c r="D303" s="106">
        <v>3343296</v>
      </c>
      <c r="E303" s="106">
        <v>3343296</v>
      </c>
      <c r="F303" s="106">
        <v>3343296</v>
      </c>
      <c r="G303" s="80">
        <v>85030.3</v>
      </c>
      <c r="H303" s="80">
        <v>129457.1</v>
      </c>
      <c r="I303" s="80">
        <v>129457.1</v>
      </c>
    </row>
    <row r="304" spans="1:9" ht="30" outlineLevel="1" x14ac:dyDescent="0.25">
      <c r="A304" s="105">
        <v>19</v>
      </c>
      <c r="B304" s="41" t="s">
        <v>114</v>
      </c>
      <c r="C304" s="12" t="s">
        <v>523</v>
      </c>
      <c r="D304" s="106">
        <v>6</v>
      </c>
      <c r="E304" s="106">
        <v>6</v>
      </c>
      <c r="F304" s="106">
        <v>6</v>
      </c>
      <c r="G304" s="80">
        <v>26084.719999999998</v>
      </c>
      <c r="H304" s="80">
        <v>26991.9</v>
      </c>
      <c r="I304" s="80">
        <v>26991.9</v>
      </c>
    </row>
    <row r="305" spans="1:9" ht="30" outlineLevel="1" x14ac:dyDescent="0.25">
      <c r="A305" s="105">
        <v>20</v>
      </c>
      <c r="B305" s="41" t="s">
        <v>117</v>
      </c>
      <c r="C305" s="12" t="s">
        <v>523</v>
      </c>
      <c r="D305" s="106">
        <v>6</v>
      </c>
      <c r="E305" s="106">
        <v>6</v>
      </c>
      <c r="F305" s="106">
        <v>7</v>
      </c>
      <c r="G305" s="80">
        <v>7234.1</v>
      </c>
      <c r="H305" s="80">
        <v>7234.1</v>
      </c>
      <c r="I305" s="80">
        <v>7234.1</v>
      </c>
    </row>
    <row r="306" spans="1:9" ht="45" outlineLevel="1" x14ac:dyDescent="0.25">
      <c r="A306" s="105">
        <v>21</v>
      </c>
      <c r="B306" s="41" t="s">
        <v>118</v>
      </c>
      <c r="C306" s="12" t="s">
        <v>524</v>
      </c>
      <c r="D306" s="106">
        <v>65000</v>
      </c>
      <c r="E306" s="106">
        <v>65000</v>
      </c>
      <c r="F306" s="106">
        <v>66529</v>
      </c>
      <c r="G306" s="80">
        <v>14509.7</v>
      </c>
      <c r="H306" s="80">
        <v>14509.7</v>
      </c>
      <c r="I306" s="80">
        <v>14509.7</v>
      </c>
    </row>
    <row r="307" spans="1:9" ht="120" outlineLevel="1" x14ac:dyDescent="0.25">
      <c r="A307" s="105">
        <v>22</v>
      </c>
      <c r="B307" s="41" t="s">
        <v>525</v>
      </c>
      <c r="C307" s="12" t="s">
        <v>526</v>
      </c>
      <c r="D307" s="106">
        <v>5</v>
      </c>
      <c r="E307" s="106">
        <v>5</v>
      </c>
      <c r="F307" s="106">
        <v>5</v>
      </c>
      <c r="G307" s="80">
        <v>55369.1</v>
      </c>
      <c r="H307" s="80">
        <v>53369.1</v>
      </c>
      <c r="I307" s="80">
        <v>53369.1</v>
      </c>
    </row>
    <row r="308" spans="1:9" ht="105" outlineLevel="1" x14ac:dyDescent="0.25">
      <c r="A308" s="105">
        <v>23</v>
      </c>
      <c r="B308" s="41" t="s">
        <v>527</v>
      </c>
      <c r="C308" s="12" t="s">
        <v>526</v>
      </c>
      <c r="D308" s="106">
        <v>4</v>
      </c>
      <c r="E308" s="106">
        <v>4</v>
      </c>
      <c r="F308" s="106">
        <v>5</v>
      </c>
      <c r="G308" s="80">
        <v>7484.4</v>
      </c>
      <c r="H308" s="80">
        <v>7484.4</v>
      </c>
      <c r="I308" s="80">
        <v>7484.4</v>
      </c>
    </row>
    <row r="309" spans="1:9" ht="135" outlineLevel="1" x14ac:dyDescent="0.25">
      <c r="A309" s="105">
        <v>24</v>
      </c>
      <c r="B309" s="41" t="s">
        <v>528</v>
      </c>
      <c r="C309" s="12" t="s">
        <v>529</v>
      </c>
      <c r="D309" s="106">
        <v>8</v>
      </c>
      <c r="E309" s="106">
        <v>8</v>
      </c>
      <c r="F309" s="106">
        <v>10</v>
      </c>
      <c r="G309" s="80">
        <v>4779</v>
      </c>
      <c r="H309" s="80">
        <v>4779</v>
      </c>
      <c r="I309" s="80">
        <v>4779</v>
      </c>
    </row>
    <row r="310" spans="1:9" ht="150" outlineLevel="1" x14ac:dyDescent="0.25">
      <c r="A310" s="105">
        <v>25</v>
      </c>
      <c r="B310" s="41" t="s">
        <v>530</v>
      </c>
      <c r="C310" s="12" t="s">
        <v>531</v>
      </c>
      <c r="D310" s="106">
        <v>15</v>
      </c>
      <c r="E310" s="106">
        <v>15</v>
      </c>
      <c r="F310" s="106">
        <v>15</v>
      </c>
      <c r="G310" s="80">
        <v>5458.96</v>
      </c>
      <c r="H310" s="80">
        <v>5458.96</v>
      </c>
      <c r="I310" s="80">
        <v>5458.96</v>
      </c>
    </row>
    <row r="311" spans="1:9" outlineLevel="1" x14ac:dyDescent="0.25">
      <c r="A311" s="105"/>
      <c r="B311" s="41" t="s">
        <v>532</v>
      </c>
      <c r="C311" s="12"/>
      <c r="D311" s="106"/>
      <c r="E311" s="106"/>
      <c r="F311" s="106"/>
      <c r="G311" s="80">
        <v>9939.7999999999993</v>
      </c>
      <c r="H311" s="80">
        <v>19040.8</v>
      </c>
      <c r="I311" s="80">
        <v>19040.8</v>
      </c>
    </row>
    <row r="312" spans="1:9" x14ac:dyDescent="0.25">
      <c r="A312" s="72"/>
      <c r="B312" s="73" t="s">
        <v>0</v>
      </c>
      <c r="C312" s="58"/>
      <c r="D312" s="72"/>
      <c r="E312" s="72"/>
      <c r="F312" s="72"/>
      <c r="G312" s="122">
        <f>SUM(G284:G311)</f>
        <v>1237553.581</v>
      </c>
      <c r="H312" s="122">
        <f>SUM(H284:H311)</f>
        <v>1524633.3832099999</v>
      </c>
      <c r="I312" s="122">
        <f>SUM(I284:I311)</f>
        <v>1524633.3832099999</v>
      </c>
    </row>
    <row r="313" spans="1:9" ht="15" customHeight="1" x14ac:dyDescent="0.25">
      <c r="A313" s="161" t="s">
        <v>280</v>
      </c>
      <c r="B313" s="162"/>
      <c r="C313" s="162"/>
      <c r="D313" s="162"/>
      <c r="E313" s="162"/>
      <c r="F313" s="162"/>
      <c r="G313" s="162"/>
      <c r="H313" s="162"/>
      <c r="I313" s="163"/>
    </row>
    <row r="314" spans="1:9" ht="30" outlineLevel="1" x14ac:dyDescent="0.25">
      <c r="A314" s="94">
        <v>1</v>
      </c>
      <c r="B314" s="118" t="s">
        <v>342</v>
      </c>
      <c r="C314" s="38" t="s">
        <v>463</v>
      </c>
      <c r="D314" s="119">
        <v>1226707</v>
      </c>
      <c r="E314" s="119">
        <v>1226707</v>
      </c>
      <c r="F314" s="119">
        <v>2213330</v>
      </c>
      <c r="G314" s="120">
        <v>267636.30298295239</v>
      </c>
      <c r="H314" s="120">
        <v>275011.52500000002</v>
      </c>
      <c r="I314" s="120">
        <v>275011.52500000002</v>
      </c>
    </row>
    <row r="315" spans="1:9" ht="30" outlineLevel="1" x14ac:dyDescent="0.25">
      <c r="A315" s="94">
        <v>2</v>
      </c>
      <c r="B315" s="118" t="s">
        <v>343</v>
      </c>
      <c r="C315" s="38" t="s">
        <v>463</v>
      </c>
      <c r="D315" s="119">
        <v>234466</v>
      </c>
      <c r="E315" s="119">
        <v>234466</v>
      </c>
      <c r="F315" s="119">
        <v>327528</v>
      </c>
      <c r="G315" s="120">
        <v>36607.23904020965</v>
      </c>
      <c r="H315" s="120">
        <v>40423.56</v>
      </c>
      <c r="I315" s="120">
        <v>40423.56</v>
      </c>
    </row>
    <row r="316" spans="1:9" ht="30" outlineLevel="1" x14ac:dyDescent="0.25">
      <c r="A316" s="94">
        <v>3</v>
      </c>
      <c r="B316" s="118" t="s">
        <v>344</v>
      </c>
      <c r="C316" s="38" t="s">
        <v>463</v>
      </c>
      <c r="D316" s="119">
        <v>475313</v>
      </c>
      <c r="E316" s="119">
        <v>475313</v>
      </c>
      <c r="F316" s="119">
        <v>1157861</v>
      </c>
      <c r="G316" s="120">
        <v>29417.759228707706</v>
      </c>
      <c r="H316" s="120">
        <v>31837.56</v>
      </c>
      <c r="I316" s="120">
        <v>31837.56</v>
      </c>
    </row>
    <row r="317" spans="1:9" ht="45" outlineLevel="1" x14ac:dyDescent="0.25">
      <c r="A317" s="94">
        <v>4</v>
      </c>
      <c r="B317" s="118" t="s">
        <v>345</v>
      </c>
      <c r="C317" s="38" t="s">
        <v>464</v>
      </c>
      <c r="D317" s="119">
        <v>221</v>
      </c>
      <c r="E317" s="119">
        <v>221</v>
      </c>
      <c r="F317" s="119">
        <v>307</v>
      </c>
      <c r="G317" s="120">
        <v>325036.01147801272</v>
      </c>
      <c r="H317" s="120">
        <v>342571.473</v>
      </c>
      <c r="I317" s="120">
        <v>342571.473</v>
      </c>
    </row>
    <row r="318" spans="1:9" ht="45" outlineLevel="1" x14ac:dyDescent="0.25">
      <c r="A318" s="94">
        <v>5</v>
      </c>
      <c r="B318" s="118" t="s">
        <v>346</v>
      </c>
      <c r="C318" s="38" t="s">
        <v>465</v>
      </c>
      <c r="D318" s="119">
        <v>520636</v>
      </c>
      <c r="E318" s="119">
        <v>520636</v>
      </c>
      <c r="F318" s="119">
        <v>521379</v>
      </c>
      <c r="G318" s="120">
        <v>20917.819451564181</v>
      </c>
      <c r="H318" s="120">
        <v>21962.799999999999</v>
      </c>
      <c r="I318" s="120">
        <v>21962.799999999999</v>
      </c>
    </row>
    <row r="319" spans="1:9" ht="30" outlineLevel="1" x14ac:dyDescent="0.25">
      <c r="A319" s="94">
        <v>6</v>
      </c>
      <c r="B319" s="118" t="s">
        <v>347</v>
      </c>
      <c r="C319" s="38" t="s">
        <v>465</v>
      </c>
      <c r="D319" s="119">
        <v>418151</v>
      </c>
      <c r="E319" s="119">
        <v>418151</v>
      </c>
      <c r="F319" s="119">
        <v>420418</v>
      </c>
      <c r="G319" s="120">
        <v>19772.509481592595</v>
      </c>
      <c r="H319" s="120">
        <v>20270.25</v>
      </c>
      <c r="I319" s="120">
        <v>20270.25</v>
      </c>
    </row>
    <row r="320" spans="1:9" ht="45" outlineLevel="1" x14ac:dyDescent="0.25">
      <c r="A320" s="179">
        <v>7</v>
      </c>
      <c r="B320" s="153" t="s">
        <v>348</v>
      </c>
      <c r="C320" s="38" t="s">
        <v>466</v>
      </c>
      <c r="D320" s="119">
        <v>34</v>
      </c>
      <c r="E320" s="119">
        <v>34</v>
      </c>
      <c r="F320" s="119">
        <v>137</v>
      </c>
      <c r="G320" s="182">
        <v>29009.599239409101</v>
      </c>
      <c r="H320" s="182">
        <v>71756</v>
      </c>
      <c r="I320" s="182">
        <v>71756</v>
      </c>
    </row>
    <row r="321" spans="1:9" ht="45" outlineLevel="1" x14ac:dyDescent="0.25">
      <c r="A321" s="180"/>
      <c r="B321" s="181"/>
      <c r="C321" s="38" t="s">
        <v>467</v>
      </c>
      <c r="D321" s="119">
        <v>6050</v>
      </c>
      <c r="E321" s="119">
        <v>6050</v>
      </c>
      <c r="F321" s="119">
        <v>35251</v>
      </c>
      <c r="G321" s="183"/>
      <c r="H321" s="183"/>
      <c r="I321" s="183"/>
    </row>
    <row r="322" spans="1:9" ht="60" outlineLevel="1" x14ac:dyDescent="0.25">
      <c r="A322" s="94">
        <v>8</v>
      </c>
      <c r="B322" s="118" t="s">
        <v>349</v>
      </c>
      <c r="C322" s="38" t="s">
        <v>468</v>
      </c>
      <c r="D322" s="119">
        <v>5</v>
      </c>
      <c r="E322" s="119">
        <v>5</v>
      </c>
      <c r="F322" s="119">
        <v>8</v>
      </c>
      <c r="G322" s="120">
        <v>11335.579702797035</v>
      </c>
      <c r="H322" s="120">
        <v>13476.213</v>
      </c>
      <c r="I322" s="120">
        <v>13476.213</v>
      </c>
    </row>
    <row r="323" spans="1:9" ht="45" outlineLevel="1" x14ac:dyDescent="0.25">
      <c r="A323" s="94">
        <v>9</v>
      </c>
      <c r="B323" s="118" t="s">
        <v>469</v>
      </c>
      <c r="C323" s="38" t="s">
        <v>350</v>
      </c>
      <c r="D323" s="119">
        <v>1627897</v>
      </c>
      <c r="E323" s="119">
        <v>1627897</v>
      </c>
      <c r="F323" s="119">
        <v>1627897</v>
      </c>
      <c r="G323" s="120">
        <v>23084.579394754779</v>
      </c>
      <c r="H323" s="120">
        <v>23084.603999999999</v>
      </c>
      <c r="I323" s="120">
        <v>23084.603999999999</v>
      </c>
    </row>
    <row r="324" spans="1:9" x14ac:dyDescent="0.25">
      <c r="A324" s="72"/>
      <c r="B324" s="73" t="s">
        <v>0</v>
      </c>
      <c r="C324" s="58"/>
      <c r="D324" s="72"/>
      <c r="E324" s="72"/>
      <c r="F324" s="72"/>
      <c r="G324" s="122">
        <f>SUM(G314:G323)</f>
        <v>762817.40000000014</v>
      </c>
      <c r="H324" s="122">
        <f t="shared" ref="H324:I324" si="8">SUM(H314:H323)</f>
        <v>840393.9850000001</v>
      </c>
      <c r="I324" s="122">
        <f t="shared" si="8"/>
        <v>840393.9850000001</v>
      </c>
    </row>
    <row r="325" spans="1:9" ht="15" customHeight="1" x14ac:dyDescent="0.25">
      <c r="A325" s="157" t="s">
        <v>279</v>
      </c>
      <c r="B325" s="158"/>
      <c r="C325" s="158"/>
      <c r="D325" s="158"/>
      <c r="E325" s="158"/>
      <c r="F325" s="158"/>
      <c r="G325" s="158"/>
      <c r="H325" s="158"/>
      <c r="I325" s="159"/>
    </row>
    <row r="326" spans="1:9" outlineLevel="1" x14ac:dyDescent="0.25">
      <c r="A326" s="178" t="s">
        <v>478</v>
      </c>
      <c r="B326" s="178"/>
      <c r="C326" s="178"/>
      <c r="D326" s="178"/>
      <c r="E326" s="178"/>
      <c r="F326" s="178"/>
      <c r="G326" s="178"/>
      <c r="H326" s="178"/>
      <c r="I326" s="178"/>
    </row>
    <row r="327" spans="1:9" ht="30" outlineLevel="1" x14ac:dyDescent="0.25">
      <c r="A327" s="105">
        <v>1</v>
      </c>
      <c r="B327" s="76" t="s">
        <v>351</v>
      </c>
      <c r="C327" s="22" t="s">
        <v>356</v>
      </c>
      <c r="D327" s="95">
        <v>340000</v>
      </c>
      <c r="E327" s="95">
        <v>340000</v>
      </c>
      <c r="F327" s="95">
        <v>386856.86</v>
      </c>
      <c r="G327" s="169">
        <v>568651.74</v>
      </c>
      <c r="H327" s="169">
        <v>592249.25399999996</v>
      </c>
      <c r="I327" s="169">
        <v>592249.25399999996</v>
      </c>
    </row>
    <row r="328" spans="1:9" ht="30" outlineLevel="1" x14ac:dyDescent="0.25">
      <c r="A328" s="105">
        <v>2</v>
      </c>
      <c r="B328" s="76" t="s">
        <v>352</v>
      </c>
      <c r="C328" s="22" t="s">
        <v>356</v>
      </c>
      <c r="D328" s="95">
        <v>65000</v>
      </c>
      <c r="E328" s="95">
        <v>65000</v>
      </c>
      <c r="F328" s="95">
        <v>81268.58</v>
      </c>
      <c r="G328" s="170"/>
      <c r="H328" s="170"/>
      <c r="I328" s="170"/>
    </row>
    <row r="329" spans="1:9" ht="30" outlineLevel="1" x14ac:dyDescent="0.25">
      <c r="A329" s="105">
        <v>3</v>
      </c>
      <c r="B329" s="76" t="s">
        <v>353</v>
      </c>
      <c r="C329" s="22" t="s">
        <v>356</v>
      </c>
      <c r="D329" s="95">
        <v>20000</v>
      </c>
      <c r="E329" s="95">
        <v>20000</v>
      </c>
      <c r="F329" s="95">
        <v>22892.560000000001</v>
      </c>
      <c r="G329" s="171"/>
      <c r="H329" s="171"/>
      <c r="I329" s="171"/>
    </row>
    <row r="330" spans="1:9" ht="45" outlineLevel="1" x14ac:dyDescent="0.25">
      <c r="A330" s="105">
        <v>4</v>
      </c>
      <c r="B330" s="76" t="s">
        <v>354</v>
      </c>
      <c r="C330" s="22" t="s">
        <v>357</v>
      </c>
      <c r="D330" s="96">
        <v>1</v>
      </c>
      <c r="E330" s="96">
        <v>1</v>
      </c>
      <c r="F330" s="96">
        <v>1</v>
      </c>
      <c r="G330" s="103">
        <v>756</v>
      </c>
      <c r="H330" s="103">
        <v>629.02038000000005</v>
      </c>
      <c r="I330" s="103">
        <v>629.02</v>
      </c>
    </row>
    <row r="331" spans="1:9" ht="60" outlineLevel="1" x14ac:dyDescent="0.25">
      <c r="A331" s="105">
        <v>5</v>
      </c>
      <c r="B331" s="76" t="s">
        <v>355</v>
      </c>
      <c r="C331" s="22" t="s">
        <v>357</v>
      </c>
      <c r="D331" s="96">
        <v>1</v>
      </c>
      <c r="E331" s="96">
        <v>1</v>
      </c>
      <c r="F331" s="96">
        <v>1</v>
      </c>
      <c r="G331" s="103">
        <v>2502</v>
      </c>
      <c r="H331" s="103">
        <v>2192.6979999999999</v>
      </c>
      <c r="I331" s="103">
        <v>2192.6999999999998</v>
      </c>
    </row>
    <row r="332" spans="1:9" outlineLevel="1" x14ac:dyDescent="0.25">
      <c r="A332" s="178" t="s">
        <v>479</v>
      </c>
      <c r="B332" s="178"/>
      <c r="C332" s="178"/>
      <c r="D332" s="178"/>
      <c r="E332" s="178"/>
      <c r="F332" s="178"/>
      <c r="G332" s="178"/>
      <c r="H332" s="178"/>
      <c r="I332" s="178"/>
    </row>
    <row r="333" spans="1:9" ht="30" outlineLevel="1" x14ac:dyDescent="0.25">
      <c r="A333" s="105">
        <v>1</v>
      </c>
      <c r="B333" s="76" t="s">
        <v>480</v>
      </c>
      <c r="C333" s="22" t="s">
        <v>481</v>
      </c>
      <c r="D333" s="95" t="s">
        <v>58</v>
      </c>
      <c r="E333" s="95">
        <v>55758.55</v>
      </c>
      <c r="F333" s="95">
        <v>55827.95</v>
      </c>
      <c r="G333" s="169" t="s">
        <v>58</v>
      </c>
      <c r="H333" s="169">
        <v>167418.81</v>
      </c>
      <c r="I333" s="169">
        <v>167418.81</v>
      </c>
    </row>
    <row r="334" spans="1:9" ht="180" outlineLevel="1" x14ac:dyDescent="0.25">
      <c r="A334" s="105">
        <v>2</v>
      </c>
      <c r="B334" s="76" t="s">
        <v>482</v>
      </c>
      <c r="C334" s="22" t="s">
        <v>481</v>
      </c>
      <c r="D334" s="95" t="s">
        <v>58</v>
      </c>
      <c r="E334" s="95">
        <v>3566.5</v>
      </c>
      <c r="F334" s="95">
        <v>3566.5</v>
      </c>
      <c r="G334" s="170"/>
      <c r="H334" s="170"/>
      <c r="I334" s="170"/>
    </row>
    <row r="335" spans="1:9" ht="30" outlineLevel="1" x14ac:dyDescent="0.25">
      <c r="A335" s="105">
        <v>3</v>
      </c>
      <c r="B335" s="76" t="s">
        <v>483</v>
      </c>
      <c r="C335" s="22" t="s">
        <v>481</v>
      </c>
      <c r="D335" s="95" t="s">
        <v>58</v>
      </c>
      <c r="E335" s="95">
        <v>1968.98</v>
      </c>
      <c r="F335" s="95">
        <v>1968.98</v>
      </c>
      <c r="G335" s="171"/>
      <c r="H335" s="171"/>
      <c r="I335" s="171"/>
    </row>
    <row r="336" spans="1:9" ht="45" outlineLevel="1" x14ac:dyDescent="0.25">
      <c r="A336" s="105">
        <v>4</v>
      </c>
      <c r="B336" s="76" t="s">
        <v>484</v>
      </c>
      <c r="C336" s="22" t="s">
        <v>481</v>
      </c>
      <c r="D336" s="95" t="s">
        <v>58</v>
      </c>
      <c r="E336" s="95">
        <v>31.9</v>
      </c>
      <c r="F336" s="95">
        <v>31.9</v>
      </c>
      <c r="G336" s="103" t="s">
        <v>58</v>
      </c>
      <c r="H336" s="103">
        <f>ROUND(19.69,1)</f>
        <v>19.7</v>
      </c>
      <c r="I336" s="103">
        <f>H336</f>
        <v>19.7</v>
      </c>
    </row>
    <row r="337" spans="1:9" ht="45" outlineLevel="1" x14ac:dyDescent="0.25">
      <c r="A337" s="105">
        <v>5</v>
      </c>
      <c r="B337" s="76" t="s">
        <v>485</v>
      </c>
      <c r="C337" s="22" t="s">
        <v>481</v>
      </c>
      <c r="D337" s="95" t="s">
        <v>58</v>
      </c>
      <c r="E337" s="95">
        <v>99</v>
      </c>
      <c r="F337" s="95">
        <v>99</v>
      </c>
      <c r="G337" s="103" t="s">
        <v>58</v>
      </c>
      <c r="H337" s="103">
        <v>36.950000000000003</v>
      </c>
      <c r="I337" s="103">
        <v>36.950000000000003</v>
      </c>
    </row>
    <row r="338" spans="1:9" ht="24.75" customHeight="1" x14ac:dyDescent="0.25">
      <c r="A338" s="72"/>
      <c r="B338" s="73" t="s">
        <v>0</v>
      </c>
      <c r="C338" s="58"/>
      <c r="D338" s="72"/>
      <c r="E338" s="72"/>
      <c r="F338" s="72"/>
      <c r="G338" s="122">
        <f>SUM(G326:G337)</f>
        <v>571909.74</v>
      </c>
      <c r="H338" s="122">
        <f>SUM(H326:H337)</f>
        <v>762546.4323799999</v>
      </c>
      <c r="I338" s="122">
        <f>SUM(I326:I337)</f>
        <v>762546.43399999989</v>
      </c>
    </row>
    <row r="339" spans="1:9" ht="14.25" customHeight="1" x14ac:dyDescent="0.25">
      <c r="A339" s="160" t="s">
        <v>281</v>
      </c>
      <c r="B339" s="160"/>
      <c r="C339" s="160"/>
      <c r="D339" s="160"/>
      <c r="E339" s="160"/>
      <c r="F339" s="160"/>
      <c r="G339" s="160"/>
      <c r="H339" s="160"/>
      <c r="I339" s="160"/>
    </row>
    <row r="340" spans="1:9" ht="90" outlineLevel="1" x14ac:dyDescent="0.25">
      <c r="A340" s="105">
        <v>1</v>
      </c>
      <c r="B340" s="76" t="s">
        <v>293</v>
      </c>
      <c r="C340" s="22" t="s">
        <v>432</v>
      </c>
      <c r="D340" s="103">
        <v>400</v>
      </c>
      <c r="E340" s="103">
        <v>400</v>
      </c>
      <c r="F340" s="117">
        <v>429</v>
      </c>
      <c r="G340" s="169">
        <v>10794.8</v>
      </c>
      <c r="H340" s="169">
        <v>10794.8</v>
      </c>
      <c r="I340" s="169">
        <v>10794.8</v>
      </c>
    </row>
    <row r="341" spans="1:9" ht="45" outlineLevel="1" x14ac:dyDescent="0.25">
      <c r="A341" s="105">
        <v>2</v>
      </c>
      <c r="B341" s="76" t="s">
        <v>294</v>
      </c>
      <c r="C341" s="22" t="s">
        <v>433</v>
      </c>
      <c r="D341" s="103">
        <v>205</v>
      </c>
      <c r="E341" s="103">
        <v>205</v>
      </c>
      <c r="F341" s="117">
        <v>216</v>
      </c>
      <c r="G341" s="177"/>
      <c r="H341" s="177"/>
      <c r="I341" s="177"/>
    </row>
    <row r="342" spans="1:9" ht="24.75" customHeight="1" x14ac:dyDescent="0.25">
      <c r="A342" s="72"/>
      <c r="B342" s="73" t="s">
        <v>0</v>
      </c>
      <c r="C342" s="58"/>
      <c r="D342" s="72"/>
      <c r="E342" s="72"/>
      <c r="F342" s="72"/>
      <c r="G342" s="122">
        <f>G340</f>
        <v>10794.8</v>
      </c>
      <c r="H342" s="122">
        <f t="shared" ref="H342:I342" si="9">H340</f>
        <v>10794.8</v>
      </c>
      <c r="I342" s="122">
        <f t="shared" si="9"/>
        <v>10794.8</v>
      </c>
    </row>
    <row r="343" spans="1:9" ht="14.25" customHeight="1" x14ac:dyDescent="0.25">
      <c r="A343" s="160" t="s">
        <v>407</v>
      </c>
      <c r="B343" s="160"/>
      <c r="C343" s="160"/>
      <c r="D343" s="160"/>
      <c r="E343" s="160"/>
      <c r="F343" s="160"/>
      <c r="G343" s="160"/>
      <c r="H343" s="160"/>
      <c r="I343" s="160"/>
    </row>
    <row r="344" spans="1:9" ht="30" outlineLevel="1" x14ac:dyDescent="0.25">
      <c r="A344" s="105">
        <v>1</v>
      </c>
      <c r="B344" s="83" t="s">
        <v>457</v>
      </c>
      <c r="C344" s="87" t="s">
        <v>458</v>
      </c>
      <c r="D344" s="88">
        <v>5</v>
      </c>
      <c r="E344" s="88">
        <f>D344</f>
        <v>5</v>
      </c>
      <c r="F344" s="88">
        <v>5</v>
      </c>
      <c r="G344" s="88">
        <v>0</v>
      </c>
      <c r="H344" s="88">
        <v>0</v>
      </c>
      <c r="I344" s="88">
        <v>0</v>
      </c>
    </row>
    <row r="345" spans="1:9" ht="60" outlineLevel="1" x14ac:dyDescent="0.25">
      <c r="A345" s="105">
        <v>2</v>
      </c>
      <c r="B345" s="83" t="s">
        <v>459</v>
      </c>
      <c r="C345" s="87" t="s">
        <v>460</v>
      </c>
      <c r="D345" s="88">
        <v>90</v>
      </c>
      <c r="E345" s="88">
        <f t="shared" ref="E345:E347" si="10">D345</f>
        <v>90</v>
      </c>
      <c r="F345" s="88">
        <v>100</v>
      </c>
      <c r="G345" s="88">
        <v>100641.71</v>
      </c>
      <c r="H345" s="88">
        <v>104844.705</v>
      </c>
      <c r="I345" s="88">
        <v>104844.705</v>
      </c>
    </row>
    <row r="346" spans="1:9" ht="45" outlineLevel="1" x14ac:dyDescent="0.25">
      <c r="A346" s="105">
        <v>3</v>
      </c>
      <c r="B346" s="83" t="s">
        <v>461</v>
      </c>
      <c r="C346" s="87" t="s">
        <v>458</v>
      </c>
      <c r="D346" s="88">
        <v>10</v>
      </c>
      <c r="E346" s="88">
        <f t="shared" si="10"/>
        <v>10</v>
      </c>
      <c r="F346" s="88">
        <v>24</v>
      </c>
      <c r="G346" s="88">
        <v>17274.400000000001</v>
      </c>
      <c r="H346" s="88">
        <v>17274.400000000001</v>
      </c>
      <c r="I346" s="88">
        <v>17274.400000000001</v>
      </c>
    </row>
    <row r="347" spans="1:9" ht="30" outlineLevel="1" x14ac:dyDescent="0.25">
      <c r="A347" s="105">
        <v>4</v>
      </c>
      <c r="B347" s="65" t="s">
        <v>462</v>
      </c>
      <c r="C347" s="87" t="s">
        <v>460</v>
      </c>
      <c r="D347" s="88">
        <v>90</v>
      </c>
      <c r="E347" s="88">
        <f t="shared" si="10"/>
        <v>90</v>
      </c>
      <c r="F347" s="88">
        <v>100</v>
      </c>
      <c r="G347" s="88">
        <v>32400</v>
      </c>
      <c r="H347" s="88">
        <v>32400</v>
      </c>
      <c r="I347" s="88">
        <v>32400</v>
      </c>
    </row>
    <row r="348" spans="1:9" ht="24.75" customHeight="1" x14ac:dyDescent="0.25">
      <c r="A348" s="72"/>
      <c r="B348" s="73" t="s">
        <v>0</v>
      </c>
      <c r="C348" s="58"/>
      <c r="D348" s="72"/>
      <c r="E348" s="72"/>
      <c r="F348" s="72"/>
      <c r="G348" s="122">
        <f>SUM(G344:G347)</f>
        <v>150316.11000000002</v>
      </c>
      <c r="H348" s="122">
        <f t="shared" ref="H348:I348" si="11">SUM(H344:H347)</f>
        <v>154519.10500000001</v>
      </c>
      <c r="I348" s="122">
        <f t="shared" si="11"/>
        <v>154519.10500000001</v>
      </c>
    </row>
    <row r="349" spans="1:9" ht="36" customHeight="1" x14ac:dyDescent="0.25">
      <c r="A349" s="156" t="s">
        <v>277</v>
      </c>
      <c r="B349" s="156"/>
      <c r="C349" s="156"/>
      <c r="D349" s="81"/>
      <c r="E349" s="81"/>
      <c r="F349" s="81"/>
      <c r="G349" s="82">
        <f>ROUND((G19+G24+G31+G39+G57+G75+G121+G134+G142+G147+G202+G282+G312+G324+G338+G342+G348),1)</f>
        <v>21776858.399999999</v>
      </c>
      <c r="H349" s="82">
        <f t="shared" ref="H349:I349" si="12">ROUND((H19+H24+H31+H39+H57+H75+H121+H134+H142+H147+H202+H282+H312+H324+H338+H342+H348),1)</f>
        <v>23711844.600000001</v>
      </c>
      <c r="I349" s="82">
        <f t="shared" si="12"/>
        <v>23711844.600000001</v>
      </c>
    </row>
    <row r="350" spans="1:9" x14ac:dyDescent="0.25">
      <c r="G350" s="127"/>
      <c r="H350" s="127"/>
      <c r="I350" s="127"/>
    </row>
    <row r="351" spans="1:9" ht="87.75" customHeight="1" x14ac:dyDescent="0.25">
      <c r="B351" s="155" t="s">
        <v>651</v>
      </c>
      <c r="C351" s="155"/>
      <c r="D351" s="155"/>
      <c r="E351" s="155"/>
      <c r="F351" s="155"/>
      <c r="G351" s="155"/>
      <c r="H351" s="155"/>
      <c r="I351" s="155"/>
    </row>
    <row r="352" spans="1:9" ht="127.5" customHeight="1" x14ac:dyDescent="0.25">
      <c r="B352" s="155" t="s">
        <v>648</v>
      </c>
      <c r="C352" s="155"/>
      <c r="D352" s="155"/>
      <c r="E352" s="155"/>
      <c r="F352" s="155"/>
      <c r="G352" s="155"/>
      <c r="H352" s="155"/>
      <c r="I352" s="155"/>
    </row>
    <row r="353" spans="2:10" ht="58.5" customHeight="1" x14ac:dyDescent="0.25">
      <c r="B353" s="155" t="s">
        <v>650</v>
      </c>
      <c r="C353" s="155"/>
      <c r="D353" s="155"/>
      <c r="E353" s="155"/>
      <c r="F353" s="155"/>
      <c r="G353" s="155"/>
      <c r="H353" s="155"/>
      <c r="I353" s="155"/>
    </row>
    <row r="354" spans="2:10" x14ac:dyDescent="0.25">
      <c r="I354" s="127"/>
      <c r="J354" s="137"/>
    </row>
    <row r="355" spans="2:10" x14ac:dyDescent="0.25">
      <c r="I355" s="127"/>
      <c r="J355" s="137"/>
    </row>
    <row r="356" spans="2:10" x14ac:dyDescent="0.25">
      <c r="I356" s="127"/>
      <c r="J356" s="137"/>
    </row>
    <row r="357" spans="2:10" x14ac:dyDescent="0.25">
      <c r="I357" s="127"/>
      <c r="J357" s="137"/>
    </row>
    <row r="358" spans="2:10" x14ac:dyDescent="0.25">
      <c r="I358" s="127"/>
      <c r="J358" s="137"/>
    </row>
    <row r="359" spans="2:10" x14ac:dyDescent="0.25">
      <c r="I359" s="127"/>
      <c r="J359" s="137"/>
    </row>
    <row r="360" spans="2:10" x14ac:dyDescent="0.25">
      <c r="I360" s="127"/>
      <c r="J360" s="137"/>
    </row>
    <row r="361" spans="2:10" x14ac:dyDescent="0.25">
      <c r="I361" s="127"/>
      <c r="J361" s="137"/>
    </row>
    <row r="362" spans="2:10" x14ac:dyDescent="0.25">
      <c r="I362" s="127"/>
      <c r="J362" s="137"/>
    </row>
    <row r="363" spans="2:10" x14ac:dyDescent="0.25">
      <c r="I363" s="127"/>
      <c r="J363" s="137"/>
    </row>
    <row r="364" spans="2:10" x14ac:dyDescent="0.25">
      <c r="I364" s="127"/>
      <c r="J364" s="137"/>
    </row>
    <row r="365" spans="2:10" x14ac:dyDescent="0.25">
      <c r="I365" s="127"/>
      <c r="J365" s="137"/>
    </row>
    <row r="366" spans="2:10" x14ac:dyDescent="0.25">
      <c r="I366" s="127"/>
      <c r="J366" s="137"/>
    </row>
    <row r="367" spans="2:10" x14ac:dyDescent="0.25">
      <c r="I367" s="127"/>
      <c r="J367" s="137"/>
    </row>
    <row r="368" spans="2:10" x14ac:dyDescent="0.25">
      <c r="I368" s="127"/>
      <c r="J368" s="137"/>
    </row>
    <row r="369" spans="9:10" x14ac:dyDescent="0.25">
      <c r="I369" s="127"/>
      <c r="J369" s="137"/>
    </row>
    <row r="370" spans="9:10" x14ac:dyDescent="0.25">
      <c r="I370" s="127"/>
      <c r="J370" s="137"/>
    </row>
  </sheetData>
  <customSheetViews>
    <customSheetView guid="{15008CFB-90AE-4019-A345-B8744D25D0C3}" scale="90" showPageBreaks="1" fitToPage="1" topLeftCell="A269">
      <selection activeCell="A281" sqref="A281:I281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1"/>
      <headerFooter>
        <oddFooter>&amp;C&amp;P</oddFooter>
      </headerFooter>
    </customSheetView>
    <customSheetView guid="{94FAEE46-67CD-4645-8F65-1FE6863655B3}" scale="90" fitToPage="1" hiddenColumns="1" topLeftCell="A268">
      <selection activeCell="J134" sqref="J134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2"/>
      <headerFooter>
        <oddFooter>&amp;C&amp;P</oddFooter>
      </headerFooter>
    </customSheetView>
    <customSheetView guid="{69868B4C-820B-4999-9363-14A229151CE0}" scale="70" showPageBreaks="1" fitToPage="1" hiddenColumns="1" topLeftCell="A266">
      <selection activeCell="I289" sqref="I289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3"/>
      <headerFooter>
        <oddFooter>&amp;C&amp;P</oddFooter>
      </headerFooter>
    </customSheetView>
    <customSheetView guid="{5B955171-6155-4477-93FE-98906395A697}" fitToPage="1" hiddenColumns="1" topLeftCell="A270">
      <selection activeCell="G281" sqref="G281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4"/>
      <headerFooter>
        <oddFooter>&amp;C&amp;P</oddFooter>
      </headerFooter>
    </customSheetView>
    <customSheetView guid="{AC3D1D09-98ED-4CFD-8F29-C435F099150F}" scale="90" fitToPage="1" hiddenColumns="1" topLeftCell="A237">
      <selection activeCell="A241" sqref="A241:XFD247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5"/>
      <headerFooter>
        <oddFooter>&amp;C&amp;P</oddFooter>
      </headerFooter>
    </customSheetView>
    <customSheetView guid="{765F1DBD-C068-444A-8B13-2916A4A9BA3F}" scale="90" fitToPage="1" hiddenColumns="1" topLeftCell="A16">
      <selection activeCell="K29" sqref="K29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6"/>
      <headerFooter>
        <oddFooter>&amp;C&amp;P</oddFooter>
      </headerFooter>
    </customSheetView>
    <customSheetView guid="{1237AFA1-68A6-41BB-9F1F-2BB33CF3BCCE}" scale="90" showPageBreaks="1" fitToPage="1" hiddenColumns="1" topLeftCell="A13">
      <selection activeCell="K22" sqref="I22:K22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7"/>
      <headerFooter>
        <oddFooter>&amp;C&amp;P</oddFooter>
      </headerFooter>
    </customSheetView>
    <customSheetView guid="{4873CEAB-4E26-4DB7-8CA3-1027F54FA069}" scale="90" fitToPage="1" hiddenColumns="1" topLeftCell="A137">
      <selection activeCell="K139" sqref="K139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8"/>
      <headerFooter>
        <oddFooter>&amp;C&amp;P</oddFooter>
      </headerFooter>
    </customSheetView>
    <customSheetView guid="{E442A37A-C329-497A-93AF-778FC95E568D}" fitToPage="1" hiddenColumns="1" topLeftCell="A270">
      <selection activeCell="B294" sqref="B294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9"/>
      <headerFooter>
        <oddFooter>&amp;C&amp;P</oddFooter>
      </headerFooter>
    </customSheetView>
    <customSheetView guid="{364080A9-4C50-4D56-AFFE-3F56BEE01D21}" scale="90" showPageBreaks="1" fitToPage="1" hiddenColumns="1">
      <selection activeCell="J134" sqref="J134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10"/>
      <headerFooter>
        <oddFooter>&amp;C&amp;P</oddFooter>
      </headerFooter>
    </customSheetView>
    <customSheetView guid="{E4E24A0D-4CE4-4533-9643-8904DCA0EAAD}" scale="90" showPageBreaks="1" fitToPage="1" hiddenColumns="1" topLeftCell="A172">
      <selection activeCell="G172" sqref="G172:G173"/>
      <pageMargins left="0.39370078740157483" right="0.39370078740157483" top="0.35433070866141736" bottom="0.35433070866141736" header="0.15748031496062992" footer="0.15748031496062992"/>
      <printOptions horizontalCentered="1"/>
      <pageSetup paperSize="9" scale="69" fitToHeight="0" orientation="landscape" r:id="rId11"/>
      <headerFooter>
        <oddFooter>&amp;C&amp;P</oddFooter>
      </headerFooter>
    </customSheetView>
  </customSheetViews>
  <mergeCells count="54">
    <mergeCell ref="H333:H335"/>
    <mergeCell ref="I333:I335"/>
    <mergeCell ref="A77:A78"/>
    <mergeCell ref="B77:B78"/>
    <mergeCell ref="A343:I343"/>
    <mergeCell ref="H320:H321"/>
    <mergeCell ref="I320:I321"/>
    <mergeCell ref="B351:I351"/>
    <mergeCell ref="G144:G145"/>
    <mergeCell ref="H144:H145"/>
    <mergeCell ref="I144:I145"/>
    <mergeCell ref="G340:G341"/>
    <mergeCell ref="H340:H341"/>
    <mergeCell ref="I340:I341"/>
    <mergeCell ref="A326:I326"/>
    <mergeCell ref="G327:G329"/>
    <mergeCell ref="H327:H329"/>
    <mergeCell ref="I327:I329"/>
    <mergeCell ref="A332:I332"/>
    <mergeCell ref="G333:G335"/>
    <mergeCell ref="A320:A321"/>
    <mergeCell ref="B320:B321"/>
    <mergeCell ref="G320:G321"/>
    <mergeCell ref="A2:I2"/>
    <mergeCell ref="A4:A5"/>
    <mergeCell ref="B4:B5"/>
    <mergeCell ref="C4:C5"/>
    <mergeCell ref="D4:F4"/>
    <mergeCell ref="G4:I4"/>
    <mergeCell ref="A7:I7"/>
    <mergeCell ref="A32:I32"/>
    <mergeCell ref="A40:I40"/>
    <mergeCell ref="A58:I58"/>
    <mergeCell ref="A20:I20"/>
    <mergeCell ref="A25:I25"/>
    <mergeCell ref="G26:G30"/>
    <mergeCell ref="H26:H30"/>
    <mergeCell ref="I26:I30"/>
    <mergeCell ref="B353:I353"/>
    <mergeCell ref="B352:I352"/>
    <mergeCell ref="A349:C349"/>
    <mergeCell ref="A76:I76"/>
    <mergeCell ref="A203:I203"/>
    <mergeCell ref="A313:I313"/>
    <mergeCell ref="A148:I148"/>
    <mergeCell ref="A122:I122"/>
    <mergeCell ref="A135:I135"/>
    <mergeCell ref="A143:I143"/>
    <mergeCell ref="A283:I283"/>
    <mergeCell ref="A325:I325"/>
    <mergeCell ref="A339:I339"/>
    <mergeCell ref="G77:G78"/>
    <mergeCell ref="H77:H78"/>
    <mergeCell ref="I77:I78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66" fitToHeight="0" orientation="landscape" r:id="rId1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</vt:lpstr>
      <vt:lpstr>2024</vt:lpstr>
      <vt:lpstr>'2019'!Заголовки_для_печати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Рыжова Наталья Борисовна</dc:creator>
  <cp:lastModifiedBy>Васютина Ольга Валерьевна</cp:lastModifiedBy>
  <cp:lastPrinted>2025-03-11T10:23:26Z</cp:lastPrinted>
  <dcterms:created xsi:type="dcterms:W3CDTF">2013-06-19T13:38:31Z</dcterms:created>
  <dcterms:modified xsi:type="dcterms:W3CDTF">2025-03-20T14:02:41Z</dcterms:modified>
</cp:coreProperties>
</file>