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75" windowWidth="22980" windowHeight="9525"/>
  </bookViews>
  <sheets>
    <sheet name="5.1" sheetId="1" r:id="rId1"/>
    <sheet name="5.2" sheetId="2" r:id="rId2"/>
    <sheet name="5.3 " sheetId="4" r:id="rId3"/>
  </sheets>
  <definedNames>
    <definedName name="_xlnm._FilterDatabase" localSheetId="2" hidden="1">'5.3 '!$A$6:$E$111</definedName>
    <definedName name="_xlnm.Print_Titles" localSheetId="0">'5.1'!$5:$6</definedName>
    <definedName name="_xlnm.Print_Titles" localSheetId="1">'5.2'!$6:$6</definedName>
    <definedName name="_xlnm.Print_Titles" localSheetId="2">'5.3 '!$5:$5</definedName>
  </definedNames>
  <calcPr calcId="145621"/>
</workbook>
</file>

<file path=xl/calcChain.xml><?xml version="1.0" encoding="utf-8"?>
<calcChain xmlns="http://schemas.openxmlformats.org/spreadsheetml/2006/main">
  <c r="D101" i="4" l="1"/>
  <c r="C101" i="4"/>
  <c r="C91" i="4"/>
  <c r="D91" i="4"/>
  <c r="E82" i="4"/>
  <c r="D82" i="4"/>
  <c r="C82" i="4"/>
  <c r="C58" i="4"/>
  <c r="E31" i="4"/>
  <c r="D31" i="4"/>
  <c r="C31" i="4"/>
  <c r="D26" i="4"/>
  <c r="D25" i="4"/>
  <c r="C26" i="4"/>
  <c r="C25" i="4"/>
  <c r="C18" i="4"/>
  <c r="C98" i="2" l="1"/>
  <c r="B98" i="2"/>
  <c r="C86" i="2"/>
  <c r="B86" i="2"/>
  <c r="D77" i="2"/>
  <c r="C77" i="2"/>
  <c r="B77" i="2"/>
  <c r="B54" i="2"/>
  <c r="D22" i="2"/>
  <c r="C22" i="2"/>
  <c r="B22" i="2"/>
  <c r="B10" i="2"/>
  <c r="G27" i="1" l="1"/>
  <c r="E27" i="1"/>
  <c r="G24" i="1"/>
  <c r="E24" i="1"/>
  <c r="G22" i="1"/>
  <c r="E22" i="1"/>
  <c r="I20" i="1"/>
  <c r="G20" i="1"/>
  <c r="E20" i="1"/>
  <c r="E16" i="1"/>
  <c r="I11" i="1"/>
  <c r="G11" i="1"/>
  <c r="E11" i="1"/>
  <c r="E9" i="1"/>
  <c r="J9" i="1" l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F16" i="1"/>
  <c r="F18" i="1"/>
  <c r="F19" i="1"/>
  <c r="F20" i="1"/>
  <c r="F21" i="1"/>
  <c r="F22" i="1"/>
  <c r="F23" i="1"/>
  <c r="F24" i="1"/>
  <c r="F25" i="1"/>
  <c r="F26" i="1"/>
  <c r="D16" i="1"/>
  <c r="D18" i="1"/>
  <c r="D19" i="1"/>
  <c r="D20" i="1"/>
  <c r="D21" i="1"/>
  <c r="D22" i="1"/>
  <c r="D23" i="1"/>
  <c r="D24" i="1"/>
  <c r="D25" i="1"/>
  <c r="D26" i="1"/>
  <c r="C10" i="1" l="1"/>
  <c r="C12" i="1"/>
  <c r="C27" i="1"/>
  <c r="C13" i="1"/>
  <c r="C11" i="1"/>
  <c r="C9" i="1"/>
  <c r="C17" i="1"/>
  <c r="C14" i="1"/>
  <c r="C15" i="1"/>
  <c r="D9" i="1" l="1"/>
  <c r="F9" i="1"/>
  <c r="F15" i="1"/>
  <c r="D15" i="1"/>
  <c r="D17" i="1"/>
  <c r="F17" i="1"/>
  <c r="F13" i="1"/>
  <c r="D13" i="1"/>
  <c r="F27" i="1"/>
  <c r="D27" i="1"/>
  <c r="D10" i="1"/>
  <c r="F10" i="1"/>
  <c r="F14" i="1"/>
  <c r="D14" i="1"/>
  <c r="D11" i="1"/>
  <c r="F11" i="1"/>
  <c r="D12" i="1"/>
  <c r="F12" i="1"/>
  <c r="C12" i="4"/>
  <c r="D9" i="4"/>
  <c r="E9" i="4"/>
  <c r="D11" i="4"/>
  <c r="E11" i="4"/>
  <c r="C11" i="4"/>
  <c r="D10" i="4"/>
  <c r="E10" i="4"/>
  <c r="C10" i="4"/>
  <c r="C9" i="4"/>
  <c r="D97" i="4"/>
  <c r="D99" i="4" s="1"/>
  <c r="E97" i="4"/>
  <c r="E99" i="4" s="1"/>
  <c r="C97" i="4"/>
  <c r="C98" i="4" s="1"/>
  <c r="C92" i="4"/>
  <c r="C93" i="4" s="1"/>
  <c r="D92" i="4"/>
  <c r="D93" i="4" s="1"/>
  <c r="E92" i="4"/>
  <c r="E93" i="4" s="1"/>
  <c r="C14" i="4"/>
  <c r="C16" i="4" s="1"/>
  <c r="C7" i="4" l="1"/>
  <c r="D98" i="4"/>
  <c r="E98" i="4"/>
  <c r="C99" i="4"/>
  <c r="C15" i="4"/>
  <c r="C103" i="2"/>
  <c r="D103" i="2"/>
  <c r="B103" i="2"/>
  <c r="B97" i="2"/>
  <c r="B87" i="2"/>
  <c r="B61" i="2"/>
  <c r="B52" i="2"/>
  <c r="C18" i="2"/>
  <c r="D18" i="2"/>
  <c r="B18" i="2"/>
  <c r="C11" i="2"/>
  <c r="D11" i="2"/>
  <c r="B11" i="2"/>
  <c r="D12" i="4" l="1"/>
  <c r="E12" i="4"/>
  <c r="D109" i="4"/>
  <c r="D110" i="4" s="1"/>
  <c r="E109" i="4"/>
  <c r="E110" i="4" s="1"/>
  <c r="C109" i="4"/>
  <c r="C110" i="4" s="1"/>
  <c r="C71" i="4"/>
  <c r="C73" i="4" s="1"/>
  <c r="D56" i="4"/>
  <c r="E56" i="4"/>
  <c r="C56" i="4"/>
  <c r="C57" i="4" s="1"/>
  <c r="C21" i="4"/>
  <c r="E8" i="1"/>
  <c r="C6" i="4" l="1"/>
  <c r="C23" i="4"/>
  <c r="C22" i="4"/>
  <c r="E7" i="4"/>
  <c r="D7" i="4"/>
  <c r="C72" i="4"/>
  <c r="E57" i="4"/>
  <c r="D57" i="4"/>
  <c r="C101" i="2"/>
  <c r="D101" i="2"/>
  <c r="B101" i="2"/>
  <c r="C85" i="2"/>
  <c r="D85" i="2"/>
  <c r="B85" i="2"/>
  <c r="I7" i="1"/>
  <c r="I8" i="1"/>
  <c r="C8" i="1" l="1"/>
  <c r="F8" i="1" l="1"/>
  <c r="E103" i="4"/>
  <c r="D103" i="4"/>
  <c r="C103" i="4"/>
  <c r="E94" i="4"/>
  <c r="E89" i="4"/>
  <c r="E90" i="4" s="1"/>
  <c r="D89" i="4"/>
  <c r="D90" i="4" s="1"/>
  <c r="C89" i="4"/>
  <c r="C90" i="4" s="1"/>
  <c r="E84" i="4"/>
  <c r="E85" i="4" s="1"/>
  <c r="D84" i="4"/>
  <c r="D85" i="4" s="1"/>
  <c r="C84" i="4"/>
  <c r="C85" i="4" s="1"/>
  <c r="E78" i="4"/>
  <c r="D78" i="4"/>
  <c r="C78" i="4"/>
  <c r="E71" i="4"/>
  <c r="E72" i="4" s="1"/>
  <c r="D71" i="4"/>
  <c r="D72" i="4" s="1"/>
  <c r="E66" i="4"/>
  <c r="D66" i="4"/>
  <c r="C66" i="4"/>
  <c r="E59" i="4"/>
  <c r="E61" i="4" s="1"/>
  <c r="D59" i="4"/>
  <c r="D61" i="4" s="1"/>
  <c r="C59" i="4"/>
  <c r="C60" i="4" s="1"/>
  <c r="E49" i="4"/>
  <c r="D49" i="4"/>
  <c r="C49" i="4"/>
  <c r="E43" i="4"/>
  <c r="E45" i="4" s="1"/>
  <c r="D43" i="4"/>
  <c r="D45" i="4" s="1"/>
  <c r="C43" i="4"/>
  <c r="E38" i="4"/>
  <c r="E39" i="4" s="1"/>
  <c r="D38" i="4"/>
  <c r="D39" i="4" s="1"/>
  <c r="C38" i="4"/>
  <c r="C39" i="4" s="1"/>
  <c r="E32" i="4"/>
  <c r="D32" i="4"/>
  <c r="C32" i="4"/>
  <c r="C33" i="4" s="1"/>
  <c r="E27" i="4"/>
  <c r="E28" i="4" s="1"/>
  <c r="D27" i="4"/>
  <c r="D28" i="4" s="1"/>
  <c r="C27" i="4"/>
  <c r="E21" i="4"/>
  <c r="D21" i="4"/>
  <c r="E14" i="4"/>
  <c r="D14" i="4"/>
  <c r="D16" i="4" l="1"/>
  <c r="D15" i="4"/>
  <c r="E16" i="4"/>
  <c r="E15" i="4"/>
  <c r="C105" i="4"/>
  <c r="C104" i="4"/>
  <c r="D105" i="4"/>
  <c r="D104" i="4"/>
  <c r="E105" i="4"/>
  <c r="E104" i="4"/>
  <c r="E86" i="4"/>
  <c r="C94" i="4"/>
  <c r="C86" i="4"/>
  <c r="D86" i="4"/>
  <c r="C80" i="4"/>
  <c r="C79" i="4"/>
  <c r="D80" i="4"/>
  <c r="D79" i="4"/>
  <c r="E80" i="4"/>
  <c r="E79" i="4"/>
  <c r="E68" i="4"/>
  <c r="E67" i="4"/>
  <c r="C68" i="4"/>
  <c r="C67" i="4"/>
  <c r="D68" i="4"/>
  <c r="D67" i="4"/>
  <c r="C40" i="4"/>
  <c r="E50" i="4"/>
  <c r="E51" i="4"/>
  <c r="D40" i="4"/>
  <c r="E40" i="4"/>
  <c r="C45" i="4"/>
  <c r="C44" i="4"/>
  <c r="C51" i="4"/>
  <c r="C50" i="4"/>
  <c r="D50" i="4"/>
  <c r="D51" i="4"/>
  <c r="C34" i="4"/>
  <c r="D34" i="4"/>
  <c r="D33" i="4"/>
  <c r="E34" i="4"/>
  <c r="E33" i="4"/>
  <c r="C29" i="4"/>
  <c r="C28" i="4"/>
  <c r="D23" i="4"/>
  <c r="D22" i="4"/>
  <c r="E23" i="4"/>
  <c r="E22" i="4"/>
  <c r="D29" i="4"/>
  <c r="E60" i="4"/>
  <c r="D44" i="4"/>
  <c r="D73" i="4"/>
  <c r="E44" i="4"/>
  <c r="E73" i="4"/>
  <c r="E6" i="4"/>
  <c r="E13" i="4" s="1"/>
  <c r="E29" i="4"/>
  <c r="D6" i="4"/>
  <c r="C61" i="4"/>
  <c r="D94" i="4"/>
  <c r="D60" i="4"/>
  <c r="E8" i="4" l="1"/>
  <c r="C8" i="4"/>
  <c r="D13" i="4"/>
  <c r="D8" i="4"/>
  <c r="C7" i="1" l="1"/>
  <c r="B8" i="1"/>
  <c r="D8" i="1" s="1"/>
  <c r="B7" i="1"/>
  <c r="B29" i="1" s="1"/>
  <c r="E7" i="1"/>
  <c r="F7" i="1" s="1"/>
  <c r="C29" i="1" l="1"/>
  <c r="D29" i="1" s="1"/>
  <c r="D7" i="1"/>
  <c r="D97" i="2"/>
  <c r="C97" i="2"/>
  <c r="D87" i="2"/>
  <c r="C87" i="2"/>
  <c r="D80" i="2"/>
  <c r="C80" i="2"/>
  <c r="B80" i="2"/>
  <c r="D75" i="2"/>
  <c r="C75" i="2"/>
  <c r="B75" i="2"/>
  <c r="D68" i="2"/>
  <c r="C68" i="2"/>
  <c r="B68" i="2"/>
  <c r="D61" i="2"/>
  <c r="C61" i="2"/>
  <c r="D56" i="2"/>
  <c r="C56" i="2"/>
  <c r="B56" i="2"/>
  <c r="D52" i="2"/>
  <c r="C52" i="2"/>
  <c r="D49" i="2"/>
  <c r="C49" i="2"/>
  <c r="B49" i="2"/>
  <c r="D44" i="2"/>
  <c r="C44" i="2"/>
  <c r="B44" i="2"/>
  <c r="D39" i="2"/>
  <c r="C39" i="2"/>
  <c r="B39" i="2"/>
  <c r="D36" i="2"/>
  <c r="C36" i="2"/>
  <c r="B36" i="2"/>
  <c r="D8" i="2"/>
  <c r="C8" i="2"/>
  <c r="B8" i="2"/>
  <c r="G8" i="1"/>
  <c r="I29" i="1"/>
  <c r="G7" i="1"/>
  <c r="E29" i="1"/>
  <c r="F29" i="1" s="1"/>
  <c r="H8" i="1" l="1"/>
  <c r="J8" i="1"/>
  <c r="G29" i="1"/>
  <c r="H29" i="1" s="1"/>
  <c r="H7" i="1"/>
  <c r="J7" i="1"/>
  <c r="B7" i="2"/>
  <c r="C7" i="2"/>
  <c r="D7" i="2"/>
  <c r="C13" i="4"/>
  <c r="J29" i="1" l="1"/>
</calcChain>
</file>

<file path=xl/sharedStrings.xml><?xml version="1.0" encoding="utf-8"?>
<sst xmlns="http://schemas.openxmlformats.org/spreadsheetml/2006/main" count="262" uniqueCount="111">
  <si>
    <t>Наименование государственной программы Ленинградской области</t>
  </si>
  <si>
    <t>Проект</t>
  </si>
  <si>
    <t>2025 год</t>
  </si>
  <si>
    <t>ИТОГО</t>
  </si>
  <si>
    <t>Развитие здравоохранения в Ленинградской области</t>
  </si>
  <si>
    <t>Современное образование Ленинградской области</t>
  </si>
  <si>
    <t>Социальная поддержка отдельных категорий граждан в Ленинградской области</t>
  </si>
  <si>
    <t>Развитие физической культуры и спорта в Ленинградской области</t>
  </si>
  <si>
    <t>Развитие культуры в Ленинградской области</t>
  </si>
  <si>
    <t>Формирование городской среды и обеспечение качественным жильем граждан на территории Ленинградской области</t>
  </si>
  <si>
    <t>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</t>
  </si>
  <si>
    <t>Безопасность Ленинградской области</t>
  </si>
  <si>
    <t>Охрана окружающей среды Ленинградской области</t>
  </si>
  <si>
    <t>Цифровое развитие Ленинградской области</t>
  </si>
  <si>
    <t>Стимулирование экономической активности Ленинградской области</t>
  </si>
  <si>
    <t>Развитие транспортной системы Ленинградской области</t>
  </si>
  <si>
    <t>Развитие сельского хозяйства Ленинградской области</t>
  </si>
  <si>
    <t>Управление государственными финансами и государственным долгом Ленинградской области</t>
  </si>
  <si>
    <t>Устойчивое общественное развитие в Ленинградской области</t>
  </si>
  <si>
    <t>Содействие занятости населения Ленинградской области</t>
  </si>
  <si>
    <t>Развитие внутреннего и въездного туризма в Ленинградской области</t>
  </si>
  <si>
    <t>Комплексное развитие сельских территорий Ленинградской области</t>
  </si>
  <si>
    <t>Непрограммные расходы органов государственной власти Ленинградской области</t>
  </si>
  <si>
    <t>Условно утвержденные расходы</t>
  </si>
  <si>
    <t>Всего</t>
  </si>
  <si>
    <t>Наименование государственной программы
Ленинградской области/
наименование главного распорядителя бюджетных средств</t>
  </si>
  <si>
    <t>Проект
на 2025 год</t>
  </si>
  <si>
    <t>ИТОГО:</t>
  </si>
  <si>
    <t>Государственная программа Ленинградской области "Развитие здравоохранения в Ленинградской области"</t>
  </si>
  <si>
    <t>Комитет цифрового развития Ленинградской области</t>
  </si>
  <si>
    <t>комитет по строительству Ленинградской области</t>
  </si>
  <si>
    <t>Комитет по здравоохранению Ленинградской области</t>
  </si>
  <si>
    <t>Государственная программа Ленинградской области "Современное образование Ленинградской области"</t>
  </si>
  <si>
    <t>Комитет общего и профессионального образования Ленинградской области</t>
  </si>
  <si>
    <t>комитет по культуре и туризму Ленинградской области</t>
  </si>
  <si>
    <t>Комитет правопорядка и безопасности Ленинградской области</t>
  </si>
  <si>
    <t>Комитет экономического развития и инвестиционной деятельности Ленинградской области</t>
  </si>
  <si>
    <t>комитет по социальной защите населения Ленинградской области</t>
  </si>
  <si>
    <t>Государственная программа Ленинградской области "Социальная поддержка отдельных категорий граждан в Ленинградской области"</t>
  </si>
  <si>
    <t>Комитет по дорожному хозяйству Ленинградской области</t>
  </si>
  <si>
    <t>Комитет Ленинградской области по транспорту</t>
  </si>
  <si>
    <t>комитет по сохранению культурного наследия Ленинградской области</t>
  </si>
  <si>
    <t>комитет по физической культуре и спорту Ленинградской области</t>
  </si>
  <si>
    <t>комитет по труду и занятости населения Ленинградской области</t>
  </si>
  <si>
    <t>Комитет по природным ресурсам Ленинградской области</t>
  </si>
  <si>
    <t>Комитет по топливно-энергетическому комплексу Ленинградской области</t>
  </si>
  <si>
    <t>Комитет государственного экологического надзора Ленинградской области</t>
  </si>
  <si>
    <t>комитет по жилищно-коммунальному хозяйству Ленинградской области</t>
  </si>
  <si>
    <t>Государственная программа Ленинградской области "Развитие физической культуры и спорта в Ленинградской области"</t>
  </si>
  <si>
    <t>Государственная программа Ленинградской области "Развитие культуры в Ленинградской области"</t>
  </si>
  <si>
    <t>Управление делами Правительства Ленинградской области</t>
  </si>
  <si>
    <t>Государственная программа Ленинградской области "Формирование городской среды и обеспечение качественным жильем граждан на территории Ленинградской области"</t>
  </si>
  <si>
    <t>Комитет градостроительной политики Ленинградской области</t>
  </si>
  <si>
    <t>Государственная программа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области"</t>
  </si>
  <si>
    <t>Государственная программа Ленинградской области "Безопасность Ленинградской области"</t>
  </si>
  <si>
    <t>комитет по развитию малого, среднего бизнеса и потребительского рынка Ленинградской области</t>
  </si>
  <si>
    <t>Государственная программа Ленинградской области "Охрана окружающей среды Ленинградской области"</t>
  </si>
  <si>
    <t>Комитет Ленинградской области по обращению с отходами</t>
  </si>
  <si>
    <t>комитет по охране, контролю и регулированию использования объектов животного мира Ленинградской области</t>
  </si>
  <si>
    <t>Государственная программа Ленинградской области "Цифровое развитие Ленинградской области"</t>
  </si>
  <si>
    <t>Ленинградский областной комитет по управлению государственным имуществом</t>
  </si>
  <si>
    <t>Комитет по печати Ленинградской области</t>
  </si>
  <si>
    <t>Комитет государственного заказа Ленинградской области</t>
  </si>
  <si>
    <t>Государственная программа Ленинградской области "Стимулирование экономической активности Ленинградской области"</t>
  </si>
  <si>
    <t>Государственная программа Ленинградской области "Развитие транспортной системы Ленинградской области"</t>
  </si>
  <si>
    <t>управление Ленинградской области по государственному техническому надзору и контролю</t>
  </si>
  <si>
    <t>Государственная программа Ленинградской области "Развитие сельского хозяйства Ленинградской области"</t>
  </si>
  <si>
    <t>Комитет по агропромышленному и рыбохозяйственному комплексу Ленинградской области</t>
  </si>
  <si>
    <t>Управление ветеринарии Ленинградской области</t>
  </si>
  <si>
    <t>Государственная программа Ленинградской области "Управление государственными финансами и государственным долгом Ленинградской области"</t>
  </si>
  <si>
    <t>Комитет финансов Ленинградской области</t>
  </si>
  <si>
    <t>Государственная программа Ленинградской области "Устойчивое общественное развитие в Ленинградской области"</t>
  </si>
  <si>
    <t>Комитет общественных коммуникаций Ленинградской области</t>
  </si>
  <si>
    <t>комитет по местному самоуправлению, межнациональным и межконфессиональным отношениям Ленинградской области</t>
  </si>
  <si>
    <t>комитет по молодежной политике Ленинградской области</t>
  </si>
  <si>
    <t>Государственная программа Ленинградской области "Содействие занятости населения Ленинградской области"</t>
  </si>
  <si>
    <t>Государственная программа Ленинградской области "Развитие внутреннего и въездного туризма в Ленинградской области"</t>
  </si>
  <si>
    <t>Государственная программа Ленинградской области "Комплексное развитие сельских территорий Ленинградской области"</t>
  </si>
  <si>
    <t>в т.ч. проектная часть</t>
  </si>
  <si>
    <t>уд.вес в общих расходах на реализацию государственных программ</t>
  </si>
  <si>
    <t>Приоритетные проекты</t>
  </si>
  <si>
    <t>Отраслевые проекты</t>
  </si>
  <si>
    <t>в т.ч. процессная часть</t>
  </si>
  <si>
    <t>Комплексы процессных мероприятий</t>
  </si>
  <si>
    <t>уд.вес проектной части</t>
  </si>
  <si>
    <t>уд.вес процессной части</t>
  </si>
  <si>
    <t>№ п/п</t>
  </si>
  <si>
    <t>ИТОГО по государственным программам</t>
  </si>
  <si>
    <t xml:space="preserve"> Проект
на 2025 год</t>
  </si>
  <si>
    <t>Наименование государственной программы
Ленинградской области/
наименование типа структурного элемента целевой статьи</t>
  </si>
  <si>
    <t>в том числе по государственным программам</t>
  </si>
  <si>
    <t>2026 год</t>
  </si>
  <si>
    <t>Проект
на 2026 год</t>
  </si>
  <si>
    <t xml:space="preserve"> Проект
на 2026 год</t>
  </si>
  <si>
    <t>Региональные проекты</t>
  </si>
  <si>
    <t>Приложение 5.1 к пояснительной записке 2025 года</t>
  </si>
  <si>
    <t>Расходы областного бюджета Ленинградской области 
по государственным программам Ленинградской области и непрограммным направлениям деятельности
в 2023 - 2027 годах</t>
  </si>
  <si>
    <t>Отчет за
2023 год</t>
  </si>
  <si>
    <t>Ожидаемое исполнение 2024 год</t>
  </si>
  <si>
    <t>2027 год</t>
  </si>
  <si>
    <t>Приложение 5.2 к пояснительной записке 2025 года</t>
  </si>
  <si>
    <t>Распределение бюджетных ассигнований
областного бюджета Ленинградской области на 2025-2027 годы
по государственным программам Ленинградской области и по исполнителям</t>
  </si>
  <si>
    <t>Проект
на 2027 год</t>
  </si>
  <si>
    <t>Расходы на реализацию государственных программ Ленинградской области по проектной и процессной части
в 2025-2027 годах</t>
  </si>
  <si>
    <t>Приложение 5.3 к пояснительной записке 2025 года</t>
  </si>
  <si>
    <t xml:space="preserve"> Проект
на 2027 год</t>
  </si>
  <si>
    <t>% к 2023 году</t>
  </si>
  <si>
    <t>% к 2024 году</t>
  </si>
  <si>
    <t>% к 2025 году</t>
  </si>
  <si>
    <t>% к 2026 году</t>
  </si>
  <si>
    <t>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</si>
</sst>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0.0%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right"/>
    </xf>
    <xf numFmtId="164" fontId="5" fillId="0" borderId="4" xfId="0" applyNumberFormat="1" applyFont="1" applyFill="1" applyBorder="1" applyAlignment="1" applyProtection="1">
      <alignment horizontal="center" vertical="center" wrapText="1"/>
    </xf>
    <xf numFmtId="164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wrapText="1"/>
    </xf>
    <xf numFmtId="0" fontId="5" fillId="2" borderId="1" xfId="0" applyFont="1" applyFill="1" applyBorder="1" applyAlignment="1">
      <alignment vertical="center"/>
    </xf>
    <xf numFmtId="4" fontId="3" fillId="0" borderId="0" xfId="0" applyNumberFormat="1" applyFont="1"/>
    <xf numFmtId="164" fontId="8" fillId="0" borderId="1" xfId="0" applyNumberFormat="1" applyFont="1" applyFill="1" applyBorder="1" applyAlignment="1">
      <alignment horizontal="center" vertical="center"/>
    </xf>
    <xf numFmtId="0" fontId="7" fillId="0" borderId="0" xfId="3" applyFill="1"/>
    <xf numFmtId="0" fontId="7" fillId="0" borderId="0" xfId="3" applyFill="1" applyAlignment="1">
      <alignment horizontal="center"/>
    </xf>
    <xf numFmtId="49" fontId="2" fillId="0" borderId="1" xfId="3" applyNumberFormat="1" applyFont="1" applyFill="1" applyBorder="1" applyAlignment="1" applyProtection="1">
      <alignment horizontal="right" wrapText="1"/>
    </xf>
    <xf numFmtId="49" fontId="5" fillId="0" borderId="1" xfId="3" applyNumberFormat="1" applyFont="1" applyFill="1" applyBorder="1" applyAlignment="1" applyProtection="1">
      <alignment horizontal="left" wrapText="1"/>
    </xf>
    <xf numFmtId="49" fontId="2" fillId="0" borderId="1" xfId="3" applyNumberFormat="1" applyFont="1" applyFill="1" applyBorder="1" applyAlignment="1" applyProtection="1">
      <alignment horizontal="left" wrapText="1"/>
    </xf>
    <xf numFmtId="0" fontId="9" fillId="0" borderId="1" xfId="0" applyNumberFormat="1" applyFont="1" applyFill="1" applyBorder="1" applyAlignment="1">
      <alignment horizontal="left" vertical="top" wrapText="1"/>
    </xf>
    <xf numFmtId="164" fontId="2" fillId="0" borderId="5" xfId="0" applyNumberFormat="1" applyFont="1" applyFill="1" applyBorder="1" applyAlignment="1" applyProtection="1">
      <alignment horizontal="center" vertical="center" wrapText="1"/>
    </xf>
    <xf numFmtId="43" fontId="2" fillId="0" borderId="4" xfId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7" fillId="0" borderId="0" xfId="3" applyNumberFormat="1" applyFill="1" applyAlignment="1">
      <alignment horizontal="center"/>
    </xf>
    <xf numFmtId="49" fontId="5" fillId="0" borderId="3" xfId="3" applyNumberFormat="1" applyFont="1" applyFill="1" applyBorder="1" applyAlignment="1" applyProtection="1">
      <alignment horizontal="left" wrapText="1"/>
    </xf>
    <xf numFmtId="49" fontId="6" fillId="0" borderId="1" xfId="3" applyNumberFormat="1" applyFont="1" applyFill="1" applyBorder="1" applyAlignment="1" applyProtection="1">
      <alignment horizontal="right" wrapText="1"/>
    </xf>
    <xf numFmtId="0" fontId="11" fillId="0" borderId="0" xfId="0" applyFont="1"/>
    <xf numFmtId="0" fontId="10" fillId="0" borderId="0" xfId="0" applyFont="1"/>
    <xf numFmtId="49" fontId="5" fillId="3" borderId="1" xfId="3" applyNumberFormat="1" applyFont="1" applyFill="1" applyBorder="1" applyAlignment="1" applyProtection="1">
      <alignment vertical="center" wrapText="1"/>
    </xf>
    <xf numFmtId="164" fontId="5" fillId="3" borderId="1" xfId="3" applyNumberFormat="1" applyFont="1" applyFill="1" applyBorder="1" applyAlignment="1" applyProtection="1">
      <alignment horizont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1" xfId="3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wrapText="1"/>
    </xf>
    <xf numFmtId="49" fontId="6" fillId="0" borderId="1" xfId="0" applyNumberFormat="1" applyFont="1" applyFill="1" applyBorder="1" applyAlignment="1" applyProtection="1">
      <alignment horizontal="left" wrapText="1"/>
    </xf>
    <xf numFmtId="49" fontId="6" fillId="0" borderId="6" xfId="0" applyNumberFormat="1" applyFont="1" applyFill="1" applyBorder="1" applyAlignment="1" applyProtection="1">
      <alignment horizontal="left" wrapText="1"/>
    </xf>
    <xf numFmtId="164" fontId="5" fillId="0" borderId="1" xfId="3" applyNumberFormat="1" applyFont="1" applyFill="1" applyBorder="1" applyAlignment="1" applyProtection="1">
      <alignment horizontal="center" vertical="center" wrapText="1"/>
    </xf>
    <xf numFmtId="164" fontId="12" fillId="0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164" fontId="2" fillId="0" borderId="1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/>
    <xf numFmtId="49" fontId="5" fillId="3" borderId="4" xfId="0" applyNumberFormat="1" applyFont="1" applyFill="1" applyBorder="1" applyAlignment="1" applyProtection="1">
      <alignment horizontal="left" wrapText="1"/>
    </xf>
    <xf numFmtId="164" fontId="5" fillId="3" borderId="4" xfId="0" applyNumberFormat="1" applyFont="1" applyFill="1" applyBorder="1" applyAlignment="1" applyProtection="1">
      <alignment horizontal="center" vertical="center" wrapText="1"/>
    </xf>
    <xf numFmtId="49" fontId="12" fillId="0" borderId="4" xfId="0" applyNumberFormat="1" applyFont="1" applyBorder="1" applyAlignment="1" applyProtection="1">
      <alignment horizontal="left" wrapText="1"/>
    </xf>
    <xf numFmtId="0" fontId="13" fillId="0" borderId="0" xfId="0" applyFont="1"/>
    <xf numFmtId="164" fontId="5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2" applyNumberFormat="1" applyFont="1" applyFill="1" applyBorder="1" applyAlignment="1" applyProtection="1">
      <alignment horizontal="center" vertical="center" wrapText="1"/>
    </xf>
    <xf numFmtId="165" fontId="6" fillId="0" borderId="6" xfId="2" applyNumberFormat="1" applyFont="1" applyFill="1" applyBorder="1" applyAlignment="1" applyProtection="1">
      <alignment horizontal="center" vertical="center" wrapText="1"/>
    </xf>
    <xf numFmtId="164" fontId="5" fillId="0" borderId="3" xfId="3" applyNumberFormat="1" applyFont="1" applyFill="1" applyBorder="1" applyAlignment="1" applyProtection="1">
      <alignment horizontal="center" vertical="center" wrapText="1"/>
    </xf>
    <xf numFmtId="164" fontId="6" fillId="0" borderId="1" xfId="3" applyNumberFormat="1" applyFont="1" applyFill="1" applyBorder="1" applyAlignment="1" applyProtection="1">
      <alignment horizontal="center" vertical="center" wrapText="1"/>
    </xf>
    <xf numFmtId="0" fontId="3" fillId="0" borderId="0" xfId="3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0" fontId="3" fillId="0" borderId="0" xfId="3" applyFont="1" applyFill="1"/>
    <xf numFmtId="0" fontId="3" fillId="0" borderId="0" xfId="3" applyFont="1" applyFill="1" applyAlignment="1">
      <alignment horizontal="right"/>
    </xf>
    <xf numFmtId="164" fontId="8" fillId="0" borderId="4" xfId="0" applyNumberFormat="1" applyFont="1" applyFill="1" applyBorder="1" applyAlignment="1" applyProtection="1">
      <alignment horizontal="right" wrapText="1"/>
    </xf>
    <xf numFmtId="164" fontId="3" fillId="0" borderId="4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0" fontId="15" fillId="0" borderId="0" xfId="0" applyFont="1" applyFill="1"/>
    <xf numFmtId="49" fontId="5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3" fillId="0" borderId="0" xfId="3" applyFont="1" applyFill="1" applyAlignment="1">
      <alignment horizontal="right" vertical="center" wrapText="1"/>
    </xf>
    <xf numFmtId="0" fontId="3" fillId="0" borderId="0" xfId="3" applyFont="1" applyFill="1" applyAlignment="1">
      <alignment horizontal="right" vertical="center" wrapText="1"/>
    </xf>
    <xf numFmtId="0" fontId="5" fillId="0" borderId="0" xfId="3" applyFont="1" applyFill="1" applyAlignment="1">
      <alignment horizontal="center" vertical="center" wrapText="1"/>
    </xf>
    <xf numFmtId="49" fontId="8" fillId="0" borderId="0" xfId="3" applyNumberFormat="1" applyFont="1" applyFill="1" applyAlignment="1">
      <alignment horizontal="left" vertical="center"/>
    </xf>
    <xf numFmtId="0" fontId="3" fillId="0" borderId="0" xfId="3" applyFont="1" applyFill="1" applyAlignment="1">
      <alignment vertical="center"/>
    </xf>
    <xf numFmtId="0" fontId="3" fillId="0" borderId="0" xfId="3" applyFont="1" applyFill="1" applyAlignment="1">
      <alignment horizontal="left" vertical="center"/>
    </xf>
    <xf numFmtId="0" fontId="3" fillId="0" borderId="0" xfId="3" applyFont="1" applyFill="1" applyAlignment="1">
      <alignment horizontal="right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 applyProtection="1">
      <alignment horizontal="left" wrapText="1"/>
    </xf>
  </cellXfs>
  <cellStyles count="4">
    <cellStyle name="Обычный" xfId="0" builtinId="0"/>
    <cellStyle name="Обычный 2" xfId="3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J160"/>
  <sheetViews>
    <sheetView tabSelected="1" view="pageBreakPreview" zoomScale="120" zoomScaleNormal="100" zoomScaleSheetLayoutView="120" workbookViewId="0">
      <selection activeCell="E12" sqref="E12"/>
    </sheetView>
  </sheetViews>
  <sheetFormatPr defaultRowHeight="15.75" x14ac:dyDescent="0.25"/>
  <cols>
    <col min="1" max="1" width="49.28515625" style="1" customWidth="1"/>
    <col min="2" max="2" width="16.42578125" style="2" customWidth="1"/>
    <col min="3" max="3" width="16.42578125" style="35" customWidth="1"/>
    <col min="4" max="4" width="8.85546875" style="35" customWidth="1"/>
    <col min="5" max="5" width="16.42578125" style="2" customWidth="1"/>
    <col min="6" max="6" width="10.85546875" style="2" customWidth="1"/>
    <col min="7" max="7" width="16.42578125" style="2" customWidth="1"/>
    <col min="8" max="8" width="13.140625" style="2" customWidth="1"/>
    <col min="9" max="9" width="16.42578125" style="2" customWidth="1"/>
    <col min="10" max="10" width="12.7109375" style="2" customWidth="1"/>
  </cols>
  <sheetData>
    <row r="1" spans="1:10" x14ac:dyDescent="0.25">
      <c r="J1" s="3" t="s">
        <v>95</v>
      </c>
    </row>
    <row r="3" spans="1:10" ht="63" customHeight="1" x14ac:dyDescent="0.25">
      <c r="A3" s="63" t="s">
        <v>96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x14ac:dyDescent="0.25">
      <c r="J4" s="4" t="s">
        <v>110</v>
      </c>
    </row>
    <row r="5" spans="1:10" s="25" customFormat="1" x14ac:dyDescent="0.25">
      <c r="A5" s="64" t="s">
        <v>0</v>
      </c>
      <c r="B5" s="65" t="s">
        <v>97</v>
      </c>
      <c r="C5" s="67" t="s">
        <v>98</v>
      </c>
      <c r="D5" s="67" t="s">
        <v>106</v>
      </c>
      <c r="E5" s="64" t="s">
        <v>1</v>
      </c>
      <c r="F5" s="64"/>
      <c r="G5" s="64"/>
      <c r="H5" s="64"/>
      <c r="I5" s="64"/>
      <c r="J5" s="64"/>
    </row>
    <row r="6" spans="1:10" s="25" customFormat="1" ht="48.75" customHeight="1" x14ac:dyDescent="0.25">
      <c r="A6" s="64"/>
      <c r="B6" s="66"/>
      <c r="C6" s="68"/>
      <c r="D6" s="68"/>
      <c r="E6" s="28" t="s">
        <v>2</v>
      </c>
      <c r="F6" s="62" t="s">
        <v>107</v>
      </c>
      <c r="G6" s="28" t="s">
        <v>91</v>
      </c>
      <c r="H6" s="62" t="s">
        <v>108</v>
      </c>
      <c r="I6" s="28" t="s">
        <v>99</v>
      </c>
      <c r="J6" s="62" t="s">
        <v>109</v>
      </c>
    </row>
    <row r="7" spans="1:10" x14ac:dyDescent="0.25">
      <c r="A7" s="38" t="s">
        <v>3</v>
      </c>
      <c r="B7" s="39">
        <f t="shared" ref="B7" si="0">SUM(B9:B27)</f>
        <v>215318586.39999998</v>
      </c>
      <c r="C7" s="39">
        <f>SUM(C9:C27)</f>
        <v>252918360.69999996</v>
      </c>
      <c r="D7" s="39">
        <f>C7/B7*100</f>
        <v>117.46239139344452</v>
      </c>
      <c r="E7" s="39">
        <f>SUM(E9:E27)</f>
        <v>263478758.20000002</v>
      </c>
      <c r="F7" s="39">
        <f>E7/C7*100</f>
        <v>104.17541750261709</v>
      </c>
      <c r="G7" s="39">
        <f>SUM(G9:G27)</f>
        <v>247461068.69999993</v>
      </c>
      <c r="H7" s="39">
        <f>G7/E7*100</f>
        <v>93.92069037768826</v>
      </c>
      <c r="I7" s="39">
        <f>SUM(I9:I27)</f>
        <v>232578058.59999996</v>
      </c>
      <c r="J7" s="39">
        <f>I7/G7*100</f>
        <v>93.98571655000697</v>
      </c>
    </row>
    <row r="8" spans="1:10" s="41" customFormat="1" ht="15.75" customHeight="1" x14ac:dyDescent="0.25">
      <c r="A8" s="40" t="s">
        <v>90</v>
      </c>
      <c r="B8" s="34">
        <f t="shared" ref="B8" si="1">SUM(B9:B26)</f>
        <v>199404462.69999999</v>
      </c>
      <c r="C8" s="34">
        <f>SUM(C9:C26)</f>
        <v>238924275.89999995</v>
      </c>
      <c r="D8" s="34">
        <f t="shared" ref="D8:D29" si="2">C8/B8*100</f>
        <v>119.81892113390498</v>
      </c>
      <c r="E8" s="34">
        <f>SUM(E9:E26)</f>
        <v>231660604.80000001</v>
      </c>
      <c r="F8" s="34">
        <f>E8/C8*100</f>
        <v>96.959843836446282</v>
      </c>
      <c r="G8" s="34">
        <f t="shared" ref="G8" si="3">SUM(G9:G26)</f>
        <v>215932794.19999993</v>
      </c>
      <c r="H8" s="34">
        <f>G8/E8*100</f>
        <v>93.210839359770119</v>
      </c>
      <c r="I8" s="34">
        <f>SUM(I9:I26)</f>
        <v>201762080.69999996</v>
      </c>
      <c r="J8" s="34">
        <f>I8/G8*100</f>
        <v>93.437442630008832</v>
      </c>
    </row>
    <row r="9" spans="1:10" ht="31.5" x14ac:dyDescent="0.25">
      <c r="A9" s="7" t="s">
        <v>4</v>
      </c>
      <c r="B9" s="36">
        <v>30345608.899999999</v>
      </c>
      <c r="C9" s="36">
        <f>32645713.8+430666</f>
        <v>33076379.800000001</v>
      </c>
      <c r="D9" s="36">
        <f t="shared" si="2"/>
        <v>108.99889967276289</v>
      </c>
      <c r="E9" s="19">
        <f>34300617.1+24272.5</f>
        <v>34324889.600000001</v>
      </c>
      <c r="F9" s="19">
        <f>E9/C9*100</f>
        <v>103.77462650855158</v>
      </c>
      <c r="G9" s="19">
        <v>31610860.699999999</v>
      </c>
      <c r="H9" s="19">
        <f>G9/E9*100</f>
        <v>92.09311688507222</v>
      </c>
      <c r="I9" s="19">
        <v>29925808.300000001</v>
      </c>
      <c r="J9" s="19">
        <f>I9/G9*100</f>
        <v>94.669387790507088</v>
      </c>
    </row>
    <row r="10" spans="1:10" ht="15.75" customHeight="1" x14ac:dyDescent="0.25">
      <c r="A10" s="7" t="s">
        <v>5</v>
      </c>
      <c r="B10" s="36">
        <v>45763917.100000001</v>
      </c>
      <c r="C10" s="36">
        <f>56768836.9+5435.7+10531</f>
        <v>56784803.600000001</v>
      </c>
      <c r="D10" s="36">
        <f t="shared" si="2"/>
        <v>124.08204366754261</v>
      </c>
      <c r="E10" s="19">
        <v>57486719.399999999</v>
      </c>
      <c r="F10" s="19">
        <f t="shared" ref="F10:J29" si="4">E10/C10*100</f>
        <v>101.23609796195542</v>
      </c>
      <c r="G10" s="19">
        <v>53782740.799999997</v>
      </c>
      <c r="H10" s="19">
        <f t="shared" si="4"/>
        <v>93.55680992295413</v>
      </c>
      <c r="I10" s="19">
        <v>50628461.5</v>
      </c>
      <c r="J10" s="19">
        <f t="shared" si="4"/>
        <v>94.135145860770265</v>
      </c>
    </row>
    <row r="11" spans="1:10" ht="31.5" x14ac:dyDescent="0.25">
      <c r="A11" s="7" t="s">
        <v>6</v>
      </c>
      <c r="B11" s="36">
        <v>33427703.100000001</v>
      </c>
      <c r="C11" s="36">
        <f>36395384.9+1560041.4+1104475.5+9014.6+15735.8+75187.5</f>
        <v>39159839.699999996</v>
      </c>
      <c r="D11" s="36">
        <f t="shared" si="2"/>
        <v>117.14786260621057</v>
      </c>
      <c r="E11" s="19">
        <f>43007427.9+60000</f>
        <v>43067427.899999999</v>
      </c>
      <c r="F11" s="19">
        <f t="shared" si="4"/>
        <v>109.97856025442312</v>
      </c>
      <c r="G11" s="19">
        <f>42322528.7+60000</f>
        <v>42382528.700000003</v>
      </c>
      <c r="H11" s="19">
        <f t="shared" si="4"/>
        <v>98.409704889759624</v>
      </c>
      <c r="I11" s="19">
        <f>39266699.8+60000</f>
        <v>39326699.799999997</v>
      </c>
      <c r="J11" s="19">
        <f t="shared" si="4"/>
        <v>92.789885375574571</v>
      </c>
    </row>
    <row r="12" spans="1:10" ht="31.5" x14ac:dyDescent="0.25">
      <c r="A12" s="7" t="s">
        <v>7</v>
      </c>
      <c r="B12" s="36">
        <v>1942221.8</v>
      </c>
      <c r="C12" s="36">
        <f>3837295.8+2726</f>
        <v>3840021.8</v>
      </c>
      <c r="D12" s="36">
        <f t="shared" si="2"/>
        <v>197.71283588722977</v>
      </c>
      <c r="E12" s="19">
        <v>4111460.1</v>
      </c>
      <c r="F12" s="19">
        <f t="shared" si="4"/>
        <v>107.06866559976301</v>
      </c>
      <c r="G12" s="19">
        <v>2791434.5</v>
      </c>
      <c r="H12" s="19">
        <f t="shared" si="4"/>
        <v>67.893994641952133</v>
      </c>
      <c r="I12" s="19">
        <v>1575202.4</v>
      </c>
      <c r="J12" s="19">
        <f t="shared" si="4"/>
        <v>56.429853539461519</v>
      </c>
    </row>
    <row r="13" spans="1:10" x14ac:dyDescent="0.25">
      <c r="A13" s="7" t="s">
        <v>8</v>
      </c>
      <c r="B13" s="36">
        <v>4593258.0999999996</v>
      </c>
      <c r="C13" s="36">
        <f>4873185.9+144606+12638</f>
        <v>5030429.9000000004</v>
      </c>
      <c r="D13" s="36">
        <f t="shared" si="2"/>
        <v>109.51768419022656</v>
      </c>
      <c r="E13" s="19">
        <v>4950606.4000000004</v>
      </c>
      <c r="F13" s="19">
        <f t="shared" si="4"/>
        <v>98.41318731029331</v>
      </c>
      <c r="G13" s="19">
        <v>4971164.3</v>
      </c>
      <c r="H13" s="19">
        <f t="shared" si="4"/>
        <v>100.41526023963448</v>
      </c>
      <c r="I13" s="19">
        <v>4058542.9</v>
      </c>
      <c r="J13" s="19">
        <f t="shared" si="4"/>
        <v>81.641697096995969</v>
      </c>
    </row>
    <row r="14" spans="1:10" ht="47.25" x14ac:dyDescent="0.25">
      <c r="A14" s="7" t="s">
        <v>9</v>
      </c>
      <c r="B14" s="36">
        <v>17203326.600000001</v>
      </c>
      <c r="C14" s="36">
        <f>22257055.9+5007174.4</f>
        <v>27264230.299999997</v>
      </c>
      <c r="D14" s="36">
        <f t="shared" si="2"/>
        <v>158.48231527500033</v>
      </c>
      <c r="E14" s="19">
        <v>6023662.5</v>
      </c>
      <c r="F14" s="19">
        <f t="shared" si="4"/>
        <v>22.093645900577656</v>
      </c>
      <c r="G14" s="19">
        <v>3335265.1</v>
      </c>
      <c r="H14" s="19">
        <f t="shared" si="4"/>
        <v>55.369388640216812</v>
      </c>
      <c r="I14" s="19">
        <v>8962575.9000000004</v>
      </c>
      <c r="J14" s="19">
        <f t="shared" si="4"/>
        <v>268.7215448031402</v>
      </c>
    </row>
    <row r="15" spans="1:10" ht="63" x14ac:dyDescent="0.25">
      <c r="A15" s="7" t="s">
        <v>10</v>
      </c>
      <c r="B15" s="36">
        <v>14987530.5</v>
      </c>
      <c r="C15" s="36">
        <f>15565496.9+181372.8</f>
        <v>15746869.700000001</v>
      </c>
      <c r="D15" s="36">
        <f t="shared" si="2"/>
        <v>105.06647309241505</v>
      </c>
      <c r="E15" s="19">
        <v>15232310.800000001</v>
      </c>
      <c r="F15" s="19">
        <f t="shared" si="4"/>
        <v>96.732309914268228</v>
      </c>
      <c r="G15" s="19">
        <v>13143626.199999999</v>
      </c>
      <c r="H15" s="19">
        <f t="shared" si="4"/>
        <v>86.287802110760495</v>
      </c>
      <c r="I15" s="19">
        <v>12572289.699999999</v>
      </c>
      <c r="J15" s="19">
        <f t="shared" si="4"/>
        <v>95.65312881463413</v>
      </c>
    </row>
    <row r="16" spans="1:10" x14ac:dyDescent="0.25">
      <c r="A16" s="7" t="s">
        <v>11</v>
      </c>
      <c r="B16" s="36">
        <v>3517008.4</v>
      </c>
      <c r="C16" s="36">
        <v>4624219.8</v>
      </c>
      <c r="D16" s="36">
        <f t="shared" si="2"/>
        <v>131.48162512207819</v>
      </c>
      <c r="E16" s="19">
        <f>5284704+29910.4</f>
        <v>5314614.4000000004</v>
      </c>
      <c r="F16" s="19">
        <f t="shared" si="4"/>
        <v>114.92996937559067</v>
      </c>
      <c r="G16" s="19">
        <v>4838368.7</v>
      </c>
      <c r="H16" s="19">
        <f t="shared" si="4"/>
        <v>91.038941602235525</v>
      </c>
      <c r="I16" s="19">
        <v>4838368.7</v>
      </c>
      <c r="J16" s="19">
        <f t="shared" si="4"/>
        <v>100</v>
      </c>
    </row>
    <row r="17" spans="1:10" ht="31.5" x14ac:dyDescent="0.25">
      <c r="A17" s="7" t="s">
        <v>12</v>
      </c>
      <c r="B17" s="36">
        <v>2573735.7000000002</v>
      </c>
      <c r="C17" s="36">
        <f>2956544.3+45985.4</f>
        <v>3002529.6999999997</v>
      </c>
      <c r="D17" s="36">
        <f t="shared" si="2"/>
        <v>116.66037425676612</v>
      </c>
      <c r="E17" s="19">
        <v>3152031.7</v>
      </c>
      <c r="F17" s="19">
        <f t="shared" si="4"/>
        <v>104.97920137143024</v>
      </c>
      <c r="G17" s="19">
        <v>2944219.7</v>
      </c>
      <c r="H17" s="19">
        <f t="shared" si="4"/>
        <v>93.407046001472636</v>
      </c>
      <c r="I17" s="19">
        <v>2231470.2000000002</v>
      </c>
      <c r="J17" s="19">
        <f t="shared" si="4"/>
        <v>75.791565418844257</v>
      </c>
    </row>
    <row r="18" spans="1:10" x14ac:dyDescent="0.25">
      <c r="A18" s="7" t="s">
        <v>13</v>
      </c>
      <c r="B18" s="36">
        <v>3579123.1</v>
      </c>
      <c r="C18" s="36">
        <v>4762667.3999999994</v>
      </c>
      <c r="D18" s="36">
        <f t="shared" si="2"/>
        <v>133.06799645980323</v>
      </c>
      <c r="E18" s="19">
        <v>6237677.4000000004</v>
      </c>
      <c r="F18" s="19">
        <f t="shared" si="4"/>
        <v>130.97024999058303</v>
      </c>
      <c r="G18" s="19">
        <v>5641312.7000000002</v>
      </c>
      <c r="H18" s="19">
        <f t="shared" si="4"/>
        <v>90.439314800088894</v>
      </c>
      <c r="I18" s="19">
        <v>5620047.2000000002</v>
      </c>
      <c r="J18" s="19">
        <f t="shared" si="4"/>
        <v>99.623039864462754</v>
      </c>
    </row>
    <row r="19" spans="1:10" ht="31.5" x14ac:dyDescent="0.25">
      <c r="A19" s="7" t="s">
        <v>14</v>
      </c>
      <c r="B19" s="36">
        <v>2784036.1</v>
      </c>
      <c r="C19" s="36">
        <v>2175406.9</v>
      </c>
      <c r="D19" s="36">
        <f t="shared" si="2"/>
        <v>78.13860244125425</v>
      </c>
      <c r="E19" s="19">
        <v>1961229.3</v>
      </c>
      <c r="F19" s="19">
        <f t="shared" si="4"/>
        <v>90.154595905713094</v>
      </c>
      <c r="G19" s="19">
        <v>1779155.3</v>
      </c>
      <c r="H19" s="19">
        <f t="shared" si="4"/>
        <v>90.716332863271006</v>
      </c>
      <c r="I19" s="19">
        <v>1638814.4</v>
      </c>
      <c r="J19" s="19">
        <f t="shared" si="4"/>
        <v>92.111936490310882</v>
      </c>
    </row>
    <row r="20" spans="1:10" ht="31.5" x14ac:dyDescent="0.25">
      <c r="A20" s="7" t="s">
        <v>15</v>
      </c>
      <c r="B20" s="36">
        <v>20530608.199999999</v>
      </c>
      <c r="C20" s="36">
        <v>22739176.100000001</v>
      </c>
      <c r="D20" s="36">
        <f t="shared" si="2"/>
        <v>110.75744020091915</v>
      </c>
      <c r="E20" s="19">
        <f>27233716.5-60000</f>
        <v>27173716.5</v>
      </c>
      <c r="F20" s="19">
        <f t="shared" si="4"/>
        <v>119.50176374244271</v>
      </c>
      <c r="G20" s="19">
        <f>27831360.1-60000</f>
        <v>27771360.100000001</v>
      </c>
      <c r="H20" s="19">
        <f t="shared" si="4"/>
        <v>102.19934435541786</v>
      </c>
      <c r="I20" s="19">
        <f>21772692.8-60000</f>
        <v>21712692.800000001</v>
      </c>
      <c r="J20" s="19">
        <f t="shared" si="4"/>
        <v>78.183757373842127</v>
      </c>
    </row>
    <row r="21" spans="1:10" ht="31.5" x14ac:dyDescent="0.25">
      <c r="A21" s="7" t="s">
        <v>16</v>
      </c>
      <c r="B21" s="36">
        <v>6231641</v>
      </c>
      <c r="C21" s="36">
        <v>6527405.7000000002</v>
      </c>
      <c r="D21" s="36">
        <f t="shared" si="2"/>
        <v>104.74617680960763</v>
      </c>
      <c r="E21" s="19">
        <v>6444571.4000000004</v>
      </c>
      <c r="F21" s="19">
        <f t="shared" si="4"/>
        <v>98.730976688027837</v>
      </c>
      <c r="G21" s="19">
        <v>6293925.9000000004</v>
      </c>
      <c r="H21" s="19">
        <f t="shared" si="4"/>
        <v>97.662443463656871</v>
      </c>
      <c r="I21" s="19">
        <v>5332943.7</v>
      </c>
      <c r="J21" s="19">
        <f t="shared" si="4"/>
        <v>84.731593360512875</v>
      </c>
    </row>
    <row r="22" spans="1:10" ht="31.5" customHeight="1" x14ac:dyDescent="0.25">
      <c r="A22" s="7" t="s">
        <v>17</v>
      </c>
      <c r="B22" s="36">
        <v>7135192.5999999996</v>
      </c>
      <c r="C22" s="36">
        <v>8216941.9000000004</v>
      </c>
      <c r="D22" s="36">
        <f t="shared" si="2"/>
        <v>115.16075823937817</v>
      </c>
      <c r="E22" s="19">
        <f>8991336.9+294247.3</f>
        <v>9285584.2000000011</v>
      </c>
      <c r="F22" s="19">
        <f t="shared" si="4"/>
        <v>113.00535300121814</v>
      </c>
      <c r="G22" s="19">
        <f>9525324+79172.1</f>
        <v>9604496.0999999996</v>
      </c>
      <c r="H22" s="19">
        <f t="shared" si="4"/>
        <v>103.43448396063222</v>
      </c>
      <c r="I22" s="19">
        <v>10513624.800000001</v>
      </c>
      <c r="J22" s="19">
        <f t="shared" si="4"/>
        <v>109.4656574434967</v>
      </c>
    </row>
    <row r="23" spans="1:10" ht="31.5" x14ac:dyDescent="0.25">
      <c r="A23" s="7" t="s">
        <v>18</v>
      </c>
      <c r="B23" s="36">
        <v>2232086.7999999998</v>
      </c>
      <c r="C23" s="36">
        <v>2693462</v>
      </c>
      <c r="D23" s="36">
        <f t="shared" si="2"/>
        <v>120.67012806132809</v>
      </c>
      <c r="E23" s="19">
        <v>2889302</v>
      </c>
      <c r="F23" s="19">
        <f t="shared" si="4"/>
        <v>107.27093977936202</v>
      </c>
      <c r="G23" s="19">
        <v>1582809.1</v>
      </c>
      <c r="H23" s="19">
        <f t="shared" si="4"/>
        <v>54.781711984417001</v>
      </c>
      <c r="I23" s="19">
        <v>1459862.7</v>
      </c>
      <c r="J23" s="19">
        <f t="shared" si="4"/>
        <v>92.232392396530955</v>
      </c>
    </row>
    <row r="24" spans="1:10" ht="31.5" x14ac:dyDescent="0.25">
      <c r="A24" s="7" t="s">
        <v>19</v>
      </c>
      <c r="B24" s="36">
        <v>871799.5</v>
      </c>
      <c r="C24" s="36">
        <v>883005.3</v>
      </c>
      <c r="D24" s="36">
        <f t="shared" si="2"/>
        <v>101.28536435269808</v>
      </c>
      <c r="E24" s="20">
        <f>1267109+3480</f>
        <v>1270589</v>
      </c>
      <c r="F24" s="19">
        <f t="shared" si="4"/>
        <v>143.89370029828811</v>
      </c>
      <c r="G24" s="20">
        <f>1050483.7+3480</f>
        <v>1053963.7</v>
      </c>
      <c r="H24" s="19">
        <f t="shared" si="4"/>
        <v>82.950796835168575</v>
      </c>
      <c r="I24" s="20">
        <v>693759</v>
      </c>
      <c r="J24" s="19">
        <f t="shared" si="4"/>
        <v>65.823803988695246</v>
      </c>
    </row>
    <row r="25" spans="1:10" ht="31.5" x14ac:dyDescent="0.25">
      <c r="A25" s="7" t="s">
        <v>20</v>
      </c>
      <c r="B25" s="36">
        <v>593754.4</v>
      </c>
      <c r="C25" s="36">
        <v>657588.20000000007</v>
      </c>
      <c r="D25" s="36">
        <f t="shared" si="2"/>
        <v>110.75087611982329</v>
      </c>
      <c r="E25" s="19">
        <v>238911</v>
      </c>
      <c r="F25" s="19">
        <f t="shared" si="4"/>
        <v>36.331400107240363</v>
      </c>
      <c r="G25" s="19">
        <v>237368.5</v>
      </c>
      <c r="H25" s="19">
        <f t="shared" si="4"/>
        <v>99.354362084625663</v>
      </c>
      <c r="I25" s="19">
        <v>237368.5</v>
      </c>
      <c r="J25" s="19">
        <f t="shared" si="4"/>
        <v>100</v>
      </c>
    </row>
    <row r="26" spans="1:10" ht="31.5" x14ac:dyDescent="0.25">
      <c r="A26" s="7" t="s">
        <v>21</v>
      </c>
      <c r="B26" s="36">
        <v>1091910.8</v>
      </c>
      <c r="C26" s="36">
        <v>1739298.0999999999</v>
      </c>
      <c r="D26" s="36">
        <f t="shared" si="2"/>
        <v>159.28939433514165</v>
      </c>
      <c r="E26" s="19">
        <v>2495301.2000000002</v>
      </c>
      <c r="F26" s="19">
        <f t="shared" si="4"/>
        <v>143.46598780278092</v>
      </c>
      <c r="G26" s="19">
        <v>2168194.1</v>
      </c>
      <c r="H26" s="19">
        <f t="shared" si="4"/>
        <v>86.891077518016658</v>
      </c>
      <c r="I26" s="19">
        <v>433548.2</v>
      </c>
      <c r="J26" s="19">
        <f t="shared" si="4"/>
        <v>19.995820484891087</v>
      </c>
    </row>
    <row r="27" spans="1:10" ht="32.25" customHeight="1" x14ac:dyDescent="0.25">
      <c r="A27" s="7" t="s">
        <v>22</v>
      </c>
      <c r="B27" s="17">
        <v>15914123.699999999</v>
      </c>
      <c r="C27" s="36">
        <f>22599674.9-1560041.4-7221409+173386.3+2474</f>
        <v>13994084.800000001</v>
      </c>
      <c r="D27" s="36">
        <f t="shared" si="2"/>
        <v>87.935000781726998</v>
      </c>
      <c r="E27" s="6">
        <f>32170063.6+20089.6-371999.8</f>
        <v>31818153.400000002</v>
      </c>
      <c r="F27" s="19">
        <f t="shared" si="4"/>
        <v>227.36859076343458</v>
      </c>
      <c r="G27" s="6">
        <f>31610926.6-82652.1</f>
        <v>31528274.5</v>
      </c>
      <c r="H27" s="19">
        <f t="shared" si="4"/>
        <v>99.088951214874712</v>
      </c>
      <c r="I27" s="6">
        <v>30815977.900000002</v>
      </c>
      <c r="J27" s="19">
        <f t="shared" si="4"/>
        <v>97.740768845437458</v>
      </c>
    </row>
    <row r="28" spans="1:10" x14ac:dyDescent="0.25">
      <c r="A28" s="7" t="s">
        <v>23</v>
      </c>
      <c r="B28" s="6"/>
      <c r="C28" s="36"/>
      <c r="D28" s="36"/>
      <c r="E28" s="18"/>
      <c r="F28" s="19"/>
      <c r="G28" s="6">
        <v>5922209</v>
      </c>
      <c r="H28" s="19"/>
      <c r="I28" s="6">
        <v>12137674.699999999</v>
      </c>
      <c r="J28" s="19"/>
    </row>
    <row r="29" spans="1:10" x14ac:dyDescent="0.25">
      <c r="A29" s="8" t="s">
        <v>24</v>
      </c>
      <c r="B29" s="5">
        <f>B7+B28</f>
        <v>215318586.39999998</v>
      </c>
      <c r="C29" s="5">
        <f>C7+C28</f>
        <v>252918360.69999996</v>
      </c>
      <c r="D29" s="5">
        <f t="shared" si="2"/>
        <v>117.46239139344452</v>
      </c>
      <c r="E29" s="5">
        <f>E7+E28</f>
        <v>263478758.20000002</v>
      </c>
      <c r="F29" s="5">
        <f t="shared" si="4"/>
        <v>104.17541750261709</v>
      </c>
      <c r="G29" s="5">
        <f>G7+G28</f>
        <v>253383277.69999993</v>
      </c>
      <c r="H29" s="5">
        <f t="shared" si="4"/>
        <v>96.168389220835465</v>
      </c>
      <c r="I29" s="5">
        <f>I7+I28</f>
        <v>244715733.29999995</v>
      </c>
      <c r="J29" s="5">
        <f t="shared" si="4"/>
        <v>96.579275286563245</v>
      </c>
    </row>
    <row r="30" spans="1:10" x14ac:dyDescent="0.25">
      <c r="B30" s="9"/>
      <c r="C30" s="37"/>
      <c r="D30" s="37"/>
      <c r="E30" s="9"/>
      <c r="F30" s="9"/>
      <c r="G30" s="9"/>
      <c r="H30" s="9"/>
      <c r="I30" s="9"/>
      <c r="J30" s="9"/>
    </row>
    <row r="31" spans="1:10" ht="15" x14ac:dyDescent="0.25">
      <c r="A31" s="2"/>
      <c r="C31" s="2"/>
      <c r="D31" s="2"/>
    </row>
    <row r="32" spans="1:10" ht="15" x14ac:dyDescent="0.25">
      <c r="A32" s="2"/>
      <c r="C32" s="2"/>
      <c r="D32" s="2"/>
    </row>
    <row r="33" spans="1:4" ht="15" x14ac:dyDescent="0.25">
      <c r="A33" s="2"/>
      <c r="C33" s="2"/>
      <c r="D33" s="2"/>
    </row>
    <row r="34" spans="1:4" ht="15" x14ac:dyDescent="0.25">
      <c r="A34" s="2"/>
      <c r="C34" s="2"/>
      <c r="D34" s="2"/>
    </row>
    <row r="35" spans="1:4" ht="15" x14ac:dyDescent="0.25">
      <c r="A35" s="2"/>
      <c r="C35" s="2"/>
      <c r="D35" s="2"/>
    </row>
    <row r="36" spans="1:4" ht="15" x14ac:dyDescent="0.25">
      <c r="A36" s="2"/>
      <c r="C36" s="2"/>
      <c r="D36" s="2"/>
    </row>
    <row r="37" spans="1:4" ht="15" x14ac:dyDescent="0.25">
      <c r="A37"/>
      <c r="B37"/>
      <c r="C37" s="2"/>
      <c r="D37" s="2"/>
    </row>
    <row r="38" spans="1:4" ht="15" x14ac:dyDescent="0.25">
      <c r="A38"/>
      <c r="B38"/>
      <c r="C38" s="2"/>
      <c r="D38" s="2"/>
    </row>
    <row r="39" spans="1:4" ht="15" x14ac:dyDescent="0.25">
      <c r="A39"/>
      <c r="B39"/>
      <c r="C39" s="2"/>
      <c r="D39" s="2"/>
    </row>
    <row r="40" spans="1:4" ht="15" x14ac:dyDescent="0.25">
      <c r="A40"/>
      <c r="B40"/>
      <c r="C40" s="2"/>
      <c r="D40" s="2"/>
    </row>
    <row r="41" spans="1:4" ht="15" x14ac:dyDescent="0.25">
      <c r="A41"/>
      <c r="B41"/>
      <c r="C41" s="2"/>
      <c r="D41" s="2"/>
    </row>
    <row r="42" spans="1:4" ht="15" x14ac:dyDescent="0.25">
      <c r="A42"/>
      <c r="B42"/>
      <c r="C42" s="2"/>
      <c r="D42" s="2"/>
    </row>
    <row r="43" spans="1:4" ht="15" x14ac:dyDescent="0.25">
      <c r="A43"/>
      <c r="B43"/>
      <c r="C43" s="2"/>
      <c r="D43" s="2"/>
    </row>
    <row r="44" spans="1:4" ht="15" x14ac:dyDescent="0.25">
      <c r="A44"/>
      <c r="B44"/>
      <c r="C44" s="2"/>
      <c r="D44" s="2"/>
    </row>
    <row r="45" spans="1:4" ht="15" x14ac:dyDescent="0.25">
      <c r="A45"/>
      <c r="B45"/>
      <c r="C45" s="2"/>
      <c r="D45" s="2"/>
    </row>
    <row r="46" spans="1:4" ht="15" x14ac:dyDescent="0.25">
      <c r="A46"/>
      <c r="B46"/>
      <c r="C46" s="2"/>
      <c r="D46" s="2"/>
    </row>
    <row r="47" spans="1:4" ht="15" x14ac:dyDescent="0.25">
      <c r="A47"/>
      <c r="B47"/>
      <c r="C47" s="2"/>
      <c r="D47" s="2"/>
    </row>
    <row r="48" spans="1:4" ht="15" x14ac:dyDescent="0.25">
      <c r="A48"/>
      <c r="B48"/>
      <c r="C48" s="2"/>
      <c r="D48" s="2"/>
    </row>
    <row r="49" spans="1:4" ht="15" x14ac:dyDescent="0.25">
      <c r="A49"/>
      <c r="B49"/>
      <c r="C49" s="2"/>
      <c r="D49" s="2"/>
    </row>
    <row r="50" spans="1:4" ht="15" x14ac:dyDescent="0.25">
      <c r="A50"/>
      <c r="B50"/>
      <c r="C50" s="2"/>
      <c r="D50" s="2"/>
    </row>
    <row r="51" spans="1:4" ht="15" x14ac:dyDescent="0.25">
      <c r="A51"/>
      <c r="B51"/>
      <c r="C51" s="2"/>
      <c r="D51" s="2"/>
    </row>
    <row r="52" spans="1:4" ht="15" x14ac:dyDescent="0.25">
      <c r="A52"/>
      <c r="B52"/>
      <c r="C52" s="2"/>
      <c r="D52" s="2"/>
    </row>
    <row r="53" spans="1:4" ht="15" x14ac:dyDescent="0.25">
      <c r="A53"/>
      <c r="B53"/>
      <c r="C53" s="2"/>
      <c r="D53" s="2"/>
    </row>
    <row r="54" spans="1:4" ht="15" x14ac:dyDescent="0.25">
      <c r="A54"/>
      <c r="B54"/>
      <c r="C54" s="2"/>
      <c r="D54" s="2"/>
    </row>
    <row r="55" spans="1:4" ht="15" x14ac:dyDescent="0.25">
      <c r="A55"/>
      <c r="B55"/>
      <c r="C55" s="2"/>
      <c r="D55" s="2"/>
    </row>
    <row r="56" spans="1:4" ht="15" x14ac:dyDescent="0.25">
      <c r="A56"/>
      <c r="B56"/>
      <c r="C56" s="2"/>
      <c r="D56" s="2"/>
    </row>
    <row r="57" spans="1:4" ht="15" x14ac:dyDescent="0.25">
      <c r="A57" s="2"/>
      <c r="C57" s="2"/>
      <c r="D57" s="2"/>
    </row>
    <row r="58" spans="1:4" ht="15" x14ac:dyDescent="0.25">
      <c r="A58" s="2"/>
      <c r="C58" s="2"/>
      <c r="D58" s="2"/>
    </row>
    <row r="59" spans="1:4" ht="15" x14ac:dyDescent="0.25">
      <c r="A59" s="2"/>
      <c r="C59" s="2"/>
      <c r="D59" s="2"/>
    </row>
    <row r="60" spans="1:4" ht="15" x14ac:dyDescent="0.25">
      <c r="A60" s="2"/>
      <c r="C60" s="2"/>
      <c r="D60" s="2"/>
    </row>
    <row r="61" spans="1:4" ht="15" x14ac:dyDescent="0.25">
      <c r="A61" s="2"/>
      <c r="C61" s="2"/>
      <c r="D61" s="2"/>
    </row>
    <row r="62" spans="1:4" ht="15" x14ac:dyDescent="0.25">
      <c r="A62" s="2"/>
      <c r="C62" s="2"/>
      <c r="D62" s="2"/>
    </row>
    <row r="63" spans="1:4" ht="15" x14ac:dyDescent="0.25">
      <c r="A63" s="2"/>
      <c r="C63" s="2"/>
      <c r="D63" s="2"/>
    </row>
    <row r="64" spans="1:4" ht="15" x14ac:dyDescent="0.25">
      <c r="A64" s="2"/>
      <c r="C64" s="2"/>
      <c r="D64" s="2"/>
    </row>
    <row r="65" spans="1:4" ht="15" x14ac:dyDescent="0.25">
      <c r="A65" s="2"/>
      <c r="C65" s="2"/>
      <c r="D65" s="2"/>
    </row>
    <row r="66" spans="1:4" ht="15" x14ac:dyDescent="0.25">
      <c r="A66" s="2"/>
      <c r="C66" s="2"/>
      <c r="D66" s="2"/>
    </row>
    <row r="67" spans="1:4" ht="15" x14ac:dyDescent="0.25">
      <c r="A67" s="2"/>
      <c r="C67" s="2"/>
      <c r="D67" s="2"/>
    </row>
    <row r="68" spans="1:4" ht="15" x14ac:dyDescent="0.25">
      <c r="A68" s="2"/>
      <c r="C68" s="2"/>
      <c r="D68" s="2"/>
    </row>
    <row r="69" spans="1:4" ht="15" x14ac:dyDescent="0.25">
      <c r="A69" s="2"/>
      <c r="C69" s="2"/>
      <c r="D69" s="2"/>
    </row>
    <row r="70" spans="1:4" ht="15" x14ac:dyDescent="0.25">
      <c r="A70" s="2"/>
      <c r="C70" s="2"/>
      <c r="D70" s="2"/>
    </row>
    <row r="71" spans="1:4" ht="15" x14ac:dyDescent="0.25">
      <c r="A71" s="2"/>
      <c r="C71" s="2"/>
      <c r="D71" s="2"/>
    </row>
    <row r="72" spans="1:4" ht="15" x14ac:dyDescent="0.25">
      <c r="A72" s="2"/>
      <c r="C72" s="2"/>
      <c r="D72" s="2"/>
    </row>
    <row r="73" spans="1:4" ht="15" x14ac:dyDescent="0.25">
      <c r="A73" s="2"/>
      <c r="C73" s="2"/>
      <c r="D73" s="2"/>
    </row>
    <row r="74" spans="1:4" ht="15" x14ac:dyDescent="0.25">
      <c r="A74" s="2"/>
      <c r="C74" s="2"/>
      <c r="D74" s="2"/>
    </row>
    <row r="75" spans="1:4" ht="15" x14ac:dyDescent="0.25">
      <c r="A75" s="2"/>
      <c r="C75" s="2"/>
      <c r="D75" s="2"/>
    </row>
    <row r="76" spans="1:4" ht="15" x14ac:dyDescent="0.25">
      <c r="A76" s="2"/>
      <c r="C76" s="2"/>
      <c r="D76" s="2"/>
    </row>
    <row r="77" spans="1:4" ht="15" x14ac:dyDescent="0.25">
      <c r="A77" s="2"/>
      <c r="C77" s="2"/>
      <c r="D77" s="2"/>
    </row>
    <row r="78" spans="1:4" ht="15" x14ac:dyDescent="0.25">
      <c r="A78" s="2"/>
      <c r="C78" s="2"/>
      <c r="D78" s="2"/>
    </row>
    <row r="79" spans="1:4" ht="15" x14ac:dyDescent="0.25">
      <c r="A79" s="2"/>
      <c r="C79" s="2"/>
      <c r="D79" s="2"/>
    </row>
    <row r="80" spans="1:4" ht="15" x14ac:dyDescent="0.25">
      <c r="A80" s="2"/>
      <c r="C80" s="2"/>
      <c r="D80" s="2"/>
    </row>
    <row r="81" spans="1:4" ht="15" x14ac:dyDescent="0.25">
      <c r="A81" s="2"/>
      <c r="C81" s="2"/>
      <c r="D81" s="2"/>
    </row>
    <row r="82" spans="1:4" ht="15" x14ac:dyDescent="0.25">
      <c r="A82" s="2"/>
      <c r="C82" s="2"/>
      <c r="D82" s="2"/>
    </row>
    <row r="83" spans="1:4" ht="15" x14ac:dyDescent="0.25">
      <c r="A83" s="2"/>
      <c r="C83" s="2"/>
      <c r="D83" s="2"/>
    </row>
    <row r="84" spans="1:4" ht="15" x14ac:dyDescent="0.25">
      <c r="A84" s="2"/>
      <c r="C84" s="2"/>
      <c r="D84" s="2"/>
    </row>
    <row r="85" spans="1:4" ht="15" x14ac:dyDescent="0.25">
      <c r="A85" s="2"/>
      <c r="C85" s="2"/>
      <c r="D85" s="2"/>
    </row>
    <row r="86" spans="1:4" ht="15" x14ac:dyDescent="0.25">
      <c r="A86" s="2"/>
      <c r="C86" s="2"/>
      <c r="D86" s="2"/>
    </row>
    <row r="87" spans="1:4" ht="15" x14ac:dyDescent="0.25">
      <c r="A87" s="2"/>
      <c r="C87" s="2"/>
      <c r="D87" s="2"/>
    </row>
    <row r="88" spans="1:4" ht="15" x14ac:dyDescent="0.25">
      <c r="A88" s="2"/>
      <c r="C88" s="2"/>
      <c r="D88" s="2"/>
    </row>
    <row r="89" spans="1:4" ht="15" x14ac:dyDescent="0.25">
      <c r="A89" s="2"/>
      <c r="C89" s="2"/>
      <c r="D89" s="2"/>
    </row>
    <row r="90" spans="1:4" ht="15" x14ac:dyDescent="0.25">
      <c r="A90" s="2"/>
      <c r="C90" s="2"/>
      <c r="D90" s="2"/>
    </row>
    <row r="91" spans="1:4" ht="15" x14ac:dyDescent="0.25">
      <c r="A91" s="2"/>
      <c r="C91" s="2"/>
      <c r="D91" s="2"/>
    </row>
    <row r="92" spans="1:4" ht="15" x14ac:dyDescent="0.25">
      <c r="A92" s="2"/>
      <c r="C92" s="2"/>
      <c r="D92" s="2"/>
    </row>
    <row r="93" spans="1:4" ht="15" x14ac:dyDescent="0.25">
      <c r="A93" s="2"/>
      <c r="C93" s="2"/>
      <c r="D93" s="2"/>
    </row>
    <row r="94" spans="1:4" ht="15" x14ac:dyDescent="0.25">
      <c r="A94" s="2"/>
      <c r="C94" s="2"/>
      <c r="D94" s="2"/>
    </row>
    <row r="95" spans="1:4" ht="15" x14ac:dyDescent="0.25">
      <c r="A95" s="2"/>
      <c r="C95" s="2"/>
      <c r="D95" s="2"/>
    </row>
    <row r="96" spans="1:4" ht="15" x14ac:dyDescent="0.25">
      <c r="A96" s="2"/>
      <c r="C96" s="2"/>
      <c r="D96" s="2"/>
    </row>
    <row r="97" spans="1:4" ht="15" x14ac:dyDescent="0.25">
      <c r="A97" s="2"/>
      <c r="C97" s="2"/>
      <c r="D97" s="2"/>
    </row>
    <row r="98" spans="1:4" ht="15" x14ac:dyDescent="0.25">
      <c r="A98" s="2"/>
      <c r="C98" s="2"/>
      <c r="D98" s="2"/>
    </row>
    <row r="99" spans="1:4" ht="15" x14ac:dyDescent="0.25">
      <c r="A99" s="2"/>
      <c r="C99" s="2"/>
      <c r="D99" s="2"/>
    </row>
    <row r="100" spans="1:4" ht="15" x14ac:dyDescent="0.25">
      <c r="A100" s="2"/>
      <c r="C100" s="2"/>
      <c r="D100" s="2"/>
    </row>
    <row r="101" spans="1:4" ht="15" x14ac:dyDescent="0.25">
      <c r="A101" s="2"/>
      <c r="C101" s="2"/>
      <c r="D101" s="2"/>
    </row>
    <row r="102" spans="1:4" ht="15" x14ac:dyDescent="0.25">
      <c r="A102" s="2"/>
      <c r="C102" s="2"/>
      <c r="D102" s="2"/>
    </row>
    <row r="103" spans="1:4" ht="15" x14ac:dyDescent="0.25">
      <c r="A103" s="2"/>
      <c r="C103" s="2"/>
      <c r="D103" s="2"/>
    </row>
    <row r="104" spans="1:4" ht="15" x14ac:dyDescent="0.25">
      <c r="A104" s="2"/>
      <c r="C104" s="2"/>
      <c r="D104" s="2"/>
    </row>
    <row r="105" spans="1:4" ht="15" x14ac:dyDescent="0.25">
      <c r="A105" s="2"/>
      <c r="C105" s="2"/>
      <c r="D105" s="2"/>
    </row>
    <row r="106" spans="1:4" ht="15" x14ac:dyDescent="0.25">
      <c r="A106" s="2"/>
      <c r="C106" s="2"/>
      <c r="D106" s="2"/>
    </row>
    <row r="107" spans="1:4" ht="15" x14ac:dyDescent="0.25">
      <c r="A107" s="2"/>
      <c r="C107" s="2"/>
      <c r="D107" s="2"/>
    </row>
    <row r="108" spans="1:4" ht="15" x14ac:dyDescent="0.25">
      <c r="A108" s="2"/>
      <c r="C108" s="2"/>
      <c r="D108" s="2"/>
    </row>
    <row r="109" spans="1:4" ht="15" x14ac:dyDescent="0.25">
      <c r="A109" s="2"/>
      <c r="C109" s="2"/>
      <c r="D109" s="2"/>
    </row>
    <row r="110" spans="1:4" ht="15" x14ac:dyDescent="0.25">
      <c r="A110" s="2"/>
      <c r="C110" s="2"/>
      <c r="D110" s="2"/>
    </row>
    <row r="111" spans="1:4" ht="15" x14ac:dyDescent="0.25">
      <c r="A111" s="2"/>
      <c r="C111" s="2"/>
      <c r="D111" s="2"/>
    </row>
    <row r="112" spans="1:4" ht="15" x14ac:dyDescent="0.25">
      <c r="A112" s="2"/>
      <c r="C112" s="2"/>
      <c r="D112" s="2"/>
    </row>
    <row r="113" spans="1:4" ht="15" x14ac:dyDescent="0.25">
      <c r="A113" s="2"/>
      <c r="C113" s="2"/>
      <c r="D113" s="2"/>
    </row>
    <row r="114" spans="1:4" ht="15" x14ac:dyDescent="0.25">
      <c r="A114" s="2"/>
      <c r="C114" s="2"/>
      <c r="D114" s="2"/>
    </row>
    <row r="115" spans="1:4" ht="15" x14ac:dyDescent="0.25">
      <c r="A115" s="2"/>
      <c r="C115" s="2"/>
      <c r="D115" s="2"/>
    </row>
    <row r="116" spans="1:4" ht="15" x14ac:dyDescent="0.25">
      <c r="A116" s="2"/>
      <c r="C116" s="2"/>
      <c r="D116" s="2"/>
    </row>
    <row r="117" spans="1:4" ht="15" x14ac:dyDescent="0.25">
      <c r="A117" s="2"/>
      <c r="C117" s="2"/>
      <c r="D117" s="2"/>
    </row>
    <row r="118" spans="1:4" ht="15" x14ac:dyDescent="0.25">
      <c r="A118" s="2"/>
      <c r="C118" s="2"/>
      <c r="D118" s="2"/>
    </row>
    <row r="119" spans="1:4" ht="15" x14ac:dyDescent="0.25">
      <c r="A119" s="2"/>
      <c r="C119" s="2"/>
      <c r="D119" s="2"/>
    </row>
    <row r="120" spans="1:4" ht="15" x14ac:dyDescent="0.25">
      <c r="A120" s="2"/>
      <c r="C120" s="2"/>
      <c r="D120" s="2"/>
    </row>
    <row r="121" spans="1:4" ht="15" x14ac:dyDescent="0.25">
      <c r="A121" s="2"/>
      <c r="C121" s="2"/>
      <c r="D121" s="2"/>
    </row>
    <row r="122" spans="1:4" ht="15" x14ac:dyDescent="0.25">
      <c r="A122" s="2"/>
      <c r="C122" s="2"/>
      <c r="D122" s="2"/>
    </row>
    <row r="123" spans="1:4" ht="15" x14ac:dyDescent="0.25">
      <c r="A123" s="2"/>
      <c r="C123" s="2"/>
      <c r="D123" s="2"/>
    </row>
    <row r="124" spans="1:4" ht="15" x14ac:dyDescent="0.25">
      <c r="A124" s="2"/>
      <c r="C124" s="2"/>
      <c r="D124" s="2"/>
    </row>
    <row r="125" spans="1:4" ht="15" x14ac:dyDescent="0.25">
      <c r="A125" s="2"/>
      <c r="C125" s="2"/>
      <c r="D125" s="2"/>
    </row>
    <row r="126" spans="1:4" ht="15" x14ac:dyDescent="0.25">
      <c r="A126" s="2"/>
      <c r="C126" s="2"/>
      <c r="D126" s="2"/>
    </row>
    <row r="127" spans="1:4" ht="15" x14ac:dyDescent="0.25">
      <c r="A127" s="2"/>
      <c r="C127" s="2"/>
      <c r="D127" s="2"/>
    </row>
    <row r="128" spans="1:4" ht="15" x14ac:dyDescent="0.25">
      <c r="A128" s="2"/>
      <c r="C128" s="2"/>
      <c r="D128" s="2"/>
    </row>
    <row r="129" spans="1:4" ht="15" x14ac:dyDescent="0.25">
      <c r="A129" s="2"/>
      <c r="C129" s="2"/>
      <c r="D129" s="2"/>
    </row>
    <row r="130" spans="1:4" ht="15" x14ac:dyDescent="0.25">
      <c r="A130" s="2"/>
      <c r="C130" s="2"/>
      <c r="D130" s="2"/>
    </row>
    <row r="131" spans="1:4" ht="15" x14ac:dyDescent="0.25">
      <c r="A131" s="2"/>
      <c r="C131" s="2"/>
      <c r="D131" s="2"/>
    </row>
    <row r="132" spans="1:4" ht="15" x14ac:dyDescent="0.25">
      <c r="A132" s="2"/>
      <c r="C132" s="2"/>
      <c r="D132" s="2"/>
    </row>
    <row r="133" spans="1:4" ht="15" x14ac:dyDescent="0.25">
      <c r="A133" s="2"/>
      <c r="C133" s="2"/>
      <c r="D133" s="2"/>
    </row>
    <row r="134" spans="1:4" ht="15" x14ac:dyDescent="0.25">
      <c r="A134" s="2"/>
      <c r="C134" s="2"/>
      <c r="D134" s="2"/>
    </row>
    <row r="135" spans="1:4" ht="15" x14ac:dyDescent="0.25">
      <c r="A135" s="2"/>
      <c r="C135" s="2"/>
      <c r="D135" s="2"/>
    </row>
    <row r="136" spans="1:4" ht="15" x14ac:dyDescent="0.25">
      <c r="A136" s="2"/>
      <c r="C136" s="2"/>
      <c r="D136" s="2"/>
    </row>
    <row r="137" spans="1:4" ht="15" x14ac:dyDescent="0.25">
      <c r="A137" s="2"/>
      <c r="C137" s="2"/>
      <c r="D137" s="2"/>
    </row>
    <row r="138" spans="1:4" ht="15" x14ac:dyDescent="0.25">
      <c r="A138" s="2"/>
      <c r="C138" s="2"/>
      <c r="D138" s="2"/>
    </row>
    <row r="139" spans="1:4" ht="15" x14ac:dyDescent="0.25">
      <c r="A139" s="2"/>
      <c r="C139" s="2"/>
      <c r="D139" s="2"/>
    </row>
    <row r="140" spans="1:4" ht="15" x14ac:dyDescent="0.25">
      <c r="A140" s="2"/>
      <c r="C140" s="2"/>
      <c r="D140" s="2"/>
    </row>
    <row r="141" spans="1:4" ht="15" x14ac:dyDescent="0.25">
      <c r="A141" s="2"/>
      <c r="C141" s="2"/>
      <c r="D141" s="2"/>
    </row>
    <row r="142" spans="1:4" ht="15" x14ac:dyDescent="0.25">
      <c r="A142" s="2"/>
      <c r="C142" s="2"/>
      <c r="D142" s="2"/>
    </row>
    <row r="143" spans="1:4" ht="15" x14ac:dyDescent="0.25">
      <c r="A143" s="2"/>
      <c r="C143" s="2"/>
      <c r="D143" s="2"/>
    </row>
    <row r="144" spans="1:4" ht="15" x14ac:dyDescent="0.25">
      <c r="A144" s="2"/>
      <c r="C144" s="2"/>
      <c r="D144" s="2"/>
    </row>
    <row r="145" spans="1:4" ht="15" x14ac:dyDescent="0.25">
      <c r="A145" s="2"/>
      <c r="C145" s="2"/>
      <c r="D145" s="2"/>
    </row>
    <row r="146" spans="1:4" ht="15" x14ac:dyDescent="0.25">
      <c r="A146" s="2"/>
      <c r="C146" s="2"/>
      <c r="D146" s="2"/>
    </row>
    <row r="147" spans="1:4" ht="15" x14ac:dyDescent="0.25">
      <c r="A147" s="2"/>
      <c r="C147" s="2"/>
      <c r="D147" s="2"/>
    </row>
    <row r="148" spans="1:4" ht="15" x14ac:dyDescent="0.25">
      <c r="A148" s="2"/>
      <c r="C148" s="2"/>
      <c r="D148" s="2"/>
    </row>
    <row r="149" spans="1:4" ht="15" x14ac:dyDescent="0.25">
      <c r="A149" s="2"/>
      <c r="C149" s="2"/>
      <c r="D149" s="2"/>
    </row>
    <row r="150" spans="1:4" ht="15" x14ac:dyDescent="0.25">
      <c r="A150" s="2"/>
      <c r="C150" s="2"/>
      <c r="D150" s="2"/>
    </row>
    <row r="151" spans="1:4" ht="15" x14ac:dyDescent="0.25">
      <c r="A151" s="2"/>
      <c r="C151" s="2"/>
      <c r="D151" s="2"/>
    </row>
    <row r="152" spans="1:4" ht="15" x14ac:dyDescent="0.25">
      <c r="A152" s="2"/>
      <c r="C152" s="2"/>
      <c r="D152" s="2"/>
    </row>
    <row r="153" spans="1:4" ht="15" x14ac:dyDescent="0.25">
      <c r="A153" s="2"/>
      <c r="C153" s="2"/>
      <c r="D153" s="2"/>
    </row>
    <row r="154" spans="1:4" ht="15" x14ac:dyDescent="0.25">
      <c r="A154" s="2"/>
      <c r="C154" s="2"/>
      <c r="D154" s="2"/>
    </row>
    <row r="155" spans="1:4" ht="15" x14ac:dyDescent="0.25">
      <c r="A155" s="2"/>
      <c r="C155" s="2"/>
      <c r="D155" s="2"/>
    </row>
    <row r="156" spans="1:4" ht="15" x14ac:dyDescent="0.25">
      <c r="A156" s="2"/>
      <c r="C156" s="2"/>
      <c r="D156" s="2"/>
    </row>
    <row r="157" spans="1:4" ht="15" x14ac:dyDescent="0.25">
      <c r="A157" s="2"/>
      <c r="C157" s="2"/>
      <c r="D157" s="2"/>
    </row>
    <row r="158" spans="1:4" ht="15" x14ac:dyDescent="0.25">
      <c r="A158" s="2"/>
      <c r="C158" s="2"/>
      <c r="D158" s="2"/>
    </row>
    <row r="159" spans="1:4" ht="15" x14ac:dyDescent="0.25">
      <c r="A159" s="2"/>
      <c r="C159" s="2"/>
      <c r="D159" s="2"/>
    </row>
    <row r="160" spans="1:4" ht="15" x14ac:dyDescent="0.25">
      <c r="A160" s="2"/>
      <c r="C160" s="2"/>
      <c r="D160" s="2"/>
    </row>
  </sheetData>
  <mergeCells count="6">
    <mergeCell ref="A3:J3"/>
    <mergeCell ref="A5:A6"/>
    <mergeCell ref="B5:B6"/>
    <mergeCell ref="C5:C6"/>
    <mergeCell ref="E5:J5"/>
    <mergeCell ref="D5:D6"/>
  </mergeCells>
  <pageMargins left="0.78740157480314965" right="0.39370078740157483" top="0.78740157480314965" bottom="0.78740157480314965" header="0.31496062992125984" footer="0.31496062992125984"/>
  <pageSetup paperSize="9" scale="75" fitToHeight="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110"/>
  <sheetViews>
    <sheetView view="pageBreakPreview" zoomScale="110" zoomScaleNormal="100" zoomScaleSheetLayoutView="110" workbookViewId="0">
      <selection activeCell="B12" sqref="B12"/>
    </sheetView>
  </sheetViews>
  <sheetFormatPr defaultRowHeight="15" x14ac:dyDescent="0.25"/>
  <cols>
    <col min="1" max="1" width="53.5703125" style="75" customWidth="1"/>
    <col min="2" max="4" width="15.28515625" style="74" customWidth="1"/>
    <col min="5" max="16384" width="9.140625" style="61"/>
  </cols>
  <sheetData>
    <row r="1" spans="1:4" x14ac:dyDescent="0.25">
      <c r="A1" s="70" t="s">
        <v>100</v>
      </c>
      <c r="B1" s="70"/>
      <c r="C1" s="70"/>
      <c r="D1" s="70"/>
    </row>
    <row r="2" spans="1:4" x14ac:dyDescent="0.25">
      <c r="A2" s="71"/>
      <c r="B2" s="71"/>
      <c r="C2" s="71"/>
      <c r="D2" s="71"/>
    </row>
    <row r="3" spans="1:4" ht="55.9" customHeight="1" x14ac:dyDescent="0.25">
      <c r="A3" s="72" t="s">
        <v>101</v>
      </c>
      <c r="B3" s="72"/>
      <c r="C3" s="72"/>
      <c r="D3" s="72"/>
    </row>
    <row r="4" spans="1:4" x14ac:dyDescent="0.25">
      <c r="A4" s="73"/>
    </row>
    <row r="5" spans="1:4" x14ac:dyDescent="0.25">
      <c r="D5" s="76" t="s">
        <v>110</v>
      </c>
    </row>
    <row r="6" spans="1:4" ht="63" customHeight="1" x14ac:dyDescent="0.25">
      <c r="A6" s="77" t="s">
        <v>25</v>
      </c>
      <c r="B6" s="77" t="s">
        <v>26</v>
      </c>
      <c r="C6" s="77" t="s">
        <v>92</v>
      </c>
      <c r="D6" s="77" t="s">
        <v>102</v>
      </c>
    </row>
    <row r="7" spans="1:4" x14ac:dyDescent="0.25">
      <c r="A7" s="78" t="s">
        <v>27</v>
      </c>
      <c r="B7" s="10">
        <f>B8+B11+B18+B36+B39+B44+B49+B52+B56+B61+B68+B75+B80+B85+B87+B97+B101+B103</f>
        <v>231660604.80000001</v>
      </c>
      <c r="C7" s="10">
        <f>C8+C11+C18+C36+C39+C44+C49+C52+C56+C61+C68+C75+C80+C85+C87+C97+C101+C103</f>
        <v>215932794.19999993</v>
      </c>
      <c r="D7" s="10">
        <f>D8+D11+D18+D36+D39+D44+D49+D52+D56+D61+D68+D75+D80+D85+D87+D97+D101+D103</f>
        <v>201762080.69999996</v>
      </c>
    </row>
    <row r="8" spans="1:4" ht="26.25" x14ac:dyDescent="0.25">
      <c r="A8" s="79" t="s">
        <v>28</v>
      </c>
      <c r="B8" s="57">
        <f>SUM(B9:B10)</f>
        <v>34324889.600000001</v>
      </c>
      <c r="C8" s="57">
        <f>SUM(C9:C10)</f>
        <v>31610860.699999999</v>
      </c>
      <c r="D8" s="57">
        <f>SUM(D9:D10)</f>
        <v>29925808.300000001</v>
      </c>
    </row>
    <row r="9" spans="1:4" x14ac:dyDescent="0.25">
      <c r="A9" s="59" t="s">
        <v>30</v>
      </c>
      <c r="B9" s="58">
        <v>2680431.2000000002</v>
      </c>
      <c r="C9" s="58">
        <v>131623</v>
      </c>
      <c r="D9" s="58"/>
    </row>
    <row r="10" spans="1:4" x14ac:dyDescent="0.25">
      <c r="A10" s="59" t="s">
        <v>31</v>
      </c>
      <c r="B10" s="58">
        <f>31620185.9+24272.5</f>
        <v>31644458.399999999</v>
      </c>
      <c r="C10" s="58">
        <v>31479237.699999999</v>
      </c>
      <c r="D10" s="58">
        <v>29925808.300000001</v>
      </c>
    </row>
    <row r="11" spans="1:4" ht="26.25" x14ac:dyDescent="0.25">
      <c r="A11" s="79" t="s">
        <v>32</v>
      </c>
      <c r="B11" s="57">
        <f>SUM(B12:B17)</f>
        <v>57486719.399999999</v>
      </c>
      <c r="C11" s="57">
        <f t="shared" ref="C11:D11" si="0">SUM(C12:C17)</f>
        <v>53782740.799999997</v>
      </c>
      <c r="D11" s="57">
        <f t="shared" si="0"/>
        <v>50628461.499999993</v>
      </c>
    </row>
    <row r="12" spans="1:4" ht="25.5" x14ac:dyDescent="0.25">
      <c r="A12" s="59" t="s">
        <v>33</v>
      </c>
      <c r="B12" s="58">
        <v>51223125.200000003</v>
      </c>
      <c r="C12" s="58">
        <v>50825614.200000003</v>
      </c>
      <c r="D12" s="58">
        <v>49332204.5</v>
      </c>
    </row>
    <row r="13" spans="1:4" x14ac:dyDescent="0.25">
      <c r="A13" s="59" t="s">
        <v>34</v>
      </c>
      <c r="B13" s="58">
        <v>240982.6</v>
      </c>
      <c r="C13" s="58">
        <v>240982.6</v>
      </c>
      <c r="D13" s="58">
        <v>238876.6</v>
      </c>
    </row>
    <row r="14" spans="1:4" x14ac:dyDescent="0.25">
      <c r="A14" s="59" t="s">
        <v>35</v>
      </c>
      <c r="B14" s="58">
        <v>111018.8</v>
      </c>
      <c r="C14" s="58">
        <v>44674.8</v>
      </c>
      <c r="D14" s="58">
        <v>44674.8</v>
      </c>
    </row>
    <row r="15" spans="1:4" x14ac:dyDescent="0.25">
      <c r="A15" s="59" t="s">
        <v>30</v>
      </c>
      <c r="B15" s="58">
        <v>5355048.4000000004</v>
      </c>
      <c r="C15" s="58">
        <v>2151576.5</v>
      </c>
      <c r="D15" s="58">
        <v>500000</v>
      </c>
    </row>
    <row r="16" spans="1:4" x14ac:dyDescent="0.25">
      <c r="A16" s="59" t="s">
        <v>31</v>
      </c>
      <c r="B16" s="58">
        <v>353418.3</v>
      </c>
      <c r="C16" s="58">
        <v>324224.40000000002</v>
      </c>
      <c r="D16" s="58">
        <v>317037.3</v>
      </c>
    </row>
    <row r="17" spans="1:4" ht="25.5" x14ac:dyDescent="0.25">
      <c r="A17" s="59" t="s">
        <v>37</v>
      </c>
      <c r="B17" s="58">
        <v>203126.1</v>
      </c>
      <c r="C17" s="58">
        <v>195668.3</v>
      </c>
      <c r="D17" s="58">
        <v>195668.3</v>
      </c>
    </row>
    <row r="18" spans="1:4" ht="39" x14ac:dyDescent="0.25">
      <c r="A18" s="79" t="s">
        <v>38</v>
      </c>
      <c r="B18" s="57">
        <f>SUM(B19:B35)</f>
        <v>43067427.899999999</v>
      </c>
      <c r="C18" s="57">
        <f t="shared" ref="C18:D18" si="1">SUM(C19:C35)</f>
        <v>42382528.700000003</v>
      </c>
      <c r="D18" s="57">
        <f t="shared" si="1"/>
        <v>39326699.800000004</v>
      </c>
    </row>
    <row r="19" spans="1:4" x14ac:dyDescent="0.25">
      <c r="A19" s="59" t="s">
        <v>39</v>
      </c>
      <c r="B19" s="58">
        <v>1500</v>
      </c>
      <c r="C19" s="58">
        <v>700</v>
      </c>
      <c r="D19" s="58">
        <v>700</v>
      </c>
    </row>
    <row r="20" spans="1:4" ht="25.5" x14ac:dyDescent="0.25">
      <c r="A20" s="59" t="s">
        <v>33</v>
      </c>
      <c r="B20" s="58">
        <v>351926.4</v>
      </c>
      <c r="C20" s="58">
        <v>346626.4</v>
      </c>
      <c r="D20" s="58">
        <v>346626.4</v>
      </c>
    </row>
    <row r="21" spans="1:4" x14ac:dyDescent="0.25">
      <c r="A21" s="59" t="s">
        <v>29</v>
      </c>
      <c r="B21" s="58">
        <v>2600</v>
      </c>
      <c r="C21" s="58">
        <v>2300</v>
      </c>
      <c r="D21" s="58">
        <v>2300</v>
      </c>
    </row>
    <row r="22" spans="1:4" x14ac:dyDescent="0.25">
      <c r="A22" s="59" t="s">
        <v>40</v>
      </c>
      <c r="B22" s="58">
        <f>4111840.8+60000</f>
        <v>4171840.8</v>
      </c>
      <c r="C22" s="58">
        <f>4111840.8+60000</f>
        <v>4171840.8</v>
      </c>
      <c r="D22" s="58">
        <f>4126785.1+60000</f>
        <v>4186785.1</v>
      </c>
    </row>
    <row r="23" spans="1:4" ht="25.5" x14ac:dyDescent="0.25">
      <c r="A23" s="59" t="s">
        <v>41</v>
      </c>
      <c r="B23" s="58">
        <v>7500</v>
      </c>
      <c r="C23" s="58">
        <v>2700</v>
      </c>
      <c r="D23" s="58">
        <v>700</v>
      </c>
    </row>
    <row r="24" spans="1:4" ht="25.5" x14ac:dyDescent="0.25">
      <c r="A24" s="59" t="s">
        <v>42</v>
      </c>
      <c r="B24" s="58">
        <v>18600</v>
      </c>
      <c r="C24" s="58">
        <v>1600</v>
      </c>
      <c r="D24" s="58">
        <v>1600</v>
      </c>
    </row>
    <row r="25" spans="1:4" x14ac:dyDescent="0.25">
      <c r="A25" s="59" t="s">
        <v>34</v>
      </c>
      <c r="B25" s="58">
        <v>17085.599999999999</v>
      </c>
      <c r="C25" s="58">
        <v>12700.6</v>
      </c>
      <c r="D25" s="58">
        <v>12700.6</v>
      </c>
    </row>
    <row r="26" spans="1:4" ht="25.5" x14ac:dyDescent="0.25">
      <c r="A26" s="59" t="s">
        <v>43</v>
      </c>
      <c r="B26" s="58">
        <v>807.2</v>
      </c>
      <c r="C26" s="58">
        <v>807.2</v>
      </c>
      <c r="D26" s="58">
        <v>807.2</v>
      </c>
    </row>
    <row r="27" spans="1:4" x14ac:dyDescent="0.25">
      <c r="A27" s="59" t="s">
        <v>35</v>
      </c>
      <c r="B27" s="58">
        <v>100</v>
      </c>
      <c r="C27" s="58">
        <v>100</v>
      </c>
      <c r="D27" s="58">
        <v>100</v>
      </c>
    </row>
    <row r="28" spans="1:4" x14ac:dyDescent="0.25">
      <c r="A28" s="59" t="s">
        <v>44</v>
      </c>
      <c r="B28" s="58">
        <v>3000</v>
      </c>
      <c r="C28" s="58">
        <v>3000</v>
      </c>
      <c r="D28" s="58">
        <v>2280.4</v>
      </c>
    </row>
    <row r="29" spans="1:4" ht="25.5" x14ac:dyDescent="0.25">
      <c r="A29" s="59" t="s">
        <v>36</v>
      </c>
      <c r="B29" s="58">
        <v>18500</v>
      </c>
      <c r="C29" s="58">
        <v>18500</v>
      </c>
      <c r="D29" s="58">
        <v>18500</v>
      </c>
    </row>
    <row r="30" spans="1:4" ht="25.5" x14ac:dyDescent="0.25">
      <c r="A30" s="59" t="s">
        <v>45</v>
      </c>
      <c r="B30" s="58">
        <v>200</v>
      </c>
      <c r="C30" s="58">
        <v>200</v>
      </c>
      <c r="D30" s="58"/>
    </row>
    <row r="31" spans="1:4" x14ac:dyDescent="0.25">
      <c r="A31" s="59" t="s">
        <v>30</v>
      </c>
      <c r="B31" s="58">
        <v>1500</v>
      </c>
      <c r="C31" s="58">
        <v>1100</v>
      </c>
      <c r="D31" s="58">
        <v>900</v>
      </c>
    </row>
    <row r="32" spans="1:4" ht="25.5" x14ac:dyDescent="0.25">
      <c r="A32" s="59" t="s">
        <v>46</v>
      </c>
      <c r="B32" s="58">
        <v>1300</v>
      </c>
      <c r="C32" s="58">
        <v>1300</v>
      </c>
      <c r="D32" s="58">
        <v>1300</v>
      </c>
    </row>
    <row r="33" spans="1:4" x14ac:dyDescent="0.25">
      <c r="A33" s="59" t="s">
        <v>31</v>
      </c>
      <c r="B33" s="58">
        <v>104411</v>
      </c>
      <c r="C33" s="58">
        <v>104411</v>
      </c>
      <c r="D33" s="58">
        <v>104411</v>
      </c>
    </row>
    <row r="34" spans="1:4" ht="25.5" x14ac:dyDescent="0.25">
      <c r="A34" s="59" t="s">
        <v>37</v>
      </c>
      <c r="B34" s="58">
        <v>38365556.899999999</v>
      </c>
      <c r="C34" s="58">
        <v>37713642.700000003</v>
      </c>
      <c r="D34" s="58">
        <v>34646089.100000001</v>
      </c>
    </row>
    <row r="35" spans="1:4" x14ac:dyDescent="0.25">
      <c r="A35" s="59" t="s">
        <v>62</v>
      </c>
      <c r="B35" s="58">
        <v>1000</v>
      </c>
      <c r="C35" s="58">
        <v>1000</v>
      </c>
      <c r="D35" s="58">
        <v>900</v>
      </c>
    </row>
    <row r="36" spans="1:4" ht="39" x14ac:dyDescent="0.25">
      <c r="A36" s="79" t="s">
        <v>48</v>
      </c>
      <c r="B36" s="57">
        <f>SUM(B37:B38)</f>
        <v>4111460.0999999996</v>
      </c>
      <c r="C36" s="57">
        <f t="shared" ref="C36:D36" si="2">SUM(C37:C38)</f>
        <v>2791434.5</v>
      </c>
      <c r="D36" s="57">
        <f t="shared" si="2"/>
        <v>1575202.4</v>
      </c>
    </row>
    <row r="37" spans="1:4" ht="25.5" x14ac:dyDescent="0.25">
      <c r="A37" s="59" t="s">
        <v>42</v>
      </c>
      <c r="B37" s="58">
        <v>3161983.8</v>
      </c>
      <c r="C37" s="58">
        <v>2761434.5</v>
      </c>
      <c r="D37" s="58">
        <v>1575202.4</v>
      </c>
    </row>
    <row r="38" spans="1:4" x14ac:dyDescent="0.25">
      <c r="A38" s="59" t="s">
        <v>30</v>
      </c>
      <c r="B38" s="58">
        <v>949476.3</v>
      </c>
      <c r="C38" s="58">
        <v>30000</v>
      </c>
      <c r="D38" s="58"/>
    </row>
    <row r="39" spans="1:4" ht="26.25" x14ac:dyDescent="0.25">
      <c r="A39" s="79" t="s">
        <v>49</v>
      </c>
      <c r="B39" s="57">
        <f>SUM(B40:B43)</f>
        <v>4950606.4000000004</v>
      </c>
      <c r="C39" s="57">
        <f t="shared" ref="C39:D39" si="3">SUM(C40:C43)</f>
        <v>4971164.3</v>
      </c>
      <c r="D39" s="57">
        <f t="shared" si="3"/>
        <v>4058542.9000000004</v>
      </c>
    </row>
    <row r="40" spans="1:4" x14ac:dyDescent="0.25">
      <c r="A40" s="59" t="s">
        <v>50</v>
      </c>
      <c r="B40" s="58">
        <v>13050</v>
      </c>
      <c r="C40" s="58">
        <v>3050</v>
      </c>
      <c r="D40" s="58">
        <v>15050</v>
      </c>
    </row>
    <row r="41" spans="1:4" ht="25.5" x14ac:dyDescent="0.25">
      <c r="A41" s="59" t="s">
        <v>41</v>
      </c>
      <c r="B41" s="58">
        <v>1632032.6</v>
      </c>
      <c r="C41" s="58">
        <v>1612063.7</v>
      </c>
      <c r="D41" s="58">
        <v>1614063.7</v>
      </c>
    </row>
    <row r="42" spans="1:4" x14ac:dyDescent="0.25">
      <c r="A42" s="59" t="s">
        <v>34</v>
      </c>
      <c r="B42" s="58">
        <v>2517923.7999999998</v>
      </c>
      <c r="C42" s="58">
        <v>3047121.3</v>
      </c>
      <c r="D42" s="58">
        <v>2429429.2000000002</v>
      </c>
    </row>
    <row r="43" spans="1:4" x14ac:dyDescent="0.25">
      <c r="A43" s="59" t="s">
        <v>30</v>
      </c>
      <c r="B43" s="58">
        <v>787600</v>
      </c>
      <c r="C43" s="58">
        <v>308929.3</v>
      </c>
      <c r="D43" s="58"/>
    </row>
    <row r="44" spans="1:4" ht="51.75" x14ac:dyDescent="0.25">
      <c r="A44" s="79" t="s">
        <v>51</v>
      </c>
      <c r="B44" s="57">
        <f>SUM(B45:B48)</f>
        <v>6023662.5</v>
      </c>
      <c r="C44" s="57">
        <f t="shared" ref="C44:D44" si="4">SUM(C45:C48)</f>
        <v>3335265.0999999996</v>
      </c>
      <c r="D44" s="57">
        <f t="shared" si="4"/>
        <v>8962575.9000000004</v>
      </c>
    </row>
    <row r="45" spans="1:4" x14ac:dyDescent="0.25">
      <c r="A45" s="59" t="s">
        <v>39</v>
      </c>
      <c r="B45" s="58">
        <v>16888.3</v>
      </c>
      <c r="C45" s="58"/>
      <c r="D45" s="58"/>
    </row>
    <row r="46" spans="1:4" x14ac:dyDescent="0.25">
      <c r="A46" s="59" t="s">
        <v>52</v>
      </c>
      <c r="B46" s="58">
        <v>2580</v>
      </c>
      <c r="C46" s="58">
        <v>2580</v>
      </c>
      <c r="D46" s="58">
        <v>2580</v>
      </c>
    </row>
    <row r="47" spans="1:4" x14ac:dyDescent="0.25">
      <c r="A47" s="59" t="s">
        <v>30</v>
      </c>
      <c r="B47" s="58">
        <v>4178967.8</v>
      </c>
      <c r="C47" s="58">
        <v>1939777.7</v>
      </c>
      <c r="D47" s="58">
        <v>7593307.5999999996</v>
      </c>
    </row>
    <row r="48" spans="1:4" ht="25.5" x14ac:dyDescent="0.25">
      <c r="A48" s="59" t="s">
        <v>47</v>
      </c>
      <c r="B48" s="58">
        <v>1825226.4</v>
      </c>
      <c r="C48" s="58">
        <v>1392907.4</v>
      </c>
      <c r="D48" s="58">
        <v>1366688.3</v>
      </c>
    </row>
    <row r="49" spans="1:4" ht="51.75" x14ac:dyDescent="0.25">
      <c r="A49" s="79" t="s">
        <v>53</v>
      </c>
      <c r="B49" s="57">
        <f>SUM(B50:B51)</f>
        <v>15232310.800000001</v>
      </c>
      <c r="C49" s="57">
        <f t="shared" ref="C49:D49" si="5">SUM(C50:C51)</f>
        <v>13143626.199999999</v>
      </c>
      <c r="D49" s="57">
        <f t="shared" si="5"/>
        <v>12572289.699999999</v>
      </c>
    </row>
    <row r="50" spans="1:4" ht="25.5" x14ac:dyDescent="0.25">
      <c r="A50" s="59" t="s">
        <v>45</v>
      </c>
      <c r="B50" s="58">
        <v>9328378</v>
      </c>
      <c r="C50" s="58">
        <v>8194465.2000000002</v>
      </c>
      <c r="D50" s="58">
        <v>8160088.2000000002</v>
      </c>
    </row>
    <row r="51" spans="1:4" ht="25.5" x14ac:dyDescent="0.25">
      <c r="A51" s="59" t="s">
        <v>47</v>
      </c>
      <c r="B51" s="58">
        <v>5903932.7999999998</v>
      </c>
      <c r="C51" s="58">
        <v>4949161</v>
      </c>
      <c r="D51" s="58">
        <v>4412201.5</v>
      </c>
    </row>
    <row r="52" spans="1:4" ht="26.25" x14ac:dyDescent="0.25">
      <c r="A52" s="79" t="s">
        <v>54</v>
      </c>
      <c r="B52" s="57">
        <f>SUM(B53:B55)</f>
        <v>5314614.4000000004</v>
      </c>
      <c r="C52" s="57">
        <f>SUM(C53:C55)</f>
        <v>4838368.7</v>
      </c>
      <c r="D52" s="57">
        <f>SUM(D53:D55)</f>
        <v>4838368.7</v>
      </c>
    </row>
    <row r="53" spans="1:4" ht="25.5" x14ac:dyDescent="0.25">
      <c r="A53" s="59" t="s">
        <v>33</v>
      </c>
      <c r="B53" s="58">
        <v>109820.8</v>
      </c>
      <c r="C53" s="58">
        <v>109820.8</v>
      </c>
      <c r="D53" s="58">
        <v>109820.8</v>
      </c>
    </row>
    <row r="54" spans="1:4" x14ac:dyDescent="0.25">
      <c r="A54" s="59" t="s">
        <v>35</v>
      </c>
      <c r="B54" s="58">
        <f>5169964.7+29910.4</f>
        <v>5199875.1000000006</v>
      </c>
      <c r="C54" s="58">
        <v>4723629.4000000004</v>
      </c>
      <c r="D54" s="58">
        <v>4723629.4000000004</v>
      </c>
    </row>
    <row r="55" spans="1:4" ht="25.5" x14ac:dyDescent="0.25">
      <c r="A55" s="59" t="s">
        <v>55</v>
      </c>
      <c r="B55" s="58">
        <v>4918.5</v>
      </c>
      <c r="C55" s="58">
        <v>4918.5</v>
      </c>
      <c r="D55" s="58">
        <v>4918.5</v>
      </c>
    </row>
    <row r="56" spans="1:4" ht="26.25" x14ac:dyDescent="0.25">
      <c r="A56" s="79" t="s">
        <v>56</v>
      </c>
      <c r="B56" s="57">
        <f>SUM(B57:B60)</f>
        <v>3152031.6999999997</v>
      </c>
      <c r="C56" s="57">
        <f t="shared" ref="C56:D56" si="6">SUM(C57:C60)</f>
        <v>2944219.6999999997</v>
      </c>
      <c r="D56" s="57">
        <f t="shared" si="6"/>
        <v>2231470.2000000002</v>
      </c>
    </row>
    <row r="57" spans="1:4" x14ac:dyDescent="0.25">
      <c r="A57" s="59" t="s">
        <v>57</v>
      </c>
      <c r="B57" s="58">
        <v>321811.3</v>
      </c>
      <c r="C57" s="58">
        <v>181575.5</v>
      </c>
      <c r="D57" s="58">
        <v>41029.599999999999</v>
      </c>
    </row>
    <row r="58" spans="1:4" x14ac:dyDescent="0.25">
      <c r="A58" s="59" t="s">
        <v>44</v>
      </c>
      <c r="B58" s="58">
        <v>2441850.7999999998</v>
      </c>
      <c r="C58" s="58">
        <v>2394065.9</v>
      </c>
      <c r="D58" s="58">
        <v>1829759.3</v>
      </c>
    </row>
    <row r="59" spans="1:4" ht="25.5" x14ac:dyDescent="0.25">
      <c r="A59" s="59" t="s">
        <v>46</v>
      </c>
      <c r="B59" s="58">
        <v>226784.1</v>
      </c>
      <c r="C59" s="58">
        <v>205313.3</v>
      </c>
      <c r="D59" s="58">
        <v>205313.3</v>
      </c>
    </row>
    <row r="60" spans="1:4" ht="25.5" x14ac:dyDescent="0.25">
      <c r="A60" s="59" t="s">
        <v>58</v>
      </c>
      <c r="B60" s="58">
        <v>161585.5</v>
      </c>
      <c r="C60" s="58">
        <v>163265</v>
      </c>
      <c r="D60" s="58">
        <v>155368</v>
      </c>
    </row>
    <row r="61" spans="1:4" ht="26.25" x14ac:dyDescent="0.25">
      <c r="A61" s="79" t="s">
        <v>59</v>
      </c>
      <c r="B61" s="57">
        <f>SUM(B62:B67)</f>
        <v>6237677.3999999994</v>
      </c>
      <c r="C61" s="57">
        <f>SUM(C62:C67)</f>
        <v>5641312.7000000002</v>
      </c>
      <c r="D61" s="57">
        <f>SUM(D62:D67)</f>
        <v>5620047.2000000002</v>
      </c>
    </row>
    <row r="62" spans="1:4" x14ac:dyDescent="0.25">
      <c r="A62" s="59" t="s">
        <v>50</v>
      </c>
      <c r="B62" s="58">
        <v>115779.8</v>
      </c>
      <c r="C62" s="58">
        <v>115779.8</v>
      </c>
      <c r="D62" s="58">
        <v>115779.8</v>
      </c>
    </row>
    <row r="63" spans="1:4" x14ac:dyDescent="0.25">
      <c r="A63" s="59" t="s">
        <v>29</v>
      </c>
      <c r="B63" s="58">
        <v>3923846.4</v>
      </c>
      <c r="C63" s="58">
        <v>3565634.2</v>
      </c>
      <c r="D63" s="58">
        <v>3565634.2</v>
      </c>
    </row>
    <row r="64" spans="1:4" x14ac:dyDescent="0.25">
      <c r="A64" s="59" t="s">
        <v>35</v>
      </c>
      <c r="B64" s="58">
        <v>115394.4</v>
      </c>
      <c r="C64" s="58"/>
      <c r="D64" s="58"/>
    </row>
    <row r="65" spans="1:4" x14ac:dyDescent="0.25">
      <c r="A65" s="59" t="s">
        <v>61</v>
      </c>
      <c r="B65" s="58">
        <v>1095.0999999999999</v>
      </c>
      <c r="C65" s="58">
        <v>1095.0999999999999</v>
      </c>
      <c r="D65" s="58">
        <v>1095.0999999999999</v>
      </c>
    </row>
    <row r="66" spans="1:4" ht="25.5" x14ac:dyDescent="0.25">
      <c r="A66" s="59" t="s">
        <v>36</v>
      </c>
      <c r="B66" s="58">
        <v>2024084.5</v>
      </c>
      <c r="C66" s="58">
        <v>1901326.4</v>
      </c>
      <c r="D66" s="58">
        <v>1880060.9</v>
      </c>
    </row>
    <row r="67" spans="1:4" x14ac:dyDescent="0.25">
      <c r="A67" s="59" t="s">
        <v>62</v>
      </c>
      <c r="B67" s="58">
        <v>57477.2</v>
      </c>
      <c r="C67" s="58">
        <v>57477.2</v>
      </c>
      <c r="D67" s="58">
        <v>57477.2</v>
      </c>
    </row>
    <row r="68" spans="1:4" ht="39" x14ac:dyDescent="0.25">
      <c r="A68" s="79" t="s">
        <v>63</v>
      </c>
      <c r="B68" s="57">
        <f>SUM(B69:B74)</f>
        <v>1961229.2999999998</v>
      </c>
      <c r="C68" s="57">
        <f t="shared" ref="C68:D68" si="7">SUM(C69:C74)</f>
        <v>1779155.3</v>
      </c>
      <c r="D68" s="57">
        <f t="shared" si="7"/>
        <v>1638814.4</v>
      </c>
    </row>
    <row r="69" spans="1:4" x14ac:dyDescent="0.25">
      <c r="A69" s="59" t="s">
        <v>50</v>
      </c>
      <c r="B69" s="58">
        <v>3255</v>
      </c>
      <c r="C69" s="58">
        <v>3255</v>
      </c>
      <c r="D69" s="58">
        <v>3255</v>
      </c>
    </row>
    <row r="70" spans="1:4" ht="25.5" x14ac:dyDescent="0.25">
      <c r="A70" s="59" t="s">
        <v>60</v>
      </c>
      <c r="B70" s="58">
        <v>27956.400000000001</v>
      </c>
      <c r="C70" s="58">
        <v>18751</v>
      </c>
      <c r="D70" s="58">
        <v>12566</v>
      </c>
    </row>
    <row r="71" spans="1:4" x14ac:dyDescent="0.25">
      <c r="A71" s="59" t="s">
        <v>52</v>
      </c>
      <c r="B71" s="58">
        <v>67050.8</v>
      </c>
      <c r="C71" s="58">
        <v>67050.8</v>
      </c>
      <c r="D71" s="58">
        <v>67050.8</v>
      </c>
    </row>
    <row r="72" spans="1:4" ht="25.5" x14ac:dyDescent="0.25">
      <c r="A72" s="59" t="s">
        <v>36</v>
      </c>
      <c r="B72" s="58">
        <v>980283.2</v>
      </c>
      <c r="C72" s="58">
        <v>953177.3</v>
      </c>
      <c r="D72" s="58">
        <v>952623.4</v>
      </c>
    </row>
    <row r="73" spans="1:4" ht="25.5" x14ac:dyDescent="0.25">
      <c r="A73" s="59" t="s">
        <v>55</v>
      </c>
      <c r="B73" s="58">
        <v>684865.9</v>
      </c>
      <c r="C73" s="58">
        <v>603319.19999999995</v>
      </c>
      <c r="D73" s="58">
        <v>603319.19999999995</v>
      </c>
    </row>
    <row r="74" spans="1:4" x14ac:dyDescent="0.25">
      <c r="A74" s="59" t="s">
        <v>30</v>
      </c>
      <c r="B74" s="58">
        <v>197818</v>
      </c>
      <c r="C74" s="58">
        <v>133602</v>
      </c>
      <c r="D74" s="58"/>
    </row>
    <row r="75" spans="1:4" ht="26.25" x14ac:dyDescent="0.25">
      <c r="A75" s="79" t="s">
        <v>64</v>
      </c>
      <c r="B75" s="57">
        <f>SUM(B76:B79)</f>
        <v>27173716.5</v>
      </c>
      <c r="C75" s="57">
        <f t="shared" ref="C75:D75" si="8">SUM(C76:C79)</f>
        <v>27771360.100000001</v>
      </c>
      <c r="D75" s="57">
        <f t="shared" si="8"/>
        <v>21712692.800000001</v>
      </c>
    </row>
    <row r="76" spans="1:4" x14ac:dyDescent="0.25">
      <c r="A76" s="59" t="s">
        <v>39</v>
      </c>
      <c r="B76" s="58">
        <v>26137832.5</v>
      </c>
      <c r="C76" s="58">
        <v>26592842.600000001</v>
      </c>
      <c r="D76" s="58">
        <v>19886170.5</v>
      </c>
    </row>
    <row r="77" spans="1:4" x14ac:dyDescent="0.25">
      <c r="A77" s="59" t="s">
        <v>40</v>
      </c>
      <c r="B77" s="58">
        <f>1057045.7-60000</f>
        <v>997045.7</v>
      </c>
      <c r="C77" s="58">
        <f>1226570.4-60000</f>
        <v>1166570.3999999999</v>
      </c>
      <c r="D77" s="58">
        <f>1874575.2-60000</f>
        <v>1814575.2</v>
      </c>
    </row>
    <row r="78" spans="1:4" ht="25.5" x14ac:dyDescent="0.25">
      <c r="A78" s="59" t="s">
        <v>36</v>
      </c>
      <c r="B78" s="58">
        <v>16891.2</v>
      </c>
      <c r="C78" s="58"/>
      <c r="D78" s="58"/>
    </row>
    <row r="79" spans="1:4" ht="25.5" x14ac:dyDescent="0.25">
      <c r="A79" s="59" t="s">
        <v>65</v>
      </c>
      <c r="B79" s="58">
        <v>21947.1</v>
      </c>
      <c r="C79" s="58">
        <v>11947.1</v>
      </c>
      <c r="D79" s="58">
        <v>11947.1</v>
      </c>
    </row>
    <row r="80" spans="1:4" ht="26.25" x14ac:dyDescent="0.25">
      <c r="A80" s="79" t="s">
        <v>66</v>
      </c>
      <c r="B80" s="57">
        <f>SUM(B81:B84)</f>
        <v>6444571.3999999994</v>
      </c>
      <c r="C80" s="57">
        <f t="shared" ref="C80:D80" si="9">SUM(C81:C84)</f>
        <v>6293925.9000000004</v>
      </c>
      <c r="D80" s="57">
        <f t="shared" si="9"/>
        <v>5332943.7</v>
      </c>
    </row>
    <row r="81" spans="1:4" ht="25.5" x14ac:dyDescent="0.25">
      <c r="A81" s="59" t="s">
        <v>67</v>
      </c>
      <c r="B81" s="58">
        <v>5084488.5</v>
      </c>
      <c r="C81" s="58">
        <v>5413404</v>
      </c>
      <c r="D81" s="58">
        <v>4594119.3</v>
      </c>
    </row>
    <row r="82" spans="1:4" ht="25.5" x14ac:dyDescent="0.25">
      <c r="A82" s="59" t="s">
        <v>60</v>
      </c>
      <c r="B82" s="58">
        <v>35390.6</v>
      </c>
      <c r="C82" s="58">
        <v>39013.5</v>
      </c>
      <c r="D82" s="58"/>
    </row>
    <row r="83" spans="1:4" x14ac:dyDescent="0.25">
      <c r="A83" s="59" t="s">
        <v>30</v>
      </c>
      <c r="B83" s="58">
        <v>315847</v>
      </c>
      <c r="C83" s="58">
        <v>102684</v>
      </c>
      <c r="D83" s="58"/>
    </row>
    <row r="84" spans="1:4" x14ac:dyDescent="0.25">
      <c r="A84" s="59" t="s">
        <v>68</v>
      </c>
      <c r="B84" s="58">
        <v>1008845.3</v>
      </c>
      <c r="C84" s="58">
        <v>738824.4</v>
      </c>
      <c r="D84" s="58">
        <v>738824.4</v>
      </c>
    </row>
    <row r="85" spans="1:4" ht="39" x14ac:dyDescent="0.25">
      <c r="A85" s="79" t="s">
        <v>69</v>
      </c>
      <c r="B85" s="57">
        <f>B86</f>
        <v>9285584.2000000011</v>
      </c>
      <c r="C85" s="57">
        <f t="shared" ref="C85:D85" si="10">C86</f>
        <v>9604496.0999999996</v>
      </c>
      <c r="D85" s="57">
        <f t="shared" si="10"/>
        <v>10513624.800000001</v>
      </c>
    </row>
    <row r="86" spans="1:4" x14ac:dyDescent="0.25">
      <c r="A86" s="59" t="s">
        <v>70</v>
      </c>
      <c r="B86" s="58">
        <f>8991336.9+294247.3</f>
        <v>9285584.2000000011</v>
      </c>
      <c r="C86" s="58">
        <f>9525324+79172.1</f>
        <v>9604496.0999999996</v>
      </c>
      <c r="D86" s="58">
        <v>10513624.800000001</v>
      </c>
    </row>
    <row r="87" spans="1:4" ht="39" x14ac:dyDescent="0.25">
      <c r="A87" s="79" t="s">
        <v>71</v>
      </c>
      <c r="B87" s="57">
        <f>SUM(B88:B96)</f>
        <v>2889302</v>
      </c>
      <c r="C87" s="57">
        <f t="shared" ref="C87:D87" si="11">SUM(C88:C96)</f>
        <v>1582809.0999999999</v>
      </c>
      <c r="D87" s="57">
        <f t="shared" si="11"/>
        <v>1459862.7</v>
      </c>
    </row>
    <row r="88" spans="1:4" ht="25.5" x14ac:dyDescent="0.25">
      <c r="A88" s="59" t="s">
        <v>33</v>
      </c>
      <c r="B88" s="58">
        <v>2652.3</v>
      </c>
      <c r="C88" s="58">
        <v>2652.3</v>
      </c>
      <c r="D88" s="58">
        <v>2652.3</v>
      </c>
    </row>
    <row r="89" spans="1:4" x14ac:dyDescent="0.25">
      <c r="A89" s="59" t="s">
        <v>50</v>
      </c>
      <c r="B89" s="58">
        <v>23901.1</v>
      </c>
      <c r="C89" s="58">
        <v>21828</v>
      </c>
      <c r="D89" s="58">
        <v>23901.1</v>
      </c>
    </row>
    <row r="90" spans="1:4" x14ac:dyDescent="0.25">
      <c r="A90" s="59" t="s">
        <v>72</v>
      </c>
      <c r="B90" s="58">
        <v>227932</v>
      </c>
      <c r="C90" s="58">
        <v>234124.9</v>
      </c>
      <c r="D90" s="58">
        <v>240565.4</v>
      </c>
    </row>
    <row r="91" spans="1:4" x14ac:dyDescent="0.25">
      <c r="A91" s="59" t="s">
        <v>34</v>
      </c>
      <c r="B91" s="58">
        <v>9408</v>
      </c>
      <c r="C91" s="58">
        <v>9408</v>
      </c>
      <c r="D91" s="58">
        <v>9408</v>
      </c>
    </row>
    <row r="92" spans="1:4" x14ac:dyDescent="0.25">
      <c r="A92" s="59" t="s">
        <v>61</v>
      </c>
      <c r="B92" s="58">
        <v>684584</v>
      </c>
      <c r="C92" s="58">
        <v>609584</v>
      </c>
      <c r="D92" s="58">
        <v>609584</v>
      </c>
    </row>
    <row r="93" spans="1:4" x14ac:dyDescent="0.25">
      <c r="A93" s="59" t="s">
        <v>30</v>
      </c>
      <c r="B93" s="58">
        <v>405930</v>
      </c>
      <c r="C93" s="58">
        <v>131460</v>
      </c>
      <c r="D93" s="58"/>
    </row>
    <row r="94" spans="1:4" x14ac:dyDescent="0.25">
      <c r="A94" s="59" t="s">
        <v>70</v>
      </c>
      <c r="B94" s="58">
        <v>483188.3</v>
      </c>
      <c r="C94" s="58"/>
      <c r="D94" s="58"/>
    </row>
    <row r="95" spans="1:4" ht="25.5" x14ac:dyDescent="0.25">
      <c r="A95" s="59" t="s">
        <v>73</v>
      </c>
      <c r="B95" s="58">
        <v>548418.1</v>
      </c>
      <c r="C95" s="58">
        <v>90463.7</v>
      </c>
      <c r="D95" s="58">
        <v>90463.7</v>
      </c>
    </row>
    <row r="96" spans="1:4" x14ac:dyDescent="0.25">
      <c r="A96" s="59" t="s">
        <v>74</v>
      </c>
      <c r="B96" s="58">
        <v>503288.2</v>
      </c>
      <c r="C96" s="58">
        <v>483288.2</v>
      </c>
      <c r="D96" s="58">
        <v>483288.2</v>
      </c>
    </row>
    <row r="97" spans="1:4" ht="26.25" x14ac:dyDescent="0.25">
      <c r="A97" s="79" t="s">
        <v>75</v>
      </c>
      <c r="B97" s="57">
        <f>SUM(B98:B100)</f>
        <v>1270589</v>
      </c>
      <c r="C97" s="57">
        <f t="shared" ref="C97:D97" si="12">SUM(C98:C100)</f>
        <v>1053963.7</v>
      </c>
      <c r="D97" s="57">
        <f t="shared" si="12"/>
        <v>693759</v>
      </c>
    </row>
    <row r="98" spans="1:4" ht="19.5" customHeight="1" x14ac:dyDescent="0.25">
      <c r="A98" s="59" t="s">
        <v>43</v>
      </c>
      <c r="B98" s="58">
        <f>1116417.4+3480</f>
        <v>1119897.3999999999</v>
      </c>
      <c r="C98" s="58">
        <f>1044823.2+3480</f>
        <v>1048303.2</v>
      </c>
      <c r="D98" s="58">
        <v>688098.5</v>
      </c>
    </row>
    <row r="99" spans="1:4" x14ac:dyDescent="0.25">
      <c r="A99" s="59" t="s">
        <v>30</v>
      </c>
      <c r="B99" s="58">
        <v>145031.1</v>
      </c>
      <c r="C99" s="58"/>
      <c r="D99" s="58"/>
    </row>
    <row r="100" spans="1:4" ht="25.5" x14ac:dyDescent="0.25">
      <c r="A100" s="59" t="s">
        <v>37</v>
      </c>
      <c r="B100" s="58">
        <v>5660.5</v>
      </c>
      <c r="C100" s="58">
        <v>5660.5</v>
      </c>
      <c r="D100" s="58">
        <v>5660.5</v>
      </c>
    </row>
    <row r="101" spans="1:4" ht="39" x14ac:dyDescent="0.25">
      <c r="A101" s="79" t="s">
        <v>76</v>
      </c>
      <c r="B101" s="57">
        <f>B102</f>
        <v>238911</v>
      </c>
      <c r="C101" s="57">
        <f t="shared" ref="C101:D101" si="13">C102</f>
        <v>237368.5</v>
      </c>
      <c r="D101" s="57">
        <f t="shared" si="13"/>
        <v>237368.5</v>
      </c>
    </row>
    <row r="102" spans="1:4" x14ac:dyDescent="0.25">
      <c r="A102" s="59" t="s">
        <v>34</v>
      </c>
      <c r="B102" s="58">
        <v>238911</v>
      </c>
      <c r="C102" s="58">
        <v>237368.5</v>
      </c>
      <c r="D102" s="58">
        <v>237368.5</v>
      </c>
    </row>
    <row r="103" spans="1:4" ht="39" x14ac:dyDescent="0.25">
      <c r="A103" s="79" t="s">
        <v>77</v>
      </c>
      <c r="B103" s="57">
        <f>SUM(B104:B110)</f>
        <v>2495301.2000000002</v>
      </c>
      <c r="C103" s="57">
        <f t="shared" ref="C103:D103" si="14">SUM(C104:C110)</f>
        <v>2168194.0999999996</v>
      </c>
      <c r="D103" s="57">
        <f t="shared" si="14"/>
        <v>433548.2</v>
      </c>
    </row>
    <row r="104" spans="1:4" x14ac:dyDescent="0.25">
      <c r="A104" s="59" t="s">
        <v>39</v>
      </c>
      <c r="B104" s="58">
        <v>18205</v>
      </c>
      <c r="C104" s="58">
        <v>69501.2</v>
      </c>
      <c r="D104" s="58"/>
    </row>
    <row r="105" spans="1:4" ht="25.5" x14ac:dyDescent="0.25">
      <c r="A105" s="59" t="s">
        <v>33</v>
      </c>
      <c r="B105" s="58">
        <v>316704.3</v>
      </c>
      <c r="C105" s="58">
        <v>52511.8</v>
      </c>
      <c r="D105" s="58"/>
    </row>
    <row r="106" spans="1:4" ht="25.5" x14ac:dyDescent="0.25">
      <c r="A106" s="59" t="s">
        <v>67</v>
      </c>
      <c r="B106" s="58">
        <v>679633.9</v>
      </c>
      <c r="C106" s="58">
        <v>391167.7</v>
      </c>
      <c r="D106" s="58">
        <v>252813.2</v>
      </c>
    </row>
    <row r="107" spans="1:4" ht="25.5" x14ac:dyDescent="0.25">
      <c r="A107" s="59" t="s">
        <v>45</v>
      </c>
      <c r="B107" s="58">
        <v>8289.4</v>
      </c>
      <c r="C107" s="58">
        <v>64019.9</v>
      </c>
      <c r="D107" s="58"/>
    </row>
    <row r="108" spans="1:4" x14ac:dyDescent="0.25">
      <c r="A108" s="59" t="s">
        <v>30</v>
      </c>
      <c r="B108" s="58">
        <v>652157.1</v>
      </c>
      <c r="C108" s="58">
        <v>834864.2</v>
      </c>
      <c r="D108" s="58">
        <v>178535</v>
      </c>
    </row>
    <row r="109" spans="1:4" ht="25.5" x14ac:dyDescent="0.25">
      <c r="A109" s="59" t="s">
        <v>47</v>
      </c>
      <c r="B109" s="58">
        <v>818111.5</v>
      </c>
      <c r="C109" s="58">
        <v>753929.3</v>
      </c>
      <c r="D109" s="58"/>
    </row>
    <row r="110" spans="1:4" x14ac:dyDescent="0.25">
      <c r="A110" s="59" t="s">
        <v>68</v>
      </c>
      <c r="B110" s="58">
        <v>2200</v>
      </c>
      <c r="C110" s="58">
        <v>2200</v>
      </c>
      <c r="D110" s="58">
        <v>2200</v>
      </c>
    </row>
  </sheetData>
  <mergeCells count="2">
    <mergeCell ref="A1:D1"/>
    <mergeCell ref="A3:D3"/>
  </mergeCells>
  <pageMargins left="0.78740157480314965" right="0.39370078740157483" top="0.78740157480314965" bottom="0.78740157480314965" header="0.31496062992125984" footer="0.31496062992125984"/>
  <pageSetup paperSize="9" scale="89" orientation="portrait" horizontalDpi="4294967295" verticalDpi="4294967295" r:id="rId1"/>
  <headerFooter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1"/>
  <sheetViews>
    <sheetView view="pageBreakPreview" zoomScale="120" zoomScaleNormal="100" zoomScaleSheetLayoutView="120" workbookViewId="0">
      <selection activeCell="E7" sqref="E7"/>
    </sheetView>
  </sheetViews>
  <sheetFormatPr defaultRowHeight="15" x14ac:dyDescent="0.25"/>
  <cols>
    <col min="1" max="1" width="5.42578125" style="47" bestFit="1" customWidth="1"/>
    <col min="2" max="2" width="71.42578125" style="11" customWidth="1"/>
    <col min="3" max="3" width="18.28515625" style="12" customWidth="1"/>
    <col min="4" max="4" width="17.7109375" style="12" customWidth="1"/>
    <col min="5" max="5" width="17.5703125" style="12" customWidth="1"/>
  </cols>
  <sheetData>
    <row r="1" spans="1:5" x14ac:dyDescent="0.25">
      <c r="E1" s="56" t="s">
        <v>104</v>
      </c>
    </row>
    <row r="2" spans="1:5" x14ac:dyDescent="0.25">
      <c r="E2" s="56"/>
    </row>
    <row r="3" spans="1:5" ht="31.15" customHeight="1" x14ac:dyDescent="0.25">
      <c r="B3" s="69" t="s">
        <v>103</v>
      </c>
      <c r="C3" s="69"/>
      <c r="D3" s="69"/>
      <c r="E3" s="69"/>
    </row>
    <row r="4" spans="1:5" x14ac:dyDescent="0.25">
      <c r="A4" s="55"/>
      <c r="C4" s="21"/>
      <c r="D4" s="21"/>
      <c r="E4" s="56" t="s">
        <v>110</v>
      </c>
    </row>
    <row r="5" spans="1:5" s="25" customFormat="1" ht="47.25" x14ac:dyDescent="0.25">
      <c r="A5" s="29" t="s">
        <v>86</v>
      </c>
      <c r="B5" s="29" t="s">
        <v>89</v>
      </c>
      <c r="C5" s="33" t="s">
        <v>88</v>
      </c>
      <c r="D5" s="33" t="s">
        <v>93</v>
      </c>
      <c r="E5" s="33" t="s">
        <v>105</v>
      </c>
    </row>
    <row r="6" spans="1:5" s="25" customFormat="1" ht="15.75" x14ac:dyDescent="0.25">
      <c r="A6" s="26"/>
      <c r="B6" s="26" t="s">
        <v>87</v>
      </c>
      <c r="C6" s="27">
        <f>C7+C12</f>
        <v>231660604.79999998</v>
      </c>
      <c r="D6" s="27">
        <f>D7+D12</f>
        <v>215932794.19999996</v>
      </c>
      <c r="E6" s="27">
        <f>E7+E12</f>
        <v>201762080.69999999</v>
      </c>
    </row>
    <row r="7" spans="1:5" ht="15.75" x14ac:dyDescent="0.25">
      <c r="A7" s="48"/>
      <c r="B7" s="30" t="s">
        <v>78</v>
      </c>
      <c r="C7" s="42">
        <f>C9+C10+C11</f>
        <v>64190163.800000012</v>
      </c>
      <c r="D7" s="42">
        <f t="shared" ref="D7:E7" si="0">D9+D10+D11</f>
        <v>50199756.5</v>
      </c>
      <c r="E7" s="42">
        <f t="shared" si="0"/>
        <v>41329905.299999997</v>
      </c>
    </row>
    <row r="8" spans="1:5" ht="15.75" x14ac:dyDescent="0.25">
      <c r="A8" s="49"/>
      <c r="B8" s="31" t="s">
        <v>79</v>
      </c>
      <c r="C8" s="43">
        <f>C7/C6</f>
        <v>0.27708709409360921</v>
      </c>
      <c r="D8" s="43">
        <f>D7/D6</f>
        <v>0.23247861301467848</v>
      </c>
      <c r="E8" s="43">
        <f>E7/E6</f>
        <v>0.20484476149635583</v>
      </c>
    </row>
    <row r="9" spans="1:5" ht="15.75" x14ac:dyDescent="0.25">
      <c r="A9" s="49"/>
      <c r="B9" s="13" t="s">
        <v>94</v>
      </c>
      <c r="C9" s="36">
        <f>C17+C24+C30+C35+C46+C52+C62+C74+C81+C100+C106</f>
        <v>14401164.800000001</v>
      </c>
      <c r="D9" s="36">
        <f t="shared" ref="D9:E9" si="1">D17+D24+D30+D35+D46+D52+D62+D74+D81+D100+D106</f>
        <v>18084066.300000001</v>
      </c>
      <c r="E9" s="36">
        <f t="shared" si="1"/>
        <v>10573974.199999999</v>
      </c>
    </row>
    <row r="10" spans="1:5" ht="15.75" x14ac:dyDescent="0.25">
      <c r="A10" s="49"/>
      <c r="B10" s="13" t="s">
        <v>80</v>
      </c>
      <c r="C10" s="36">
        <f>C19+C54+C64+C70+C76+C108</f>
        <v>283361</v>
      </c>
      <c r="D10" s="36">
        <f t="shared" ref="D10:E10" si="2">D19+D54+D64+D70+D76+D108</f>
        <v>109151.4</v>
      </c>
      <c r="E10" s="36">
        <f t="shared" si="2"/>
        <v>19000</v>
      </c>
    </row>
    <row r="11" spans="1:5" ht="15.75" x14ac:dyDescent="0.25">
      <c r="A11" s="49"/>
      <c r="B11" s="13" t="s">
        <v>81</v>
      </c>
      <c r="C11" s="36">
        <f>C20+C26+C37+C42+C48+C55+C65+C77+C83+C88+C96+C102+C111</f>
        <v>49505638.000000007</v>
      </c>
      <c r="D11" s="36">
        <f t="shared" ref="D11:E11" si="3">D20+D26+D37+D42+D48+D55+D65+D77+D83+D88+D96+D102+D111</f>
        <v>32006538.800000001</v>
      </c>
      <c r="E11" s="36">
        <f t="shared" si="3"/>
        <v>30736931.100000001</v>
      </c>
    </row>
    <row r="12" spans="1:5" ht="15.75" x14ac:dyDescent="0.25">
      <c r="A12" s="48"/>
      <c r="B12" s="30" t="s">
        <v>82</v>
      </c>
      <c r="C12" s="42">
        <f>C18+C25+C31+C36+C41+C47+C53+C58+C63+C69+C75+C82+C87+C91+C95+C101+C107</f>
        <v>167470440.99999997</v>
      </c>
      <c r="D12" s="42">
        <f>D18+D25+D31+D36+D41+D47+D53+D58+D63+D69+D75+D82+D87+D91+D95+D101+D107</f>
        <v>165733037.69999996</v>
      </c>
      <c r="E12" s="42">
        <f>E18+E25+E31+E36+E41+E47+E53+E58+E63+E69+E75+E82+E87+E91+E95+E101+E107</f>
        <v>160432175.39999998</v>
      </c>
    </row>
    <row r="13" spans="1:5" ht="16.5" thickBot="1" x14ac:dyDescent="0.3">
      <c r="A13" s="50"/>
      <c r="B13" s="32" t="s">
        <v>79</v>
      </c>
      <c r="C13" s="44">
        <f>C12/C6</f>
        <v>0.72291290590639079</v>
      </c>
      <c r="D13" s="44">
        <f>D12/D6</f>
        <v>0.76752138698532157</v>
      </c>
      <c r="E13" s="44">
        <f>E12/E6</f>
        <v>0.79515523850364411</v>
      </c>
    </row>
    <row r="14" spans="1:5" ht="32.25" thickTop="1" x14ac:dyDescent="0.25">
      <c r="A14" s="51">
        <v>1</v>
      </c>
      <c r="B14" s="22" t="s">
        <v>28</v>
      </c>
      <c r="C14" s="45">
        <f>SUM(C17:C20)</f>
        <v>34324889.600000001</v>
      </c>
      <c r="D14" s="45">
        <f>SUM(D17:D20)</f>
        <v>31610860.699999996</v>
      </c>
      <c r="E14" s="45">
        <f>SUM(E17:E20)</f>
        <v>29925808.299999997</v>
      </c>
    </row>
    <row r="15" spans="1:5" s="24" customFormat="1" ht="15.75" x14ac:dyDescent="0.25">
      <c r="A15" s="52"/>
      <c r="B15" s="23" t="s">
        <v>84</v>
      </c>
      <c r="C15" s="46">
        <f>(C17+C19+C20)/C14*100</f>
        <v>16.933774202146303</v>
      </c>
      <c r="D15" s="46">
        <f t="shared" ref="D15:E15" si="4">(D17+D19+D20)/D14*100</f>
        <v>8.4221158204654643</v>
      </c>
      <c r="E15" s="46">
        <f t="shared" si="4"/>
        <v>7.183854078220504</v>
      </c>
    </row>
    <row r="16" spans="1:5" s="24" customFormat="1" ht="15.75" x14ac:dyDescent="0.25">
      <c r="A16" s="52"/>
      <c r="B16" s="23" t="s">
        <v>85</v>
      </c>
      <c r="C16" s="46">
        <f>(C18)/C14*100</f>
        <v>83.066225797853704</v>
      </c>
      <c r="D16" s="46">
        <f t="shared" ref="D16:E16" si="5">(D18)/D14*100</f>
        <v>91.577884179534536</v>
      </c>
      <c r="E16" s="46">
        <f t="shared" si="5"/>
        <v>92.816145921779508</v>
      </c>
    </row>
    <row r="17" spans="1:5" ht="15.75" x14ac:dyDescent="0.25">
      <c r="A17" s="53"/>
      <c r="B17" s="15" t="s">
        <v>94</v>
      </c>
      <c r="C17" s="20">
        <v>2729107.8</v>
      </c>
      <c r="D17" s="20">
        <v>445631.9</v>
      </c>
      <c r="E17" s="20"/>
    </row>
    <row r="18" spans="1:5" ht="15.75" x14ac:dyDescent="0.25">
      <c r="A18" s="53"/>
      <c r="B18" s="15" t="s">
        <v>83</v>
      </c>
      <c r="C18" s="20">
        <f>28488117.8+24272.5</f>
        <v>28512390.300000001</v>
      </c>
      <c r="D18" s="20">
        <v>28948557.399999999</v>
      </c>
      <c r="E18" s="20">
        <v>27775981.899999999</v>
      </c>
    </row>
    <row r="19" spans="1:5" ht="15.75" x14ac:dyDescent="0.25">
      <c r="A19" s="53"/>
      <c r="B19" s="15" t="s">
        <v>80</v>
      </c>
      <c r="C19" s="20">
        <v>107116</v>
      </c>
      <c r="D19" s="20"/>
      <c r="E19" s="20"/>
    </row>
    <row r="20" spans="1:5" ht="15.75" x14ac:dyDescent="0.25">
      <c r="A20" s="53"/>
      <c r="B20" s="15" t="s">
        <v>81</v>
      </c>
      <c r="C20" s="20">
        <v>2976275.5</v>
      </c>
      <c r="D20" s="20">
        <v>2216671.4</v>
      </c>
      <c r="E20" s="20">
        <v>2149826.4</v>
      </c>
    </row>
    <row r="21" spans="1:5" s="60" customFormat="1" ht="31.5" x14ac:dyDescent="0.25">
      <c r="A21" s="54">
        <v>2</v>
      </c>
      <c r="B21" s="14" t="s">
        <v>32</v>
      </c>
      <c r="C21" s="33">
        <f>SUM(C24:C26)</f>
        <v>57486719.399999999</v>
      </c>
      <c r="D21" s="33">
        <f>SUM(D24:D26)</f>
        <v>53782740.799999997</v>
      </c>
      <c r="E21" s="33">
        <f>SUM(E24:E26)</f>
        <v>50628461.5</v>
      </c>
    </row>
    <row r="22" spans="1:5" s="60" customFormat="1" ht="15.75" x14ac:dyDescent="0.25">
      <c r="A22" s="54"/>
      <c r="B22" s="23" t="s">
        <v>84</v>
      </c>
      <c r="C22" s="46">
        <f>(C24+C26)/C21*100</f>
        <v>13.971641074373084</v>
      </c>
      <c r="D22" s="46">
        <f t="shared" ref="D22:E22" si="6">(D24+D26)/D21*100</f>
        <v>8.4530602798881542</v>
      </c>
      <c r="E22" s="46">
        <f t="shared" si="6"/>
        <v>5.3096707274030051</v>
      </c>
    </row>
    <row r="23" spans="1:5" s="60" customFormat="1" ht="15.75" x14ac:dyDescent="0.25">
      <c r="A23" s="54"/>
      <c r="B23" s="23" t="s">
        <v>85</v>
      </c>
      <c r="C23" s="46">
        <f>C25/C21*100</f>
        <v>86.028358925626918</v>
      </c>
      <c r="D23" s="46">
        <f t="shared" ref="D23:E23" si="7">D25/D21*100</f>
        <v>91.546939720111837</v>
      </c>
      <c r="E23" s="46">
        <f t="shared" si="7"/>
        <v>94.690329272596998</v>
      </c>
    </row>
    <row r="24" spans="1:5" ht="15.75" x14ac:dyDescent="0.25">
      <c r="A24" s="53"/>
      <c r="B24" s="15" t="s">
        <v>94</v>
      </c>
      <c r="C24" s="20">
        <v>322424.59999999998</v>
      </c>
      <c r="D24" s="20">
        <v>341805.3</v>
      </c>
      <c r="E24" s="20">
        <v>229610.9</v>
      </c>
    </row>
    <row r="25" spans="1:5" ht="15.75" x14ac:dyDescent="0.25">
      <c r="A25" s="53"/>
      <c r="B25" s="15" t="s">
        <v>83</v>
      </c>
      <c r="C25" s="20">
        <f>49477318.5-22437.2</f>
        <v>49454881.299999997</v>
      </c>
      <c r="D25" s="20">
        <f>49246576.8-10123.5</f>
        <v>49236453.299999997</v>
      </c>
      <c r="E25" s="20">
        <v>47940256.899999999</v>
      </c>
    </row>
    <row r="26" spans="1:5" ht="15.75" x14ac:dyDescent="0.25">
      <c r="A26" s="53"/>
      <c r="B26" s="15" t="s">
        <v>81</v>
      </c>
      <c r="C26" s="20">
        <f>7686976.3+22437.2</f>
        <v>7709413.5</v>
      </c>
      <c r="D26" s="20">
        <f>4194358.7+10123.5</f>
        <v>4204482.2</v>
      </c>
      <c r="E26" s="20">
        <v>2458593.7000000002</v>
      </c>
    </row>
    <row r="27" spans="1:5" s="60" customFormat="1" ht="47.25" x14ac:dyDescent="0.25">
      <c r="A27" s="54">
        <v>3</v>
      </c>
      <c r="B27" s="14" t="s">
        <v>38</v>
      </c>
      <c r="C27" s="33">
        <f>SUM(C30:C31)</f>
        <v>43067427.899999999</v>
      </c>
      <c r="D27" s="33">
        <f>SUM(D30:D31)</f>
        <v>42382528.700000003</v>
      </c>
      <c r="E27" s="33">
        <f>SUM(E30:E31)</f>
        <v>39326699.799999997</v>
      </c>
    </row>
    <row r="28" spans="1:5" s="60" customFormat="1" ht="15.75" x14ac:dyDescent="0.25">
      <c r="A28" s="54"/>
      <c r="B28" s="23" t="s">
        <v>84</v>
      </c>
      <c r="C28" s="46">
        <f>(C30)/C27*100</f>
        <v>2.6241992036863668</v>
      </c>
      <c r="D28" s="46">
        <f t="shared" ref="D28:E28" si="8">(D30)/D27*100</f>
        <v>0</v>
      </c>
      <c r="E28" s="46">
        <f t="shared" si="8"/>
        <v>0</v>
      </c>
    </row>
    <row r="29" spans="1:5" s="60" customFormat="1" ht="15.75" x14ac:dyDescent="0.25">
      <c r="A29" s="54"/>
      <c r="B29" s="23" t="s">
        <v>85</v>
      </c>
      <c r="C29" s="46">
        <f>C31/C27*100</f>
        <v>97.375800796313627</v>
      </c>
      <c r="D29" s="46">
        <f t="shared" ref="D29:E29" si="9">D31/D27*100</f>
        <v>100</v>
      </c>
      <c r="E29" s="46">
        <f t="shared" si="9"/>
        <v>100</v>
      </c>
    </row>
    <row r="30" spans="1:5" ht="15.75" x14ac:dyDescent="0.25">
      <c r="A30" s="53"/>
      <c r="B30" s="15" t="s">
        <v>94</v>
      </c>
      <c r="C30" s="20">
        <v>1130175.1000000001</v>
      </c>
      <c r="D30" s="20"/>
      <c r="E30" s="20"/>
    </row>
    <row r="31" spans="1:5" ht="15.75" x14ac:dyDescent="0.25">
      <c r="A31" s="53"/>
      <c r="B31" s="15" t="s">
        <v>83</v>
      </c>
      <c r="C31" s="20">
        <f>41877252.8+60000</f>
        <v>41937252.799999997</v>
      </c>
      <c r="D31" s="20">
        <f>42322528.7+60000</f>
        <v>42382528.700000003</v>
      </c>
      <c r="E31" s="20">
        <f>39266699.8+60000</f>
        <v>39326699.799999997</v>
      </c>
    </row>
    <row r="32" spans="1:5" s="60" customFormat="1" ht="31.5" x14ac:dyDescent="0.25">
      <c r="A32" s="54">
        <v>4</v>
      </c>
      <c r="B32" s="14" t="s">
        <v>48</v>
      </c>
      <c r="C32" s="33">
        <f>SUM(C35:C37)</f>
        <v>4111460.1</v>
      </c>
      <c r="D32" s="33">
        <f>SUM(D35:D37)</f>
        <v>2791434.5</v>
      </c>
      <c r="E32" s="33">
        <f>SUM(E35:E37)</f>
        <v>1575202.4</v>
      </c>
    </row>
    <row r="33" spans="1:5" s="60" customFormat="1" ht="15.75" x14ac:dyDescent="0.25">
      <c r="A33" s="54"/>
      <c r="B33" s="23" t="s">
        <v>84</v>
      </c>
      <c r="C33" s="46">
        <f>(C35+C37)/C32*100</f>
        <v>67.877669541290217</v>
      </c>
      <c r="D33" s="46">
        <f t="shared" ref="D33" si="10">(D35+D37)/D32*100</f>
        <v>55.800850781202293</v>
      </c>
      <c r="E33" s="46">
        <f t="shared" ref="E33" si="11">(E35+E37)/E32*100</f>
        <v>21.674173426856132</v>
      </c>
    </row>
    <row r="34" spans="1:5" s="60" customFormat="1" ht="15.75" x14ac:dyDescent="0.25">
      <c r="A34" s="54"/>
      <c r="B34" s="23" t="s">
        <v>85</v>
      </c>
      <c r="C34" s="46">
        <f>C36/C32*100</f>
        <v>32.12233045870979</v>
      </c>
      <c r="D34" s="46">
        <f t="shared" ref="D34:E34" si="12">D36/D32*100</f>
        <v>44.199149218797714</v>
      </c>
      <c r="E34" s="46">
        <f t="shared" si="12"/>
        <v>78.325826573143871</v>
      </c>
    </row>
    <row r="35" spans="1:5" s="60" customFormat="1" ht="15.75" x14ac:dyDescent="0.25">
      <c r="A35" s="53"/>
      <c r="B35" s="15" t="s">
        <v>94</v>
      </c>
      <c r="C35" s="20">
        <v>369373.6</v>
      </c>
      <c r="D35" s="20">
        <v>303641.40000000002</v>
      </c>
      <c r="E35" s="20">
        <v>3641.4</v>
      </c>
    </row>
    <row r="36" spans="1:5" s="60" customFormat="1" ht="15.75" x14ac:dyDescent="0.25">
      <c r="A36" s="53"/>
      <c r="B36" s="15" t="s">
        <v>83</v>
      </c>
      <c r="C36" s="20">
        <v>1320696.8</v>
      </c>
      <c r="D36" s="20">
        <v>1233790.3</v>
      </c>
      <c r="E36" s="20">
        <v>1233790.3</v>
      </c>
    </row>
    <row r="37" spans="1:5" s="60" customFormat="1" ht="15.75" x14ac:dyDescent="0.25">
      <c r="A37" s="53"/>
      <c r="B37" s="15" t="s">
        <v>81</v>
      </c>
      <c r="C37" s="20">
        <v>2421389.7000000002</v>
      </c>
      <c r="D37" s="20">
        <v>1254002.8</v>
      </c>
      <c r="E37" s="20">
        <v>337770.7</v>
      </c>
    </row>
    <row r="38" spans="1:5" s="60" customFormat="1" ht="31.5" x14ac:dyDescent="0.25">
      <c r="A38" s="54">
        <v>5</v>
      </c>
      <c r="B38" s="14" t="s">
        <v>49</v>
      </c>
      <c r="C38" s="33">
        <f>SUM(C41:C42)</f>
        <v>4950606.4000000004</v>
      </c>
      <c r="D38" s="33">
        <f>SUM(D41:D42)</f>
        <v>4971164.3000000007</v>
      </c>
      <c r="E38" s="33">
        <f>SUM(E41:E42)</f>
        <v>4058542.9000000004</v>
      </c>
    </row>
    <row r="39" spans="1:5" s="60" customFormat="1" ht="15.75" x14ac:dyDescent="0.25">
      <c r="A39" s="54"/>
      <c r="B39" s="23" t="s">
        <v>84</v>
      </c>
      <c r="C39" s="46">
        <f>(C42)/C38*100</f>
        <v>31.409121920902454</v>
      </c>
      <c r="D39" s="46">
        <f t="shared" ref="D39:E39" si="13">(D42)/D38*100</f>
        <v>24.378486142572271</v>
      </c>
      <c r="E39" s="46">
        <f t="shared" si="13"/>
        <v>20.573031271888244</v>
      </c>
    </row>
    <row r="40" spans="1:5" s="60" customFormat="1" ht="15.75" x14ac:dyDescent="0.25">
      <c r="A40" s="54"/>
      <c r="B40" s="23" t="s">
        <v>85</v>
      </c>
      <c r="C40" s="46">
        <f>C41/C38*100</f>
        <v>68.590878079097536</v>
      </c>
      <c r="D40" s="46">
        <f>D41/D38*100</f>
        <v>75.621513857427715</v>
      </c>
      <c r="E40" s="46">
        <f>E41/E38*100</f>
        <v>79.426968728111746</v>
      </c>
    </row>
    <row r="41" spans="1:5" s="60" customFormat="1" ht="15.75" x14ac:dyDescent="0.25">
      <c r="A41" s="53"/>
      <c r="B41" s="15" t="s">
        <v>83</v>
      </c>
      <c r="C41" s="20">
        <v>3395664.4</v>
      </c>
      <c r="D41" s="20">
        <v>3759269.7</v>
      </c>
      <c r="E41" s="20">
        <v>3223577.6</v>
      </c>
    </row>
    <row r="42" spans="1:5" s="60" customFormat="1" ht="15.75" x14ac:dyDescent="0.25">
      <c r="A42" s="53"/>
      <c r="B42" s="15" t="s">
        <v>81</v>
      </c>
      <c r="C42" s="20">
        <v>1554942</v>
      </c>
      <c r="D42" s="20">
        <v>1211894.6000000001</v>
      </c>
      <c r="E42" s="20">
        <v>834965.3</v>
      </c>
    </row>
    <row r="43" spans="1:5" s="60" customFormat="1" ht="47.25" x14ac:dyDescent="0.25">
      <c r="A43" s="54">
        <v>6</v>
      </c>
      <c r="B43" s="14" t="s">
        <v>51</v>
      </c>
      <c r="C43" s="33">
        <f>SUM(C46:C48)</f>
        <v>6023662.5</v>
      </c>
      <c r="D43" s="33">
        <f>SUM(D46:D48)</f>
        <v>3335265.0999999996</v>
      </c>
      <c r="E43" s="33">
        <f>SUM(E46:E48)</f>
        <v>8962575.9000000004</v>
      </c>
    </row>
    <row r="44" spans="1:5" s="60" customFormat="1" ht="15.75" x14ac:dyDescent="0.25">
      <c r="A44" s="54"/>
      <c r="B44" s="23" t="s">
        <v>84</v>
      </c>
      <c r="C44" s="46">
        <f>(C46+C48)/C43*100</f>
        <v>77.587519221071901</v>
      </c>
      <c r="D44" s="46">
        <f t="shared" ref="D44:E44" si="14">(D46+D48)/D43*100</f>
        <v>60.764636070458089</v>
      </c>
      <c r="E44" s="46">
        <f t="shared" si="14"/>
        <v>85.691788674280573</v>
      </c>
    </row>
    <row r="45" spans="1:5" s="60" customFormat="1" ht="15.75" x14ac:dyDescent="0.25">
      <c r="A45" s="54"/>
      <c r="B45" s="23" t="s">
        <v>85</v>
      </c>
      <c r="C45" s="46">
        <f>C47/C43*100</f>
        <v>22.412480778928099</v>
      </c>
      <c r="D45" s="46">
        <f t="shared" ref="D45:E45" si="15">D47/D43*100</f>
        <v>39.235363929541919</v>
      </c>
      <c r="E45" s="46">
        <f t="shared" si="15"/>
        <v>14.308211325719428</v>
      </c>
    </row>
    <row r="46" spans="1:5" ht="15.75" x14ac:dyDescent="0.25">
      <c r="A46" s="53"/>
      <c r="B46" s="15" t="s">
        <v>94</v>
      </c>
      <c r="C46" s="20">
        <v>1759404.2</v>
      </c>
      <c r="D46" s="20"/>
      <c r="E46" s="20">
        <v>5500000</v>
      </c>
    </row>
    <row r="47" spans="1:5" ht="15.75" x14ac:dyDescent="0.25">
      <c r="A47" s="53"/>
      <c r="B47" s="15" t="s">
        <v>83</v>
      </c>
      <c r="C47" s="20">
        <v>1350052.2</v>
      </c>
      <c r="D47" s="20">
        <v>1308603.3999999999</v>
      </c>
      <c r="E47" s="20">
        <v>1282384.3</v>
      </c>
    </row>
    <row r="48" spans="1:5" ht="15.75" x14ac:dyDescent="0.25">
      <c r="A48" s="53"/>
      <c r="B48" s="15" t="s">
        <v>81</v>
      </c>
      <c r="C48" s="20">
        <v>2914206.1</v>
      </c>
      <c r="D48" s="20">
        <v>2026661.7</v>
      </c>
      <c r="E48" s="20">
        <v>2180191.6</v>
      </c>
    </row>
    <row r="49" spans="1:5" s="60" customFormat="1" ht="63" x14ac:dyDescent="0.25">
      <c r="A49" s="54">
        <v>7</v>
      </c>
      <c r="B49" s="14" t="s">
        <v>53</v>
      </c>
      <c r="C49" s="33">
        <f>SUM(C52:C55)</f>
        <v>15232310.800000001</v>
      </c>
      <c r="D49" s="33">
        <f>SUM(D52:D55)</f>
        <v>13143626.199999999</v>
      </c>
      <c r="E49" s="33">
        <f>SUM(E52:E55)</f>
        <v>12572289.699999999</v>
      </c>
    </row>
    <row r="50" spans="1:5" s="60" customFormat="1" ht="15.75" x14ac:dyDescent="0.25">
      <c r="A50" s="54"/>
      <c r="B50" s="23" t="s">
        <v>84</v>
      </c>
      <c r="C50" s="46">
        <f>(C52+C54+C55)/C49*100</f>
        <v>37.580157568738684</v>
      </c>
      <c r="D50" s="46">
        <f t="shared" ref="D50:E50" si="16">(D52+D54+D55)/D49*100</f>
        <v>29.582886342278968</v>
      </c>
      <c r="E50" s="46">
        <f t="shared" si="16"/>
        <v>25.806688975676405</v>
      </c>
    </row>
    <row r="51" spans="1:5" s="60" customFormat="1" ht="15.75" x14ac:dyDescent="0.25">
      <c r="A51" s="54"/>
      <c r="B51" s="23" t="s">
        <v>85</v>
      </c>
      <c r="C51" s="46">
        <f>C53/C49*100</f>
        <v>62.419842431261316</v>
      </c>
      <c r="D51" s="46">
        <f t="shared" ref="D51:E51" si="17">D53/D49*100</f>
        <v>70.417113657721032</v>
      </c>
      <c r="E51" s="46">
        <f t="shared" si="17"/>
        <v>74.193311024323606</v>
      </c>
    </row>
    <row r="52" spans="1:5" s="60" customFormat="1" ht="15.75" x14ac:dyDescent="0.25">
      <c r="A52" s="53"/>
      <c r="B52" s="15" t="s">
        <v>94</v>
      </c>
      <c r="C52" s="20">
        <v>212700</v>
      </c>
      <c r="D52" s="20">
        <v>212700</v>
      </c>
      <c r="E52" s="20"/>
    </row>
    <row r="53" spans="1:5" s="60" customFormat="1" ht="15.75" x14ac:dyDescent="0.25">
      <c r="A53" s="53"/>
      <c r="B53" s="15" t="s">
        <v>83</v>
      </c>
      <c r="C53" s="20">
        <v>9507984.4000000004</v>
      </c>
      <c r="D53" s="20">
        <v>9255362.1999999993</v>
      </c>
      <c r="E53" s="20">
        <v>9327798</v>
      </c>
    </row>
    <row r="54" spans="1:5" s="60" customFormat="1" ht="15.75" x14ac:dyDescent="0.25">
      <c r="A54" s="53"/>
      <c r="B54" s="15" t="s">
        <v>80</v>
      </c>
      <c r="C54" s="20">
        <v>16875</v>
      </c>
      <c r="D54" s="20">
        <v>72235.8</v>
      </c>
      <c r="E54" s="20"/>
    </row>
    <row r="55" spans="1:5" s="60" customFormat="1" ht="15.75" x14ac:dyDescent="0.25">
      <c r="A55" s="53"/>
      <c r="B55" s="15" t="s">
        <v>81</v>
      </c>
      <c r="C55" s="20">
        <v>5494751.4000000004</v>
      </c>
      <c r="D55" s="20">
        <v>3603328.2</v>
      </c>
      <c r="E55" s="20">
        <v>3244491.7</v>
      </c>
    </row>
    <row r="56" spans="1:5" s="60" customFormat="1" ht="31.5" x14ac:dyDescent="0.25">
      <c r="A56" s="54">
        <v>8</v>
      </c>
      <c r="B56" s="14" t="s">
        <v>54</v>
      </c>
      <c r="C56" s="33">
        <f>SUM(C58:C58)</f>
        <v>5314614.4000000004</v>
      </c>
      <c r="D56" s="33">
        <f>SUM(D58:D58)</f>
        <v>4838368.7</v>
      </c>
      <c r="E56" s="33">
        <f>SUM(E58:E58)</f>
        <v>4838368.7</v>
      </c>
    </row>
    <row r="57" spans="1:5" s="60" customFormat="1" ht="15.75" x14ac:dyDescent="0.25">
      <c r="A57" s="54"/>
      <c r="B57" s="23" t="s">
        <v>85</v>
      </c>
      <c r="C57" s="46">
        <f>C58/C56*100</f>
        <v>100</v>
      </c>
      <c r="D57" s="46">
        <f>D58/D56*100</f>
        <v>100</v>
      </c>
      <c r="E57" s="46">
        <f>E58/E56*100</f>
        <v>100</v>
      </c>
    </row>
    <row r="58" spans="1:5" s="60" customFormat="1" ht="15.75" x14ac:dyDescent="0.25">
      <c r="A58" s="54"/>
      <c r="B58" s="15" t="s">
        <v>83</v>
      </c>
      <c r="C58" s="46">
        <f>5284704+29910.4</f>
        <v>5314614.4000000004</v>
      </c>
      <c r="D58" s="46">
        <v>4838368.7</v>
      </c>
      <c r="E58" s="46">
        <v>4838368.7</v>
      </c>
    </row>
    <row r="59" spans="1:5" s="60" customFormat="1" ht="31.5" x14ac:dyDescent="0.25">
      <c r="A59" s="54">
        <v>9</v>
      </c>
      <c r="B59" s="14" t="s">
        <v>56</v>
      </c>
      <c r="C59" s="33">
        <f>SUM(C62:C65)</f>
        <v>3152031.7</v>
      </c>
      <c r="D59" s="33">
        <f>SUM(D62:D65)</f>
        <v>2944219.7</v>
      </c>
      <c r="E59" s="33">
        <f>SUM(E62:E65)</f>
        <v>2231470.2000000002</v>
      </c>
    </row>
    <row r="60" spans="1:5" s="60" customFormat="1" ht="15.75" x14ac:dyDescent="0.25">
      <c r="A60" s="54"/>
      <c r="B60" s="23" t="s">
        <v>84</v>
      </c>
      <c r="C60" s="46">
        <f>(C62+C64+C65)/C59*100</f>
        <v>12.69653791870177</v>
      </c>
      <c r="D60" s="46">
        <f t="shared" ref="D60:E60" si="18">(D62+D64+D65)/D59*100</f>
        <v>7.9370435569057571</v>
      </c>
      <c r="E60" s="46">
        <f t="shared" si="18"/>
        <v>0</v>
      </c>
    </row>
    <row r="61" spans="1:5" s="60" customFormat="1" ht="15.75" x14ac:dyDescent="0.25">
      <c r="A61" s="54"/>
      <c r="B61" s="23" t="s">
        <v>85</v>
      </c>
      <c r="C61" s="46">
        <f>C63/C59*100</f>
        <v>87.303462081298221</v>
      </c>
      <c r="D61" s="46">
        <f t="shared" ref="D61:E61" si="19">D63/D59*100</f>
        <v>92.062956443094251</v>
      </c>
      <c r="E61" s="46">
        <f t="shared" si="19"/>
        <v>100</v>
      </c>
    </row>
    <row r="62" spans="1:5" s="60" customFormat="1" ht="15.75" x14ac:dyDescent="0.25">
      <c r="A62" s="53"/>
      <c r="B62" s="15" t="s">
        <v>94</v>
      </c>
      <c r="C62" s="20">
        <v>81047.199999999997</v>
      </c>
      <c r="D62" s="20">
        <v>93138.1</v>
      </c>
      <c r="E62" s="20"/>
    </row>
    <row r="63" spans="1:5" s="60" customFormat="1" ht="15.75" x14ac:dyDescent="0.25">
      <c r="A63" s="53"/>
      <c r="B63" s="15" t="s">
        <v>83</v>
      </c>
      <c r="C63" s="20">
        <v>2751832.8</v>
      </c>
      <c r="D63" s="20">
        <v>2710535.7</v>
      </c>
      <c r="E63" s="20">
        <v>2231470.2000000002</v>
      </c>
    </row>
    <row r="64" spans="1:5" s="60" customFormat="1" ht="15.75" x14ac:dyDescent="0.25">
      <c r="A64" s="53"/>
      <c r="B64" s="15" t="s">
        <v>80</v>
      </c>
      <c r="C64" s="20">
        <v>38370</v>
      </c>
      <c r="D64" s="20"/>
      <c r="E64" s="20"/>
    </row>
    <row r="65" spans="1:5" s="60" customFormat="1" ht="15.75" x14ac:dyDescent="0.25">
      <c r="A65" s="53"/>
      <c r="B65" s="15" t="s">
        <v>81</v>
      </c>
      <c r="C65" s="20">
        <v>280781.7</v>
      </c>
      <c r="D65" s="20">
        <v>140545.9</v>
      </c>
      <c r="E65" s="20"/>
    </row>
    <row r="66" spans="1:5" s="60" customFormat="1" ht="31.5" x14ac:dyDescent="0.25">
      <c r="A66" s="54">
        <v>10</v>
      </c>
      <c r="B66" s="14" t="s">
        <v>59</v>
      </c>
      <c r="C66" s="33">
        <f>SUM(C69:C70)</f>
        <v>6237677.4000000004</v>
      </c>
      <c r="D66" s="33">
        <f>SUM(D69:D70)</f>
        <v>5641312.7000000002</v>
      </c>
      <c r="E66" s="33">
        <f>SUM(E69:E70)</f>
        <v>5620047.2000000002</v>
      </c>
    </row>
    <row r="67" spans="1:5" s="60" customFormat="1" ht="15.75" x14ac:dyDescent="0.25">
      <c r="A67" s="54"/>
      <c r="B67" s="23" t="s">
        <v>84</v>
      </c>
      <c r="C67" s="46">
        <f>C70/C66*100</f>
        <v>1.2344338294891619</v>
      </c>
      <c r="D67" s="46">
        <f t="shared" ref="D67:E67" si="20">D70/D66*100</f>
        <v>0</v>
      </c>
      <c r="E67" s="46">
        <f t="shared" si="20"/>
        <v>0</v>
      </c>
    </row>
    <row r="68" spans="1:5" s="60" customFormat="1" ht="15.75" x14ac:dyDescent="0.25">
      <c r="A68" s="54"/>
      <c r="B68" s="23" t="s">
        <v>85</v>
      </c>
      <c r="C68" s="46">
        <f>C69/C66*100</f>
        <v>98.765566170510837</v>
      </c>
      <c r="D68" s="46">
        <f t="shared" ref="D68:E68" si="21">D69/D66*100</f>
        <v>100</v>
      </c>
      <c r="E68" s="46">
        <f t="shared" si="21"/>
        <v>100</v>
      </c>
    </row>
    <row r="69" spans="1:5" s="60" customFormat="1" ht="15.75" x14ac:dyDescent="0.25">
      <c r="A69" s="53"/>
      <c r="B69" s="16" t="s">
        <v>83</v>
      </c>
      <c r="C69" s="20">
        <v>6160677.4000000004</v>
      </c>
      <c r="D69" s="20">
        <v>5641312.7000000002</v>
      </c>
      <c r="E69" s="20">
        <v>5620047.2000000002</v>
      </c>
    </row>
    <row r="70" spans="1:5" s="60" customFormat="1" ht="15.75" x14ac:dyDescent="0.25">
      <c r="A70" s="53"/>
      <c r="B70" s="15" t="s">
        <v>80</v>
      </c>
      <c r="C70" s="20">
        <v>77000</v>
      </c>
      <c r="D70" s="20"/>
      <c r="E70" s="20"/>
    </row>
    <row r="71" spans="1:5" s="60" customFormat="1" ht="47.25" x14ac:dyDescent="0.25">
      <c r="A71" s="54">
        <v>11</v>
      </c>
      <c r="B71" s="14" t="s">
        <v>63</v>
      </c>
      <c r="C71" s="33">
        <f>SUM(C74:C77)</f>
        <v>1961229.3</v>
      </c>
      <c r="D71" s="33">
        <f>SUM(D74:D77)</f>
        <v>1779155.3</v>
      </c>
      <c r="E71" s="33">
        <f>SUM(E74:E77)</f>
        <v>1638814.4000000001</v>
      </c>
    </row>
    <row r="72" spans="1:5" s="60" customFormat="1" ht="15.75" x14ac:dyDescent="0.25">
      <c r="A72" s="54"/>
      <c r="B72" s="23" t="s">
        <v>84</v>
      </c>
      <c r="C72" s="46">
        <f>(C74+C76+C77)/C71*100</f>
        <v>14.577805869002672</v>
      </c>
      <c r="D72" s="46">
        <f t="shared" ref="D72:E72" si="22">(D74+D76+D77)/D71*100</f>
        <v>11.942903466605753</v>
      </c>
      <c r="E72" s="46">
        <f t="shared" si="22"/>
        <v>4.4358775465971005</v>
      </c>
    </row>
    <row r="73" spans="1:5" s="60" customFormat="1" ht="15.75" x14ac:dyDescent="0.25">
      <c r="A73" s="54"/>
      <c r="B73" s="23" t="s">
        <v>85</v>
      </c>
      <c r="C73" s="46">
        <f>C75/C71*100</f>
        <v>85.422194130997326</v>
      </c>
      <c r="D73" s="46">
        <f t="shared" ref="D73:E73" si="23">D75/D71*100</f>
        <v>88.057096533394244</v>
      </c>
      <c r="E73" s="46">
        <f t="shared" si="23"/>
        <v>95.564122453402902</v>
      </c>
    </row>
    <row r="74" spans="1:5" s="60" customFormat="1" ht="15.75" x14ac:dyDescent="0.25">
      <c r="A74" s="53"/>
      <c r="B74" s="16" t="s">
        <v>94</v>
      </c>
      <c r="C74" s="20">
        <v>41129.800000000003</v>
      </c>
      <c r="D74" s="20">
        <v>41129.800000000003</v>
      </c>
      <c r="E74" s="20">
        <v>41129.800000000003</v>
      </c>
    </row>
    <row r="75" spans="1:5" s="60" customFormat="1" ht="15.75" x14ac:dyDescent="0.25">
      <c r="A75" s="53"/>
      <c r="B75" s="16" t="s">
        <v>83</v>
      </c>
      <c r="C75" s="20">
        <v>1675325.1</v>
      </c>
      <c r="D75" s="20">
        <v>1566672.5</v>
      </c>
      <c r="E75" s="20">
        <v>1566118.6</v>
      </c>
    </row>
    <row r="76" spans="1:5" s="60" customFormat="1" ht="15.75" x14ac:dyDescent="0.25">
      <c r="A76" s="53"/>
      <c r="B76" s="16" t="s">
        <v>80</v>
      </c>
      <c r="C76" s="20">
        <v>19000</v>
      </c>
      <c r="D76" s="20">
        <v>19000</v>
      </c>
      <c r="E76" s="20">
        <v>19000</v>
      </c>
    </row>
    <row r="77" spans="1:5" s="60" customFormat="1" ht="15.75" x14ac:dyDescent="0.25">
      <c r="A77" s="53"/>
      <c r="B77" s="16" t="s">
        <v>81</v>
      </c>
      <c r="C77" s="20">
        <v>225774.4</v>
      </c>
      <c r="D77" s="20">
        <v>152353</v>
      </c>
      <c r="E77" s="20">
        <v>12566</v>
      </c>
    </row>
    <row r="78" spans="1:5" s="60" customFormat="1" ht="31.5" x14ac:dyDescent="0.25">
      <c r="A78" s="54">
        <v>12</v>
      </c>
      <c r="B78" s="14" t="s">
        <v>64</v>
      </c>
      <c r="C78" s="33">
        <f>SUM(C81:C83)</f>
        <v>27173716.5</v>
      </c>
      <c r="D78" s="33">
        <f>SUM(D81:D83)</f>
        <v>27771360.100000001</v>
      </c>
      <c r="E78" s="33">
        <f>SUM(E81:E83)</f>
        <v>21712692.800000001</v>
      </c>
    </row>
    <row r="79" spans="1:5" s="60" customFormat="1" ht="15.75" x14ac:dyDescent="0.25">
      <c r="A79" s="54"/>
      <c r="B79" s="23" t="s">
        <v>84</v>
      </c>
      <c r="C79" s="46">
        <f>(C81+C83)/C78*100</f>
        <v>92.013171992870397</v>
      </c>
      <c r="D79" s="46">
        <f t="shared" ref="D79:E79" si="24">(D81+D83)/D78*100</f>
        <v>93.243422744714621</v>
      </c>
      <c r="E79" s="46">
        <f t="shared" si="24"/>
        <v>88.386611355731972</v>
      </c>
    </row>
    <row r="80" spans="1:5" s="60" customFormat="1" ht="15.75" x14ac:dyDescent="0.25">
      <c r="A80" s="54"/>
      <c r="B80" s="23" t="s">
        <v>85</v>
      </c>
      <c r="C80" s="46">
        <f>C82/C78*100</f>
        <v>7.9868280071296098</v>
      </c>
      <c r="D80" s="46">
        <f t="shared" ref="D80:E80" si="25">D82/D78*100</f>
        <v>6.7565772552853831</v>
      </c>
      <c r="E80" s="46">
        <f t="shared" si="25"/>
        <v>11.613388644268019</v>
      </c>
    </row>
    <row r="81" spans="1:5" s="60" customFormat="1" ht="15.75" x14ac:dyDescent="0.25">
      <c r="A81" s="54"/>
      <c r="B81" s="16" t="s">
        <v>94</v>
      </c>
      <c r="C81" s="20">
        <v>7611044.2000000002</v>
      </c>
      <c r="D81" s="20">
        <v>16613077.300000001</v>
      </c>
      <c r="E81" s="20">
        <v>4766649.5999999996</v>
      </c>
    </row>
    <row r="82" spans="1:5" s="60" customFormat="1" ht="15.75" x14ac:dyDescent="0.25">
      <c r="A82" s="53"/>
      <c r="B82" s="16" t="s">
        <v>83</v>
      </c>
      <c r="C82" s="20">
        <f>2230318-60000</f>
        <v>2170318</v>
      </c>
      <c r="D82" s="20">
        <f>1936393.4-60000</f>
        <v>1876393.4</v>
      </c>
      <c r="E82" s="20">
        <f>2581579.4-60000</f>
        <v>2521579.4</v>
      </c>
    </row>
    <row r="83" spans="1:5" s="60" customFormat="1" ht="15.75" x14ac:dyDescent="0.25">
      <c r="A83" s="53"/>
      <c r="B83" s="16" t="s">
        <v>81</v>
      </c>
      <c r="C83" s="20">
        <v>17392354.300000001</v>
      </c>
      <c r="D83" s="20">
        <v>9281889.4000000004</v>
      </c>
      <c r="E83" s="20">
        <v>14424463.800000001</v>
      </c>
    </row>
    <row r="84" spans="1:5" s="60" customFormat="1" ht="31.5" x14ac:dyDescent="0.25">
      <c r="A84" s="54">
        <v>13</v>
      </c>
      <c r="B84" s="14" t="s">
        <v>66</v>
      </c>
      <c r="C84" s="33">
        <f>SUM(C87:C88)</f>
        <v>6444571.4000000004</v>
      </c>
      <c r="D84" s="33">
        <f>SUM(D87:D88)</f>
        <v>6293925.9000000004</v>
      </c>
      <c r="E84" s="33">
        <f>SUM(E87:E88)</f>
        <v>5332943.7</v>
      </c>
    </row>
    <row r="85" spans="1:5" s="60" customFormat="1" ht="15.75" x14ac:dyDescent="0.25">
      <c r="A85" s="54"/>
      <c r="B85" s="23" t="s">
        <v>84</v>
      </c>
      <c r="C85" s="46">
        <f>(C88)/C84*100</f>
        <v>82.265326442034606</v>
      </c>
      <c r="D85" s="46">
        <f t="shared" ref="D85:E85" si="26">(D88)/D84*100</f>
        <v>86.131029918861927</v>
      </c>
      <c r="E85" s="46">
        <f t="shared" si="26"/>
        <v>83.63187670629263</v>
      </c>
    </row>
    <row r="86" spans="1:5" s="60" customFormat="1" ht="15.75" x14ac:dyDescent="0.25">
      <c r="A86" s="54"/>
      <c r="B86" s="23" t="s">
        <v>85</v>
      </c>
      <c r="C86" s="46">
        <f>C87/C84*100</f>
        <v>17.73467355796539</v>
      </c>
      <c r="D86" s="46">
        <f>D87/D84*100</f>
        <v>13.868970081138068</v>
      </c>
      <c r="E86" s="46">
        <f>E87/E84*100</f>
        <v>16.368123293707377</v>
      </c>
    </row>
    <row r="87" spans="1:5" ht="15.75" x14ac:dyDescent="0.25">
      <c r="A87" s="53"/>
      <c r="B87" s="15" t="s">
        <v>83</v>
      </c>
      <c r="C87" s="20">
        <v>1142923.7</v>
      </c>
      <c r="D87" s="20">
        <v>872902.7</v>
      </c>
      <c r="E87" s="20">
        <v>872902.8</v>
      </c>
    </row>
    <row r="88" spans="1:5" ht="15.75" x14ac:dyDescent="0.25">
      <c r="A88" s="53"/>
      <c r="B88" s="15" t="s">
        <v>81</v>
      </c>
      <c r="C88" s="20">
        <v>5301647.7</v>
      </c>
      <c r="D88" s="20">
        <v>5421023.2000000002</v>
      </c>
      <c r="E88" s="20">
        <v>4460040.9000000004</v>
      </c>
    </row>
    <row r="89" spans="1:5" s="60" customFormat="1" ht="47.25" x14ac:dyDescent="0.25">
      <c r="A89" s="54">
        <v>14</v>
      </c>
      <c r="B89" s="14" t="s">
        <v>69</v>
      </c>
      <c r="C89" s="33">
        <f>C91</f>
        <v>9285584.2000000011</v>
      </c>
      <c r="D89" s="33">
        <f>D91</f>
        <v>9604496.0999999996</v>
      </c>
      <c r="E89" s="33">
        <f>E91</f>
        <v>10513624.800000001</v>
      </c>
    </row>
    <row r="90" spans="1:5" s="60" customFormat="1" ht="15.75" x14ac:dyDescent="0.25">
      <c r="A90" s="54"/>
      <c r="B90" s="23" t="s">
        <v>85</v>
      </c>
      <c r="C90" s="46">
        <f>C91/C89*100</f>
        <v>100</v>
      </c>
      <c r="D90" s="46">
        <f t="shared" ref="D90:E90" si="27">D91/D89*100</f>
        <v>100</v>
      </c>
      <c r="E90" s="46">
        <f t="shared" si="27"/>
        <v>100</v>
      </c>
    </row>
    <row r="91" spans="1:5" s="60" customFormat="1" ht="15.75" x14ac:dyDescent="0.25">
      <c r="A91" s="53"/>
      <c r="B91" s="15" t="s">
        <v>83</v>
      </c>
      <c r="C91" s="20">
        <f>8991336.9+294247.3</f>
        <v>9285584.2000000011</v>
      </c>
      <c r="D91" s="20">
        <f>9525324+79172.1</f>
        <v>9604496.0999999996</v>
      </c>
      <c r="E91" s="20">
        <v>10513624.800000001</v>
      </c>
    </row>
    <row r="92" spans="1:5" s="60" customFormat="1" ht="31.5" x14ac:dyDescent="0.25">
      <c r="A92" s="54">
        <v>15</v>
      </c>
      <c r="B92" s="14" t="s">
        <v>71</v>
      </c>
      <c r="C92" s="33">
        <f>C95+C96</f>
        <v>2889302</v>
      </c>
      <c r="D92" s="33">
        <f t="shared" ref="D92:E92" si="28">D95+D96</f>
        <v>1582809.1</v>
      </c>
      <c r="E92" s="33">
        <f t="shared" si="28"/>
        <v>1459862.7</v>
      </c>
    </row>
    <row r="93" spans="1:5" s="60" customFormat="1" ht="15.75" x14ac:dyDescent="0.25">
      <c r="A93" s="54"/>
      <c r="B93" s="23" t="s">
        <v>84</v>
      </c>
      <c r="C93" s="46">
        <f>(C96)/C92*100</f>
        <v>20.550617415555731</v>
      </c>
      <c r="D93" s="46">
        <f t="shared" ref="D93:E93" si="29">(D96)/D92*100</f>
        <v>20.564217125110034</v>
      </c>
      <c r="E93" s="46">
        <f t="shared" si="29"/>
        <v>13.73230509965081</v>
      </c>
    </row>
    <row r="94" spans="1:5" s="60" customFormat="1" ht="15.75" x14ac:dyDescent="0.25">
      <c r="A94" s="54"/>
      <c r="B94" s="23" t="s">
        <v>85</v>
      </c>
      <c r="C94" s="46">
        <f>C95/C92*100</f>
        <v>79.449382584444265</v>
      </c>
      <c r="D94" s="46">
        <f>D95/D92*100</f>
        <v>79.435782874889966</v>
      </c>
      <c r="E94" s="46">
        <f>E95/E92*100</f>
        <v>86.267694900349184</v>
      </c>
    </row>
    <row r="95" spans="1:5" ht="15.75" x14ac:dyDescent="0.25">
      <c r="A95" s="53"/>
      <c r="B95" s="15" t="s">
        <v>83</v>
      </c>
      <c r="C95" s="20">
        <v>2295532.6</v>
      </c>
      <c r="D95" s="20">
        <v>1257316.8</v>
      </c>
      <c r="E95" s="20">
        <v>1259389.8999999999</v>
      </c>
    </row>
    <row r="96" spans="1:5" ht="15.75" x14ac:dyDescent="0.25">
      <c r="A96" s="53"/>
      <c r="B96" s="15" t="s">
        <v>81</v>
      </c>
      <c r="C96" s="20">
        <v>593769.4</v>
      </c>
      <c r="D96" s="20">
        <v>325492.3</v>
      </c>
      <c r="E96" s="20">
        <v>200472.8</v>
      </c>
    </row>
    <row r="97" spans="1:5" s="60" customFormat="1" ht="31.5" x14ac:dyDescent="0.25">
      <c r="A97" s="54">
        <v>16</v>
      </c>
      <c r="B97" s="14" t="s">
        <v>75</v>
      </c>
      <c r="C97" s="33">
        <f>SUM(C100:C102)</f>
        <v>1270589</v>
      </c>
      <c r="D97" s="33">
        <f t="shared" ref="D97:E97" si="30">SUM(D100:D102)</f>
        <v>1053963.7</v>
      </c>
      <c r="E97" s="33">
        <f t="shared" si="30"/>
        <v>693759</v>
      </c>
    </row>
    <row r="98" spans="1:5" s="60" customFormat="1" ht="15.75" x14ac:dyDescent="0.25">
      <c r="A98" s="54"/>
      <c r="B98" s="23" t="s">
        <v>84</v>
      </c>
      <c r="C98" s="46">
        <f>(C100+C102)/C97*100</f>
        <v>20.093389758608019</v>
      </c>
      <c r="D98" s="46">
        <f t="shared" ref="D98:E98" si="31">(D100+D102)/D97*100</f>
        <v>0</v>
      </c>
      <c r="E98" s="46">
        <f t="shared" si="31"/>
        <v>0</v>
      </c>
    </row>
    <row r="99" spans="1:5" s="60" customFormat="1" ht="15.75" x14ac:dyDescent="0.25">
      <c r="A99" s="54"/>
      <c r="B99" s="23" t="s">
        <v>85</v>
      </c>
      <c r="C99" s="46">
        <f>C101/C97*100</f>
        <v>79.906610241391988</v>
      </c>
      <c r="D99" s="46">
        <f t="shared" ref="D99:E99" si="32">D101/D97*100</f>
        <v>100</v>
      </c>
      <c r="E99" s="46">
        <f t="shared" si="32"/>
        <v>100</v>
      </c>
    </row>
    <row r="100" spans="1:5" s="60" customFormat="1" ht="15.75" x14ac:dyDescent="0.25">
      <c r="A100" s="54"/>
      <c r="B100" s="15" t="s">
        <v>94</v>
      </c>
      <c r="C100" s="20">
        <v>110273.3</v>
      </c>
      <c r="D100" s="46"/>
      <c r="E100" s="46"/>
    </row>
    <row r="101" spans="1:5" s="60" customFormat="1" ht="15.75" x14ac:dyDescent="0.25">
      <c r="A101" s="53"/>
      <c r="B101" s="15" t="s">
        <v>83</v>
      </c>
      <c r="C101" s="20">
        <f>1011804.6+3480</f>
        <v>1015284.6</v>
      </c>
      <c r="D101" s="20">
        <f>1050483.7+3480</f>
        <v>1053963.7</v>
      </c>
      <c r="E101" s="20">
        <v>693759</v>
      </c>
    </row>
    <row r="102" spans="1:5" s="60" customFormat="1" ht="15.75" x14ac:dyDescent="0.25">
      <c r="A102" s="53"/>
      <c r="B102" s="15" t="s">
        <v>81</v>
      </c>
      <c r="C102" s="20">
        <v>145031.1</v>
      </c>
      <c r="D102" s="20"/>
      <c r="E102" s="20"/>
    </row>
    <row r="103" spans="1:5" s="60" customFormat="1" ht="31.5" x14ac:dyDescent="0.25">
      <c r="A103" s="54">
        <v>17</v>
      </c>
      <c r="B103" s="14" t="s">
        <v>76</v>
      </c>
      <c r="C103" s="33">
        <f>C106+C107+C108</f>
        <v>238911</v>
      </c>
      <c r="D103" s="33">
        <f>D106+D107+D108</f>
        <v>237368.5</v>
      </c>
      <c r="E103" s="33">
        <f>E106+E107+E108</f>
        <v>237368.5</v>
      </c>
    </row>
    <row r="104" spans="1:5" s="60" customFormat="1" ht="15.75" x14ac:dyDescent="0.25">
      <c r="A104" s="54"/>
      <c r="B104" s="23" t="s">
        <v>84</v>
      </c>
      <c r="C104" s="46">
        <f>(C106+C108)/C103*100</f>
        <v>24.898393125473504</v>
      </c>
      <c r="D104" s="46">
        <f t="shared" ref="D104:E104" si="33">(D106+D108)/D103*100</f>
        <v>21.425799969246128</v>
      </c>
      <c r="E104" s="46">
        <f t="shared" si="33"/>
        <v>13.878210461792529</v>
      </c>
    </row>
    <row r="105" spans="1:5" s="60" customFormat="1" ht="15.75" x14ac:dyDescent="0.25">
      <c r="A105" s="54"/>
      <c r="B105" s="23" t="s">
        <v>85</v>
      </c>
      <c r="C105" s="46">
        <f>C107/C103*100</f>
        <v>75.101606874526496</v>
      </c>
      <c r="D105" s="46">
        <f t="shared" ref="D105:E105" si="34">D107/D103*100</f>
        <v>78.574200030753872</v>
      </c>
      <c r="E105" s="46">
        <f t="shared" si="34"/>
        <v>86.121789538207466</v>
      </c>
    </row>
    <row r="106" spans="1:5" ht="15.75" x14ac:dyDescent="0.25">
      <c r="A106" s="53"/>
      <c r="B106" s="15" t="s">
        <v>94</v>
      </c>
      <c r="C106" s="20">
        <v>34485</v>
      </c>
      <c r="D106" s="20">
        <v>32942.5</v>
      </c>
      <c r="E106" s="20">
        <v>32942.5</v>
      </c>
    </row>
    <row r="107" spans="1:5" ht="15.75" x14ac:dyDescent="0.25">
      <c r="A107" s="53"/>
      <c r="B107" s="15" t="s">
        <v>83</v>
      </c>
      <c r="C107" s="20">
        <v>179426</v>
      </c>
      <c r="D107" s="20">
        <v>186510.4</v>
      </c>
      <c r="E107" s="20">
        <v>204426</v>
      </c>
    </row>
    <row r="108" spans="1:5" ht="15.75" x14ac:dyDescent="0.25">
      <c r="A108" s="53"/>
      <c r="B108" s="15" t="s">
        <v>80</v>
      </c>
      <c r="C108" s="20">
        <v>25000</v>
      </c>
      <c r="D108" s="20">
        <v>17915.599999999999</v>
      </c>
      <c r="E108" s="20"/>
    </row>
    <row r="109" spans="1:5" s="60" customFormat="1" ht="47.25" x14ac:dyDescent="0.25">
      <c r="A109" s="54">
        <v>18</v>
      </c>
      <c r="B109" s="14" t="s">
        <v>77</v>
      </c>
      <c r="C109" s="33">
        <f>C111</f>
        <v>2495301.2000000002</v>
      </c>
      <c r="D109" s="33">
        <f t="shared" ref="D109:E109" si="35">D111</f>
        <v>2168194.1</v>
      </c>
      <c r="E109" s="33">
        <f t="shared" si="35"/>
        <v>433548.2</v>
      </c>
    </row>
    <row r="110" spans="1:5" s="60" customFormat="1" ht="15.75" x14ac:dyDescent="0.25">
      <c r="A110" s="54"/>
      <c r="B110" s="23" t="s">
        <v>84</v>
      </c>
      <c r="C110" s="46">
        <f>C111/C109*100</f>
        <v>100</v>
      </c>
      <c r="D110" s="46">
        <f t="shared" ref="D110:E110" si="36">D111/D109*100</f>
        <v>100</v>
      </c>
      <c r="E110" s="46">
        <f t="shared" si="36"/>
        <v>100</v>
      </c>
    </row>
    <row r="111" spans="1:5" s="60" customFormat="1" ht="15.75" x14ac:dyDescent="0.25">
      <c r="A111" s="53"/>
      <c r="B111" s="15" t="s">
        <v>81</v>
      </c>
      <c r="C111" s="20">
        <v>2495301.2000000002</v>
      </c>
      <c r="D111" s="20">
        <v>2168194.1</v>
      </c>
      <c r="E111" s="20">
        <v>433548.2</v>
      </c>
    </row>
  </sheetData>
  <autoFilter ref="A6:E111"/>
  <mergeCells count="1">
    <mergeCell ref="B3:E3"/>
  </mergeCells>
  <pageMargins left="0.78740157480314965" right="0.39370078740157483" top="0.78740157480314965" bottom="0.78740157480314965" header="0.31496062992125984" footer="0.31496062992125984"/>
  <pageSetup paperSize="9" scale="66" orientation="portrait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5.1</vt:lpstr>
      <vt:lpstr>5.2</vt:lpstr>
      <vt:lpstr>5.3 </vt:lpstr>
      <vt:lpstr>'5.1'!Заголовки_для_печати</vt:lpstr>
      <vt:lpstr>'5.2'!Заголовки_для_печати</vt:lpstr>
      <vt:lpstr>'5.3 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Жарков Дмитрий Анатольевич</dc:creator>
  <cp:lastModifiedBy>Старостина Рузанна Левоновна</cp:lastModifiedBy>
  <cp:lastPrinted>2024-08-27T11:18:25Z</cp:lastPrinted>
  <dcterms:created xsi:type="dcterms:W3CDTF">2022-08-31T08:38:34Z</dcterms:created>
  <dcterms:modified xsi:type="dcterms:W3CDTF">2024-10-03T06:16:43Z</dcterms:modified>
</cp:coreProperties>
</file>