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360" yWindow="300" windowWidth="16440" windowHeight="11760" firstSheet="1" activeTab="1"/>
  </bookViews>
  <sheets>
    <sheet name="2019" sheetId="1" state="hidden" r:id="rId1"/>
    <sheet name="2023 год" sheetId="2" r:id="rId2"/>
  </sheets>
  <definedNames>
    <definedName name="Z_1237AFA1_68A6_41BB_9F1F_2BB33CF3BCCE_.wvu.Cols" localSheetId="0" hidden="1">'2019'!$I:$M</definedName>
    <definedName name="Z_1237AFA1_68A6_41BB_9F1F_2BB33CF3BCCE_.wvu.Cols" localSheetId="1" hidden="1">'2023 год'!#REF!,'2023 год'!#REF!</definedName>
    <definedName name="Z_1237AFA1_68A6_41BB_9F1F_2BB33CF3BCCE_.wvu.PrintTitles" localSheetId="0" hidden="1">'2019'!$2:$4</definedName>
    <definedName name="Z_1237AFA1_68A6_41BB_9F1F_2BB33CF3BCCE_.wvu.PrintTitles" localSheetId="1" hidden="1">'2023 год'!$4:$6</definedName>
    <definedName name="Z_1237AFA1_68A6_41BB_9F1F_2BB33CF3BCCE_.wvu.Rows" localSheetId="0" hidden="1">'2019'!$5:$239</definedName>
    <definedName name="Z_15008CFB_90AE_4019_A345_B8744D25D0C3_.wvu.Cols" localSheetId="0" hidden="1">'2019'!$I:$M</definedName>
    <definedName name="Z_15008CFB_90AE_4019_A345_B8744D25D0C3_.wvu.PrintTitles" localSheetId="0" hidden="1">'2019'!$2:$4</definedName>
    <definedName name="Z_15008CFB_90AE_4019_A345_B8744D25D0C3_.wvu.PrintTitles" localSheetId="1" hidden="1">'2023 год'!$4:$6</definedName>
    <definedName name="Z_15008CFB_90AE_4019_A345_B8744D25D0C3_.wvu.Rows" localSheetId="0" hidden="1">'2019'!$5:$239</definedName>
    <definedName name="Z_364080A9_4C50_4D56_AFFE_3F56BEE01D21_.wvu.Cols" localSheetId="0" hidden="1">'2019'!$I:$M</definedName>
    <definedName name="Z_364080A9_4C50_4D56_AFFE_3F56BEE01D21_.wvu.Cols" localSheetId="1" hidden="1">'2023 год'!#REF!,'2023 год'!#REF!</definedName>
    <definedName name="Z_364080A9_4C50_4D56_AFFE_3F56BEE01D21_.wvu.PrintTitles" localSheetId="0" hidden="1">'2019'!$2:$4</definedName>
    <definedName name="Z_364080A9_4C50_4D56_AFFE_3F56BEE01D21_.wvu.PrintTitles" localSheetId="1" hidden="1">'2023 год'!$4:$6</definedName>
    <definedName name="Z_364080A9_4C50_4D56_AFFE_3F56BEE01D21_.wvu.Rows" localSheetId="0" hidden="1">'2019'!$5:$239</definedName>
    <definedName name="Z_4873CEAB_4E26_4DB7_8CA3_1027F54FA069_.wvu.Cols" localSheetId="0" hidden="1">'2019'!$I:$M</definedName>
    <definedName name="Z_4873CEAB_4E26_4DB7_8CA3_1027F54FA069_.wvu.Cols" localSheetId="1" hidden="1">'2023 год'!#REF!,'2023 год'!#REF!</definedName>
    <definedName name="Z_4873CEAB_4E26_4DB7_8CA3_1027F54FA069_.wvu.PrintTitles" localSheetId="0" hidden="1">'2019'!$2:$4</definedName>
    <definedName name="Z_4873CEAB_4E26_4DB7_8CA3_1027F54FA069_.wvu.PrintTitles" localSheetId="1" hidden="1">'2023 год'!$4:$6</definedName>
    <definedName name="Z_4873CEAB_4E26_4DB7_8CA3_1027F54FA069_.wvu.Rows" localSheetId="0" hidden="1">'2019'!$5:$239</definedName>
    <definedName name="Z_5B955171_6155_4477_93FE_98906395A697_.wvu.Cols" localSheetId="0" hidden="1">'2019'!$I:$M</definedName>
    <definedName name="Z_5B955171_6155_4477_93FE_98906395A697_.wvu.Cols" localSheetId="1" hidden="1">'2023 год'!#REF!,'2023 год'!#REF!</definedName>
    <definedName name="Z_5B955171_6155_4477_93FE_98906395A697_.wvu.PrintTitles" localSheetId="0" hidden="1">'2019'!$2:$4</definedName>
    <definedName name="Z_5B955171_6155_4477_93FE_98906395A697_.wvu.PrintTitles" localSheetId="1" hidden="1">'2023 год'!$4:$6</definedName>
    <definedName name="Z_5B955171_6155_4477_93FE_98906395A697_.wvu.Rows" localSheetId="0" hidden="1">'2019'!$5:$239</definedName>
    <definedName name="Z_69868B4C_820B_4999_9363_14A229151CE0_.wvu.Cols" localSheetId="0" hidden="1">'2019'!$I:$M</definedName>
    <definedName name="Z_69868B4C_820B_4999_9363_14A229151CE0_.wvu.Cols" localSheetId="1" hidden="1">'2023 год'!#REF!,'2023 год'!#REF!</definedName>
    <definedName name="Z_69868B4C_820B_4999_9363_14A229151CE0_.wvu.PrintTitles" localSheetId="0" hidden="1">'2019'!$2:$4</definedName>
    <definedName name="Z_69868B4C_820B_4999_9363_14A229151CE0_.wvu.PrintTitles" localSheetId="1" hidden="1">'2023 год'!$4:$6</definedName>
    <definedName name="Z_69868B4C_820B_4999_9363_14A229151CE0_.wvu.Rows" localSheetId="0" hidden="1">'2019'!$5:$239</definedName>
    <definedName name="Z_765F1DBD_C068_444A_8B13_2916A4A9BA3F_.wvu.Cols" localSheetId="0" hidden="1">'2019'!$I:$M</definedName>
    <definedName name="Z_765F1DBD_C068_444A_8B13_2916A4A9BA3F_.wvu.Cols" localSheetId="1" hidden="1">'2023 год'!#REF!,'2023 год'!#REF!</definedName>
    <definedName name="Z_765F1DBD_C068_444A_8B13_2916A4A9BA3F_.wvu.PrintTitles" localSheetId="0" hidden="1">'2019'!$2:$4</definedName>
    <definedName name="Z_765F1DBD_C068_444A_8B13_2916A4A9BA3F_.wvu.PrintTitles" localSheetId="1" hidden="1">'2023 год'!$4:$6</definedName>
    <definedName name="Z_765F1DBD_C068_444A_8B13_2916A4A9BA3F_.wvu.Rows" localSheetId="0" hidden="1">'2019'!$5:$239</definedName>
    <definedName name="Z_94FAEE46_67CD_4645_8F65_1FE6863655B3_.wvu.Cols" localSheetId="0" hidden="1">'2019'!$I:$M</definedName>
    <definedName name="Z_94FAEE46_67CD_4645_8F65_1FE6863655B3_.wvu.Cols" localSheetId="1" hidden="1">'2023 год'!#REF!,'2023 год'!#REF!</definedName>
    <definedName name="Z_94FAEE46_67CD_4645_8F65_1FE6863655B3_.wvu.PrintTitles" localSheetId="0" hidden="1">'2019'!$2:$4</definedName>
    <definedName name="Z_94FAEE46_67CD_4645_8F65_1FE6863655B3_.wvu.PrintTitles" localSheetId="1" hidden="1">'2023 год'!$4:$6</definedName>
    <definedName name="Z_94FAEE46_67CD_4645_8F65_1FE6863655B3_.wvu.Rows" localSheetId="0" hidden="1">'2019'!$5:$239</definedName>
    <definedName name="Z_AC3D1D09_98ED_4CFD_8F29_C435F099150F_.wvu.Cols" localSheetId="0" hidden="1">'2019'!$I:$M</definedName>
    <definedName name="Z_AC3D1D09_98ED_4CFD_8F29_C435F099150F_.wvu.Cols" localSheetId="1" hidden="1">'2023 год'!#REF!,'2023 год'!#REF!</definedName>
    <definedName name="Z_AC3D1D09_98ED_4CFD_8F29_C435F099150F_.wvu.PrintTitles" localSheetId="0" hidden="1">'2019'!$2:$4</definedName>
    <definedName name="Z_AC3D1D09_98ED_4CFD_8F29_C435F099150F_.wvu.PrintTitles" localSheetId="1" hidden="1">'2023 год'!$4:$6</definedName>
    <definedName name="Z_AC3D1D09_98ED_4CFD_8F29_C435F099150F_.wvu.Rows" localSheetId="0" hidden="1">'2019'!$5:$239</definedName>
    <definedName name="Z_E442A37A_C329_497A_93AF_778FC95E568D_.wvu.Cols" localSheetId="0" hidden="1">'2019'!$I:$M</definedName>
    <definedName name="Z_E442A37A_C329_497A_93AF_778FC95E568D_.wvu.Cols" localSheetId="1" hidden="1">'2023 год'!#REF!,'2023 год'!#REF!</definedName>
    <definedName name="Z_E442A37A_C329_497A_93AF_778FC95E568D_.wvu.PrintTitles" localSheetId="0" hidden="1">'2019'!$2:$4</definedName>
    <definedName name="Z_E442A37A_C329_497A_93AF_778FC95E568D_.wvu.PrintTitles" localSheetId="1" hidden="1">'2023 год'!$4:$6</definedName>
    <definedName name="Z_E442A37A_C329_497A_93AF_778FC95E568D_.wvu.Rows" localSheetId="0" hidden="1">'2019'!$5:$239</definedName>
    <definedName name="Z_E4E24A0D_4CE4_4533_9643_8904DCA0EAAD_.wvu.Cols" localSheetId="0" hidden="1">'2019'!$I:$M</definedName>
    <definedName name="Z_E4E24A0D_4CE4_4533_9643_8904DCA0EAAD_.wvu.Cols" localSheetId="1" hidden="1">'2023 год'!#REF!,'2023 год'!#REF!</definedName>
    <definedName name="Z_E4E24A0D_4CE4_4533_9643_8904DCA0EAAD_.wvu.PrintTitles" localSheetId="0" hidden="1">'2019'!$2:$4</definedName>
    <definedName name="Z_E4E24A0D_4CE4_4533_9643_8904DCA0EAAD_.wvu.PrintTitles" localSheetId="1" hidden="1">'2023 год'!$4:$6</definedName>
    <definedName name="Z_E4E24A0D_4CE4_4533_9643_8904DCA0EAAD_.wvu.Rows" localSheetId="0" hidden="1">'2019'!$5:$239</definedName>
    <definedName name="_xlnm.Print_Titles" localSheetId="0">'2019'!$2:$4</definedName>
    <definedName name="_xlnm.Print_Titles" localSheetId="1">'2023 год'!$4:$6</definedName>
  </definedNames>
  <calcPr calcId="145621"/>
  <customWorkbookViews>
    <customWorkbookView name="Ольга Александровна Коноплянникова - Личное представление" guid="{15008CFB-90AE-4019-A345-B8744D25D0C3}" mergeInterval="0" personalView="1" maximized="1" windowWidth="1916" windowHeight="815" activeSheetId="2" showComments="commIndAndComment"/>
    <customWorkbookView name="Киселёв Алексей Сергеевич - Личное представление" guid="{94FAEE46-67CD-4645-8F65-1FE6863655B3}" mergeInterval="0" personalView="1" maximized="1" windowWidth="1916" windowHeight="913" activeSheetId="2"/>
    <customWorkbookView name="Евсеева Анна Владимировна - Личное представление" guid="{69868B4C-820B-4999-9363-14A229151CE0}" mergeInterval="0" personalView="1" xWindow="834" yWindow="53" windowWidth="1076" windowHeight="741" activeSheetId="2"/>
    <customWorkbookView name="Кудрявцева Светлана Геннадьевна - Личное представление" guid="{5B955171-6155-4477-93FE-98906395A697}" mergeInterval="0" personalView="1" maximized="1" windowWidth="1362" windowHeight="462" activeSheetId="2"/>
    <customWorkbookView name="Соловьева Нина Леонардовна - Личное представление" guid="{AC3D1D09-98ED-4CFD-8F29-C435F099150F}" mergeInterval="0" personalView="1" maximized="1" windowWidth="1360" windowHeight="502" activeSheetId="2"/>
    <customWorkbookView name="Анна Александровна Блохина - Личное представление" guid="{765F1DBD-C068-444A-8B13-2916A4A9BA3F}" mergeInterval="0" personalView="1" maximized="1" windowWidth="1676" windowHeight="825" activeSheetId="2"/>
    <customWorkbookView name="Жемчюговайте Полина Александровна - Личное представление" guid="{1237AFA1-68A6-41BB-9F1F-2BB33CF3BCCE}" mergeInterval="0" personalView="1" maximized="1" windowWidth="1664" windowHeight="654" activeSheetId="2"/>
    <customWorkbookView name="Брызгало Вера Геннадьевна - Личное представление" guid="{4873CEAB-4E26-4DB7-8CA3-1027F54FA069}" mergeInterval="0" personalView="1" maximized="1" windowWidth="1916" windowHeight="714" activeSheetId="2"/>
    <customWorkbookView name="Николаева Любовь Александровна - Личное представление" guid="{E442A37A-C329-497A-93AF-778FC95E568D}" mergeInterval="0" personalView="1" maximized="1" windowWidth="1675" windowHeight="942" activeSheetId="2"/>
    <customWorkbookView name="Кравченко Ярослав Эдуардович - Личное представление" guid="{364080A9-4C50-4D56-AFFE-3F56BEE01D21}" mergeInterval="0" personalView="1" maximized="1" windowWidth="1916" windowHeight="787" activeSheetId="2"/>
    <customWorkbookView name="Елена Александровна Павлова - Личное представление" guid="{E4E24A0D-4CE4-4533-9643-8904DCA0EAAD}" mergeInterval="0" personalView="1" maximized="1" windowWidth="1898" windowHeight="816" activeSheetId="2" showComments="commIndAndComment"/>
  </customWorkbookViews>
</workbook>
</file>

<file path=xl/calcChain.xml><?xml version="1.0" encoding="utf-8"?>
<calcChain xmlns="http://schemas.openxmlformats.org/spreadsheetml/2006/main">
  <c r="H72" i="2" l="1"/>
  <c r="I72" i="2"/>
  <c r="G72" i="2"/>
  <c r="I284" i="2" l="1"/>
  <c r="H284" i="2"/>
  <c r="G284" i="2"/>
  <c r="I282" i="2"/>
  <c r="H282" i="2"/>
  <c r="G282" i="2"/>
  <c r="I281" i="2"/>
  <c r="H281" i="2"/>
  <c r="G281" i="2"/>
  <c r="I279" i="2"/>
  <c r="H279" i="2"/>
  <c r="G279" i="2"/>
  <c r="I278" i="2"/>
  <c r="H278" i="2"/>
  <c r="I277" i="2"/>
  <c r="H277" i="2"/>
  <c r="I275" i="2"/>
  <c r="H275" i="2"/>
  <c r="I272" i="2"/>
  <c r="H272" i="2"/>
  <c r="H288" i="2" s="1"/>
  <c r="G272" i="2"/>
  <c r="F272" i="2"/>
  <c r="E272" i="2"/>
  <c r="D272" i="2"/>
  <c r="G288" i="2" l="1"/>
  <c r="I288" i="2"/>
  <c r="H267" i="2"/>
  <c r="I267" i="2"/>
  <c r="G267" i="2"/>
  <c r="H37" i="2" l="1"/>
  <c r="I37" i="2"/>
  <c r="G37" i="2"/>
  <c r="H18" i="2" l="1"/>
  <c r="I18" i="2"/>
  <c r="G18" i="2"/>
  <c r="H307" i="2" l="1"/>
  <c r="I307" i="2"/>
  <c r="G307" i="2"/>
  <c r="H300" i="2" l="1"/>
  <c r="I300" i="2"/>
  <c r="G300" i="2"/>
  <c r="G139" i="2" l="1"/>
  <c r="H139" i="2" s="1"/>
  <c r="I139" i="2" s="1"/>
  <c r="H138" i="2"/>
  <c r="I138" i="2" s="1"/>
  <c r="G138" i="2"/>
  <c r="G140" i="2" l="1"/>
  <c r="I140" i="2"/>
  <c r="H140" i="2"/>
  <c r="G116" i="2"/>
  <c r="H116" i="2"/>
  <c r="I116" i="2"/>
  <c r="I136" i="2" l="1"/>
  <c r="G136" i="2"/>
  <c r="H133" i="2"/>
  <c r="H136" i="2" s="1"/>
  <c r="H190" i="2" l="1"/>
  <c r="I190" i="2"/>
  <c r="G190" i="2"/>
  <c r="A143" i="2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H55" i="2" l="1"/>
  <c r="I55" i="2"/>
  <c r="G55" i="2"/>
  <c r="H30" i="2" l="1"/>
  <c r="I30" i="2"/>
  <c r="G30" i="2"/>
  <c r="H311" i="2" l="1"/>
  <c r="I311" i="2"/>
  <c r="G311" i="2"/>
  <c r="H23" i="2" l="1"/>
  <c r="I23" i="2"/>
  <c r="G23" i="2"/>
  <c r="I125" i="2" l="1"/>
  <c r="H125" i="2"/>
  <c r="G125" i="2"/>
  <c r="I118" i="2"/>
  <c r="H118" i="2"/>
  <c r="H128" i="2" s="1"/>
  <c r="G118" i="2"/>
  <c r="G128" i="2" s="1"/>
  <c r="F118" i="2"/>
  <c r="I128" i="2" l="1"/>
  <c r="H312" i="2" l="1"/>
  <c r="G312" i="2"/>
  <c r="N243" i="1" l="1"/>
  <c r="N239" i="1"/>
  <c r="O243" i="1"/>
  <c r="P243" i="1"/>
  <c r="Q243" i="1"/>
  <c r="R243" i="1"/>
  <c r="I162" i="1"/>
  <c r="O117" i="1"/>
  <c r="P117" i="1"/>
  <c r="Q117" i="1"/>
  <c r="R117" i="1"/>
  <c r="N117" i="1"/>
  <c r="O105" i="1"/>
  <c r="P105" i="1"/>
  <c r="Q105" i="1"/>
  <c r="R105" i="1"/>
  <c r="N105" i="1"/>
  <c r="R237" i="1"/>
  <c r="R239" i="1" s="1"/>
  <c r="Q237" i="1"/>
  <c r="Q239" i="1"/>
  <c r="P237" i="1"/>
  <c r="P239" i="1" s="1"/>
  <c r="O237" i="1"/>
  <c r="O232" i="1"/>
  <c r="O223" i="1"/>
  <c r="O239" i="1"/>
  <c r="J196" i="1"/>
  <c r="Q192" i="1"/>
  <c r="R192" i="1" s="1"/>
  <c r="L192" i="1"/>
  <c r="M192" i="1" s="1"/>
  <c r="P191" i="1"/>
  <c r="O191" i="1"/>
  <c r="N191" i="1"/>
  <c r="L191" i="1"/>
  <c r="Q191" i="1" s="1"/>
  <c r="P190" i="1"/>
  <c r="O190" i="1"/>
  <c r="N190" i="1"/>
  <c r="L190" i="1"/>
  <c r="Q190" i="1" s="1"/>
  <c r="P189" i="1"/>
  <c r="O189" i="1"/>
  <c r="N189" i="1"/>
  <c r="L189" i="1"/>
  <c r="Q189" i="1" s="1"/>
  <c r="N188" i="1"/>
  <c r="K188" i="1"/>
  <c r="L188" i="1" s="1"/>
  <c r="J188" i="1"/>
  <c r="O188" i="1" s="1"/>
  <c r="P187" i="1"/>
  <c r="O187" i="1"/>
  <c r="N187" i="1"/>
  <c r="L187" i="1"/>
  <c r="Q187" i="1" s="1"/>
  <c r="N186" i="1"/>
  <c r="K186" i="1"/>
  <c r="P186" i="1" s="1"/>
  <c r="J186" i="1"/>
  <c r="O186" i="1" s="1"/>
  <c r="P185" i="1"/>
  <c r="O185" i="1"/>
  <c r="N185" i="1"/>
  <c r="L185" i="1"/>
  <c r="Q185" i="1" s="1"/>
  <c r="P184" i="1"/>
  <c r="O184" i="1"/>
  <c r="N184" i="1"/>
  <c r="L184" i="1"/>
  <c r="Q184" i="1" s="1"/>
  <c r="P183" i="1"/>
  <c r="N183" i="1"/>
  <c r="L183" i="1"/>
  <c r="M183" i="1" s="1"/>
  <c r="R183" i="1" s="1"/>
  <c r="J183" i="1"/>
  <c r="O183" i="1" s="1"/>
  <c r="P182" i="1"/>
  <c r="N182" i="1"/>
  <c r="L182" i="1"/>
  <c r="Q182" i="1" s="1"/>
  <c r="J182" i="1"/>
  <c r="O182" i="1" s="1"/>
  <c r="O181" i="1"/>
  <c r="N181" i="1"/>
  <c r="K181" i="1"/>
  <c r="P181" i="1" s="1"/>
  <c r="R179" i="1"/>
  <c r="Q179" i="1"/>
  <c r="P179" i="1"/>
  <c r="O179" i="1"/>
  <c r="N178" i="1"/>
  <c r="I178" i="1" s="1"/>
  <c r="M178" i="1"/>
  <c r="L178" i="1"/>
  <c r="K178" i="1"/>
  <c r="J178" i="1"/>
  <c r="M177" i="1"/>
  <c r="L177" i="1"/>
  <c r="K177" i="1"/>
  <c r="J177" i="1"/>
  <c r="I177" i="1"/>
  <c r="N176" i="1"/>
  <c r="N179" i="1"/>
  <c r="M176" i="1"/>
  <c r="L176" i="1"/>
  <c r="K176" i="1"/>
  <c r="J176" i="1"/>
  <c r="M175" i="1"/>
  <c r="L175" i="1"/>
  <c r="K175" i="1"/>
  <c r="J175" i="1"/>
  <c r="I175" i="1"/>
  <c r="M174" i="1"/>
  <c r="L174" i="1"/>
  <c r="K174" i="1"/>
  <c r="J174" i="1"/>
  <c r="I174" i="1"/>
  <c r="I176" i="1"/>
  <c r="Q171" i="1"/>
  <c r="R171" i="1" s="1"/>
  <c r="M171" i="1" s="1"/>
  <c r="K171" i="1"/>
  <c r="Q170" i="1"/>
  <c r="R170" i="1" s="1"/>
  <c r="M170" i="1" s="1"/>
  <c r="K170" i="1"/>
  <c r="Q169" i="1"/>
  <c r="R169" i="1" s="1"/>
  <c r="M169" i="1" s="1"/>
  <c r="K169" i="1"/>
  <c r="M168" i="1"/>
  <c r="L168" i="1"/>
  <c r="K168" i="1"/>
  <c r="I168" i="1"/>
  <c r="M167" i="1"/>
  <c r="L167" i="1"/>
  <c r="K167" i="1"/>
  <c r="I167" i="1"/>
  <c r="O166" i="1"/>
  <c r="M166" i="1"/>
  <c r="L166" i="1"/>
  <c r="K166" i="1"/>
  <c r="I166" i="1"/>
  <c r="Q165" i="1"/>
  <c r="R165" i="1" s="1"/>
  <c r="M165" i="1" s="1"/>
  <c r="K165" i="1"/>
  <c r="I165" i="1"/>
  <c r="Q164" i="1"/>
  <c r="R164" i="1" s="1"/>
  <c r="M164" i="1" s="1"/>
  <c r="N164" i="1"/>
  <c r="K164" i="1"/>
  <c r="I164" i="1"/>
  <c r="M163" i="1"/>
  <c r="L163" i="1"/>
  <c r="K163" i="1"/>
  <c r="I163" i="1"/>
  <c r="Q162" i="1"/>
  <c r="R162" i="1" s="1"/>
  <c r="M162" i="1" s="1"/>
  <c r="K162" i="1"/>
  <c r="Q161" i="1"/>
  <c r="R161" i="1" s="1"/>
  <c r="M161" i="1" s="1"/>
  <c r="K161" i="1"/>
  <c r="I161" i="1"/>
  <c r="P160" i="1"/>
  <c r="Q160" i="1"/>
  <c r="R160" i="1" s="1"/>
  <c r="M160" i="1" s="1"/>
  <c r="O160" i="1"/>
  <c r="I160" i="1"/>
  <c r="H160" i="1"/>
  <c r="G160" i="1"/>
  <c r="F160" i="1"/>
  <c r="E160" i="1"/>
  <c r="P159" i="1"/>
  <c r="Q159" i="1"/>
  <c r="R159" i="1" s="1"/>
  <c r="M159" i="1" s="1"/>
  <c r="O159" i="1"/>
  <c r="H159" i="1"/>
  <c r="G159" i="1"/>
  <c r="F159" i="1"/>
  <c r="E159" i="1"/>
  <c r="D159" i="1"/>
  <c r="I159" i="1"/>
  <c r="Q158" i="1"/>
  <c r="R158" i="1" s="1"/>
  <c r="M158" i="1" s="1"/>
  <c r="O158" i="1"/>
  <c r="K158" i="1"/>
  <c r="I158" i="1"/>
  <c r="E158" i="1"/>
  <c r="Q157" i="1"/>
  <c r="R157" i="1" s="1"/>
  <c r="M157" i="1" s="1"/>
  <c r="K157" i="1"/>
  <c r="I157" i="1"/>
  <c r="Q156" i="1"/>
  <c r="R156" i="1" s="1"/>
  <c r="M156" i="1" s="1"/>
  <c r="K156" i="1"/>
  <c r="I156" i="1"/>
  <c r="Q155" i="1"/>
  <c r="R155" i="1" s="1"/>
  <c r="M155" i="1" s="1"/>
  <c r="K155" i="1"/>
  <c r="I155" i="1"/>
  <c r="Q154" i="1"/>
  <c r="L154" i="1" s="1"/>
  <c r="K154" i="1"/>
  <c r="Q153" i="1"/>
  <c r="R153" i="1" s="1"/>
  <c r="M153" i="1" s="1"/>
  <c r="K153" i="1"/>
  <c r="I153" i="1"/>
  <c r="Q152" i="1"/>
  <c r="R152" i="1" s="1"/>
  <c r="M152" i="1" s="1"/>
  <c r="K152" i="1"/>
  <c r="I152" i="1"/>
  <c r="P151" i="1"/>
  <c r="Q151" i="1" s="1"/>
  <c r="O151" i="1"/>
  <c r="O172" i="1" s="1"/>
  <c r="N151" i="1"/>
  <c r="H151" i="1"/>
  <c r="G151" i="1"/>
  <c r="F151" i="1"/>
  <c r="E151" i="1"/>
  <c r="D151" i="1"/>
  <c r="P150" i="1"/>
  <c r="Q150" i="1"/>
  <c r="L150" i="1" s="1"/>
  <c r="O150" i="1"/>
  <c r="N150" i="1"/>
  <c r="H150" i="1"/>
  <c r="G150" i="1"/>
  <c r="F150" i="1"/>
  <c r="E150" i="1"/>
  <c r="D150" i="1"/>
  <c r="Q149" i="1"/>
  <c r="R149" i="1" s="1"/>
  <c r="M149" i="1" s="1"/>
  <c r="K149" i="1"/>
  <c r="I149" i="1"/>
  <c r="P148" i="1"/>
  <c r="Q148" i="1"/>
  <c r="R148" i="1" s="1"/>
  <c r="M148" i="1" s="1"/>
  <c r="O148" i="1"/>
  <c r="N148" i="1"/>
  <c r="I148" i="1" s="1"/>
  <c r="H148" i="1"/>
  <c r="G148" i="1"/>
  <c r="F148" i="1"/>
  <c r="E148" i="1"/>
  <c r="D148" i="1"/>
  <c r="Q147" i="1"/>
  <c r="R147" i="1" s="1"/>
  <c r="M147" i="1" s="1"/>
  <c r="K147" i="1"/>
  <c r="I147" i="1"/>
  <c r="E147" i="1"/>
  <c r="Q146" i="1"/>
  <c r="R146" i="1" s="1"/>
  <c r="M146" i="1" s="1"/>
  <c r="K146" i="1"/>
  <c r="I146" i="1"/>
  <c r="Q145" i="1"/>
  <c r="R145" i="1" s="1"/>
  <c r="M145" i="1" s="1"/>
  <c r="K145" i="1"/>
  <c r="I145" i="1"/>
  <c r="P144" i="1"/>
  <c r="Q144" i="1"/>
  <c r="R144" i="1" s="1"/>
  <c r="M144" i="1" s="1"/>
  <c r="N144" i="1"/>
  <c r="H144" i="1"/>
  <c r="G144" i="1"/>
  <c r="F144" i="1"/>
  <c r="K144" i="1" s="1"/>
  <c r="D144" i="1"/>
  <c r="Q143" i="1"/>
  <c r="L143" i="1" s="1"/>
  <c r="K143" i="1"/>
  <c r="I143" i="1"/>
  <c r="Q142" i="1"/>
  <c r="R142" i="1" s="1"/>
  <c r="M142" i="1" s="1"/>
  <c r="N142" i="1"/>
  <c r="I142" i="1" s="1"/>
  <c r="K142" i="1"/>
  <c r="Q141" i="1"/>
  <c r="R141" i="1" s="1"/>
  <c r="M141" i="1" s="1"/>
  <c r="K141" i="1"/>
  <c r="I141" i="1"/>
  <c r="P140" i="1"/>
  <c r="K140" i="1" s="1"/>
  <c r="I140" i="1"/>
  <c r="H140" i="1"/>
  <c r="G140" i="1"/>
  <c r="F140" i="1"/>
  <c r="Q139" i="1"/>
  <c r="R139" i="1" s="1"/>
  <c r="M139" i="1" s="1"/>
  <c r="K139" i="1"/>
  <c r="Q138" i="1"/>
  <c r="R138" i="1" s="1"/>
  <c r="M138" i="1" s="1"/>
  <c r="K138" i="1"/>
  <c r="I138" i="1"/>
  <c r="Q137" i="1"/>
  <c r="R137" i="1" s="1"/>
  <c r="M137" i="1" s="1"/>
  <c r="K137" i="1"/>
  <c r="P136" i="1"/>
  <c r="Q135" i="1"/>
  <c r="R135" i="1" s="1"/>
  <c r="M135" i="1" s="1"/>
  <c r="K135" i="1"/>
  <c r="Q134" i="1"/>
  <c r="R134" i="1" s="1"/>
  <c r="M134" i="1" s="1"/>
  <c r="K134" i="1"/>
  <c r="I134" i="1"/>
  <c r="P133" i="1"/>
  <c r="I133" i="1"/>
  <c r="P132" i="1"/>
  <c r="I132" i="1"/>
  <c r="P131" i="1"/>
  <c r="O131" i="1"/>
  <c r="N131" i="1"/>
  <c r="H131" i="1"/>
  <c r="G131" i="1"/>
  <c r="F131" i="1"/>
  <c r="E131" i="1"/>
  <c r="D131" i="1"/>
  <c r="I131" i="1" s="1"/>
  <c r="Q130" i="1"/>
  <c r="R130" i="1" s="1"/>
  <c r="M130" i="1" s="1"/>
  <c r="K130" i="1"/>
  <c r="I130" i="1"/>
  <c r="P129" i="1"/>
  <c r="P172" i="1" s="1"/>
  <c r="Q129" i="1"/>
  <c r="R129" i="1" s="1"/>
  <c r="M129" i="1" s="1"/>
  <c r="O129" i="1"/>
  <c r="N129" i="1"/>
  <c r="H129" i="1"/>
  <c r="G129" i="1"/>
  <c r="F129" i="1"/>
  <c r="K129" i="1"/>
  <c r="E129" i="1"/>
  <c r="D129" i="1"/>
  <c r="Q128" i="1"/>
  <c r="R128" i="1" s="1"/>
  <c r="M128" i="1" s="1"/>
  <c r="K128" i="1"/>
  <c r="I128" i="1"/>
  <c r="A128" i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Q127" i="1"/>
  <c r="R127" i="1" s="1"/>
  <c r="M127" i="1" s="1"/>
  <c r="K127" i="1"/>
  <c r="I127" i="1"/>
  <c r="N54" i="1"/>
  <c r="D87" i="1"/>
  <c r="Q85" i="1"/>
  <c r="R85" i="1" s="1"/>
  <c r="R84" i="1"/>
  <c r="P84" i="1"/>
  <c r="O84" i="1"/>
  <c r="N84" i="1"/>
  <c r="L84" i="1"/>
  <c r="Q84" i="1" s="1"/>
  <c r="R83" i="1"/>
  <c r="Q83" i="1"/>
  <c r="P83" i="1"/>
  <c r="O83" i="1"/>
  <c r="D83" i="1"/>
  <c r="N83" i="1"/>
  <c r="R77" i="1"/>
  <c r="P77" i="1"/>
  <c r="D69" i="1"/>
  <c r="D68" i="1"/>
  <c r="H66" i="1"/>
  <c r="G66" i="1"/>
  <c r="F66" i="1"/>
  <c r="D66" i="1"/>
  <c r="H64" i="1"/>
  <c r="G64" i="1"/>
  <c r="F64" i="1"/>
  <c r="D64" i="1"/>
  <c r="H63" i="1"/>
  <c r="G63" i="1"/>
  <c r="F63" i="1"/>
  <c r="D63" i="1"/>
  <c r="H61" i="1"/>
  <c r="G61" i="1"/>
  <c r="F61" i="1"/>
  <c r="D61" i="1"/>
  <c r="H60" i="1"/>
  <c r="R60" i="1"/>
  <c r="G60" i="1"/>
  <c r="Q60" i="1"/>
  <c r="F60" i="1"/>
  <c r="P60" i="1"/>
  <c r="E60" i="1"/>
  <c r="O60" i="1"/>
  <c r="D60" i="1"/>
  <c r="N60" i="1"/>
  <c r="P59" i="1"/>
  <c r="Q59" i="1" s="1"/>
  <c r="R59" i="1" s="1"/>
  <c r="H59" i="1"/>
  <c r="G59" i="1"/>
  <c r="F59" i="1"/>
  <c r="E59" i="1"/>
  <c r="D59" i="1"/>
  <c r="O58" i="1"/>
  <c r="O57" i="1" s="1"/>
  <c r="M58" i="1"/>
  <c r="R58" i="1" s="1"/>
  <c r="H58" i="1"/>
  <c r="G58" i="1"/>
  <c r="Q58" i="1"/>
  <c r="F58" i="1"/>
  <c r="P58" i="1" s="1"/>
  <c r="D58" i="1"/>
  <c r="N58" i="1"/>
  <c r="N57" i="1" s="1"/>
  <c r="M57" i="1"/>
  <c r="H57" i="1"/>
  <c r="G57" i="1"/>
  <c r="F57" i="1"/>
  <c r="D57" i="1"/>
  <c r="P56" i="1"/>
  <c r="M56" i="1"/>
  <c r="R54" i="1"/>
  <c r="Q54" i="1"/>
  <c r="P54" i="1"/>
  <c r="O54" i="1"/>
  <c r="O7" i="1"/>
  <c r="P7" i="1"/>
  <c r="Q7" i="1"/>
  <c r="R7" i="1"/>
  <c r="O8" i="1"/>
  <c r="P8" i="1"/>
  <c r="Q8" i="1"/>
  <c r="R8" i="1"/>
  <c r="O9" i="1"/>
  <c r="P9" i="1"/>
  <c r="Q9" i="1"/>
  <c r="R9" i="1"/>
  <c r="O10" i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O14" i="1"/>
  <c r="P14" i="1"/>
  <c r="Q14" i="1"/>
  <c r="R14" i="1"/>
  <c r="O15" i="1"/>
  <c r="P15" i="1"/>
  <c r="Q15" i="1"/>
  <c r="R15" i="1"/>
  <c r="O16" i="1"/>
  <c r="P16" i="1"/>
  <c r="Q16" i="1"/>
  <c r="R16" i="1"/>
  <c r="O17" i="1"/>
  <c r="P17" i="1"/>
  <c r="Q17" i="1"/>
  <c r="R17" i="1"/>
  <c r="O18" i="1"/>
  <c r="P18" i="1"/>
  <c r="Q18" i="1"/>
  <c r="R18" i="1"/>
  <c r="O19" i="1"/>
  <c r="P19" i="1"/>
  <c r="Q19" i="1"/>
  <c r="R19" i="1"/>
  <c r="O20" i="1"/>
  <c r="P20" i="1"/>
  <c r="Q20" i="1"/>
  <c r="R20" i="1"/>
  <c r="O21" i="1"/>
  <c r="P21" i="1"/>
  <c r="Q21" i="1"/>
  <c r="R21" i="1"/>
  <c r="O22" i="1"/>
  <c r="P22" i="1"/>
  <c r="Q22" i="1"/>
  <c r="R22" i="1"/>
  <c r="O23" i="1"/>
  <c r="P23" i="1"/>
  <c r="Q23" i="1"/>
  <c r="R23" i="1"/>
  <c r="O24" i="1"/>
  <c r="P24" i="1"/>
  <c r="Q24" i="1"/>
  <c r="R24" i="1"/>
  <c r="P6" i="1"/>
  <c r="Q6" i="1"/>
  <c r="R6" i="1"/>
  <c r="O6" i="1"/>
  <c r="N7" i="1"/>
  <c r="N8" i="1"/>
  <c r="N9" i="1"/>
  <c r="N10" i="1"/>
  <c r="N11" i="1"/>
  <c r="N12" i="1"/>
  <c r="N13" i="1"/>
  <c r="N14" i="1"/>
  <c r="N15" i="1"/>
  <c r="N16" i="1"/>
  <c r="N18" i="1"/>
  <c r="N19" i="1"/>
  <c r="N20" i="1"/>
  <c r="N21" i="1"/>
  <c r="N22" i="1"/>
  <c r="N6" i="1"/>
  <c r="I150" i="1"/>
  <c r="K160" i="1"/>
  <c r="I129" i="1"/>
  <c r="I151" i="1"/>
  <c r="K151" i="1"/>
  <c r="Q131" i="1"/>
  <c r="L131" i="1" s="1"/>
  <c r="K131" i="1"/>
  <c r="Q132" i="1"/>
  <c r="L132" i="1" s="1"/>
  <c r="K132" i="1"/>
  <c r="Q133" i="1"/>
  <c r="R133" i="1" s="1"/>
  <c r="M133" i="1" s="1"/>
  <c r="K133" i="1"/>
  <c r="Q136" i="1"/>
  <c r="R136" i="1" s="1"/>
  <c r="M136" i="1" s="1"/>
  <c r="K136" i="1"/>
  <c r="K148" i="1"/>
  <c r="K150" i="1"/>
  <c r="K159" i="1"/>
  <c r="N172" i="1"/>
  <c r="I144" i="1"/>
  <c r="I312" i="2" l="1"/>
  <c r="L145" i="1"/>
  <c r="M190" i="1"/>
  <c r="R190" i="1" s="1"/>
  <c r="L142" i="1"/>
  <c r="P188" i="1"/>
  <c r="P194" i="1" s="1"/>
  <c r="M182" i="1"/>
  <c r="R182" i="1" s="1"/>
  <c r="L169" i="1"/>
  <c r="M189" i="1"/>
  <c r="R189" i="1" s="1"/>
  <c r="M191" i="1"/>
  <c r="R191" i="1" s="1"/>
  <c r="L161" i="1"/>
  <c r="L128" i="1"/>
  <c r="L153" i="1"/>
  <c r="L129" i="1"/>
  <c r="L130" i="1"/>
  <c r="L137" i="1"/>
  <c r="L148" i="1"/>
  <c r="M187" i="1"/>
  <c r="R187" i="1" s="1"/>
  <c r="L155" i="1"/>
  <c r="L152" i="1"/>
  <c r="L139" i="1"/>
  <c r="L147" i="1"/>
  <c r="L170" i="1"/>
  <c r="R132" i="1"/>
  <c r="M132" i="1" s="1"/>
  <c r="O48" i="1"/>
  <c r="P57" i="1"/>
  <c r="P88" i="1" s="1"/>
  <c r="R48" i="1"/>
  <c r="L157" i="1"/>
  <c r="L181" i="1"/>
  <c r="L144" i="1"/>
  <c r="R150" i="1"/>
  <c r="M150" i="1" s="1"/>
  <c r="L149" i="1"/>
  <c r="N88" i="1"/>
  <c r="Q48" i="1"/>
  <c r="P48" i="1"/>
  <c r="N194" i="1"/>
  <c r="L127" i="1"/>
  <c r="Q188" i="1"/>
  <c r="M188" i="1"/>
  <c r="R188" i="1" s="1"/>
  <c r="L160" i="1"/>
  <c r="L146" i="1"/>
  <c r="Q183" i="1"/>
  <c r="L141" i="1"/>
  <c r="L171" i="1"/>
  <c r="R131" i="1"/>
  <c r="M131" i="1" s="1"/>
  <c r="L134" i="1"/>
  <c r="L138" i="1"/>
  <c r="L165" i="1"/>
  <c r="R143" i="1"/>
  <c r="M143" i="1" s="1"/>
  <c r="R154" i="1"/>
  <c r="M154" i="1" s="1"/>
  <c r="M185" i="1"/>
  <c r="R185" i="1" s="1"/>
  <c r="L164" i="1"/>
  <c r="L159" i="1"/>
  <c r="N48" i="1"/>
  <c r="O88" i="1"/>
  <c r="R151" i="1"/>
  <c r="M151" i="1" s="1"/>
  <c r="L151" i="1"/>
  <c r="O194" i="1"/>
  <c r="Q56" i="1"/>
  <c r="L133" i="1"/>
  <c r="L136" i="1"/>
  <c r="M184" i="1"/>
  <c r="R184" i="1" s="1"/>
  <c r="Q140" i="1"/>
  <c r="L158" i="1"/>
  <c r="L135" i="1"/>
  <c r="L156" i="1"/>
  <c r="L162" i="1"/>
  <c r="L186" i="1"/>
  <c r="M181" i="1" l="1"/>
  <c r="R181" i="1" s="1"/>
  <c r="Q181" i="1"/>
  <c r="Q186" i="1"/>
  <c r="M186" i="1"/>
  <c r="R186" i="1" s="1"/>
  <c r="R140" i="1"/>
  <c r="L140" i="1"/>
  <c r="Q172" i="1"/>
  <c r="R56" i="1"/>
  <c r="Q57" i="1"/>
  <c r="Q88" i="1" s="1"/>
  <c r="R194" i="1" l="1"/>
  <c r="Q194" i="1"/>
  <c r="M140" i="1"/>
  <c r="R172" i="1"/>
  <c r="R57" i="1"/>
  <c r="R88" i="1" s="1"/>
</calcChain>
</file>

<file path=xl/sharedStrings.xml><?xml version="1.0" encoding="utf-8"?>
<sst xmlns="http://schemas.openxmlformats.org/spreadsheetml/2006/main" count="1377" uniqueCount="506">
  <si>
    <t>ИТОГО</t>
  </si>
  <si>
    <t>№ п/п</t>
  </si>
  <si>
    <t>Наименование государственной услуги (работы)</t>
  </si>
  <si>
    <t>Единицы измерения</t>
  </si>
  <si>
    <t>Объем оказания государственной услуги (работы)</t>
  </si>
  <si>
    <t>Объем средств, запланированный на обеспечение государственной услуги (работы), в рамках субсидии на выполнение государственного задания, тыс. рублей</t>
  </si>
  <si>
    <t>2020 год (план)</t>
  </si>
  <si>
    <t>2021 год (план)</t>
  </si>
  <si>
    <t>х</t>
  </si>
  <si>
    <t>2018 год (отчет)</t>
  </si>
  <si>
    <t>2019 год (ожидаемое исполнение)</t>
  </si>
  <si>
    <t>2022 год (план)</t>
  </si>
  <si>
    <t>Комитет по физической культуре и спорту Ленинградской области</t>
  </si>
  <si>
    <t>Спортивная подготовка по олимпийским видам спорта. Плавание. Этап высшего спортивного мастерства</t>
  </si>
  <si>
    <t>чел.</t>
  </si>
  <si>
    <t>Организация мероприятий по подготовке спортивных сборных команд</t>
  </si>
  <si>
    <t>шт.</t>
  </si>
  <si>
    <t>Обеспечение участия спортивных сборных команд в официальных спортивных мероприятиях. Всероссийские</t>
  </si>
  <si>
    <t>Обеспечение участия спортивных сборных команд в официальных спортивных мероприятиях. Межрегиональные</t>
  </si>
  <si>
    <t>Организация и проведение официальных физкультурных (физкультурно-оздоровительных) мероприятий. Региональные</t>
  </si>
  <si>
    <t>Организация и проведение официальных спортивных мероприятий. Всероссийские</t>
  </si>
  <si>
    <t>Организация и проведение официальных спортивных мероприятий. Межрегиональные</t>
  </si>
  <si>
    <t>Организация и проведение официальных спортивных мероприятий. Региональные</t>
  </si>
  <si>
    <t>Спортивная подготовка по олимпийским видам спорта. Волейбол. Этап совершенствования спортивного мастерства</t>
  </si>
  <si>
    <t>Спортивная подготовка по олимпийским видам спорта. Водное поло. Этап высшего спортивного мастерства</t>
  </si>
  <si>
    <t>Спортивная подготовка по олимпийским видам спорта. Водное поло. Этап совершенствования спортивного мастерства</t>
  </si>
  <si>
    <t>Спортивная подготовка по олимпийским видам спорта. Водное поло. Тренировочный этап (этап спортивной специализации)</t>
  </si>
  <si>
    <t>Спортивная подготовка по олимпийским видам спорта. Синхронное плавание. Тренировочный этап (этап спортивной специализации)</t>
  </si>
  <si>
    <t>Спортивная подготовка по олимпийским видам спорта. Синхронное плавание. Этап совершенствования спортивного мастерства</t>
  </si>
  <si>
    <t>Спортивная подготовка по олимпийским видам спорта. Синхронное плавание. Этап высшего спортивного мастерства</t>
  </si>
  <si>
    <t>Спортивная подготовка по олимпийским видам спорта. Плавание. Этап совершенствования спортивного мастерства</t>
  </si>
  <si>
    <t>Спортивная подготовка по олимпийским видам спорта. Волейбол. Тренировочный этап (этап спортивной специализации)</t>
  </si>
  <si>
    <t>Проведение тестирования выполнения нормативов в рамках Всероссийского физкультурно-спортивного комплекса "Готов к труду и обороне" (ГТО)</t>
  </si>
  <si>
    <t>Обеспечение доступа к объектам спорта</t>
  </si>
  <si>
    <t>Обеспечение участия сборных команд Ленинградской области в официальных физкультурных (физкультурно-оздоровительных) мероприятиях. Межрегиональные</t>
  </si>
  <si>
    <t>Спортивная подготовка по олимпийским видам спорта. Фристайл. Этап высшего спортивного мастерства</t>
  </si>
  <si>
    <t>Спортивная подготовка по олимпийским видам спорта. Фристайл. Тренировочный этап (этап спортивной специализации)</t>
  </si>
  <si>
    <t>Спортивная подготовка по олимпийским видам спорта. Горнолыжный спорт. Этап высшего спортивного мастерства</t>
  </si>
  <si>
    <t>Спортивная подготовка по олимпийским видам спорта. Горнолыжный спорт. Этап совершенствования спортивного мастерства</t>
  </si>
  <si>
    <t>Спортивная подготовка по олимпийским видам спорта. Горнолыжный спорт. Тренировочный этап (этап спортивной специализации)</t>
  </si>
  <si>
    <t>Спортивная подготовка по олимпийским видам спорта. Горнолыжный спорт. Этап начальной подготовки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</si>
  <si>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</si>
  <si>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Обеспечение участия спортивных сборных команд в официальных спортивных мероприятиях. Международные</t>
  </si>
  <si>
    <t>Организация и проведение официальных спортивных мероприятий. Международные</t>
  </si>
  <si>
    <t>Организация и проведение официальных спортивных мероприятий. Межмуниципальные</t>
  </si>
  <si>
    <t>Организация и проведение официальных физкультурных (физкультурно-оздоровительных) мероприятий. Всероссийские</t>
  </si>
  <si>
    <t>Организация мероприятий по научно-методическому обеспечению спортивных сборных команд</t>
  </si>
  <si>
    <t>Организация и обеспечение координации деятельности физкультурно-спортивных организаций по подготовке спортивного резерва</t>
  </si>
  <si>
    <t>Обеспечение участия сборных команд Ленинградской области в официальных физкультурных (физкультурно-оздоровительных) мероприятиях. Всероссийские</t>
  </si>
  <si>
    <t>Пропаганда физической культуры, спорта и здорового образа жизни</t>
  </si>
  <si>
    <t>Обеспечение подготовки команд Ленинградской области к участию в межрегиональных, всероссийских и международных физкультурных мероприятиях</t>
  </si>
  <si>
    <t>Спортивная подготовка по олимпийским видам спорта. Фристайл. Этап совершенствования спортивного мастерства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</si>
  <si>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ГТО). Региональные</t>
  </si>
  <si>
    <t>Обеспечение участия сборных команд Ленинградской области в официальных физкультурных (физкультурно-оздоровительных) мероприятиях. Международные</t>
  </si>
  <si>
    <t>Спортивная подготовка по олимпийским видам спорта. Футбол. Тренировочный этап (этап спортивной специализации)</t>
  </si>
  <si>
    <t>Спортивная подготовка по олимпийским видам спорта. Футбол. Этап начальной подготовки</t>
  </si>
  <si>
    <t>час./год</t>
  </si>
  <si>
    <t>ед.</t>
  </si>
  <si>
    <t>-</t>
  </si>
  <si>
    <t>Норматив затрат на выполнение государственной услуги (работы)*, рублей</t>
  </si>
  <si>
    <t>Комитет по молодежной политике Ленинградской области</t>
  </si>
  <si>
    <t>мероприятия, единиц</t>
  </si>
  <si>
    <t>Комитет общего и профессионального образования Ленинградской области</t>
  </si>
  <si>
    <t>Реализация образовательных программ среднего профессионального образования- программ подготовки квалифицированных рабочих, служащих</t>
  </si>
  <si>
    <t>Реализация образовательных программ среднего профессионального образования- программ подготовки специалистов среднего звена (очное обучение)</t>
  </si>
  <si>
    <t>Реализация образовательных программ среднего профессионального образования- программ подготовки специалистов среднего звена (заочное обучение)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</si>
  <si>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</si>
  <si>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чел/час</t>
  </si>
  <si>
    <t>Реализация  образовательных программ высшего образования – программ бакалавриата (очное обучение)</t>
  </si>
  <si>
    <t>Реализация  образовательных программ высшего образования – программ бакалавриата (очно-заочное обучение)</t>
  </si>
  <si>
    <t>Реализация  образовательных программ высшего образования – программ бакалавриата (заочное обучение)</t>
  </si>
  <si>
    <t>Реализация  образовательных программ высшего образования – программ магистратура (очное обучение)</t>
  </si>
  <si>
    <t xml:space="preserve"> Реализация  образовательных программ высшего образования – программ магистратуры (заочное)</t>
  </si>
  <si>
    <t>Реализация образовательных программ высшего образования – программ подготовки научно-педагогических кадров в аспирантуре (очное обучение)</t>
  </si>
  <si>
    <t xml:space="preserve"> Реализация образовательных программ высшего образования – программ подготовки научно-педагогических кадров в аспирантуре (заочное)</t>
  </si>
  <si>
    <t xml:space="preserve">Реализация дополнительных профессиональных программ профессиональной переподготовки </t>
  </si>
  <si>
    <t xml:space="preserve">Реализация дополнительных профессиональных образовательных программ повышения квалификации  </t>
  </si>
  <si>
    <t xml:space="preserve"> 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</si>
  <si>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чел/дни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</si>
  <si>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</si>
  <si>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</si>
  <si>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ребенка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</si>
  <si>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</si>
  <si>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 xml:space="preserve">Психолого-педагогическое консультирование обучающихся, их родителей (законных представителей) и педагогических работников        </t>
  </si>
  <si>
    <t xml:space="preserve">Психолого-медико-педагогическое обследование детей                                       </t>
  </si>
  <si>
    <t xml:space="preserve">Коррекционно-развивающая, компенсирующая и логопедическая помощь обучающимся  </t>
  </si>
  <si>
    <t>Реализация дополнительных общеразвивающих программ                                                       (очная)</t>
  </si>
  <si>
    <t>Организация проведения общественно-значимых мероприятий в сфере образования, науки и молодежной политики (работа)</t>
  </si>
  <si>
    <t>кол-во мероприятий</t>
  </si>
  <si>
    <t>Методическое обеспечение образовательной деятельности (работа) (постоянно)</t>
  </si>
  <si>
    <t>Методическое обеспечение образовательной деятельности (работа) (в плановой форме)</t>
  </si>
  <si>
    <t xml:space="preserve">Организация отдыха детей и молодежи </t>
  </si>
  <si>
    <t>чел.-дн.</t>
  </si>
  <si>
    <t>Реализация основных общеобразовательных программ начального общего образования</t>
  </si>
  <si>
    <t>Ведение региональной информационной системы обеспечения проведения ГИА обучающихся, освоивших основные образовательные программы основного общего и среднего общего образования, организационно-технологическое сопровождение проведения ГИА (Оценка качества образования) работа (работа)</t>
  </si>
  <si>
    <t>Информационно-технологическое обеспечение управления системой образования (работа)</t>
  </si>
  <si>
    <t>Организация и проведение олимпиад, конкурсов, мероприятий направленных на выявление и развитие у обучающихся интеллектуальных и творческих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 (работа)</t>
  </si>
  <si>
    <t>Комитет по культуре Ленинградской облсти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</si>
  <si>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(Народное художественное творчество (по видам) - очная)</t>
  </si>
  <si>
    <t>человек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</si>
  <si>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(Социально-культурная деятельность ( по видам) - очная)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</si>
  <si>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(Социально-культурная деятельность ( по видам) - заочная)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</si>
  <si>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(Музыкальное искусство эстрады (по видам) - очная)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</si>
  <si>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(Инструментальное исполнительство (по видам инструментов) - очная)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</si>
  <si>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(Декоративно-прикладное искусство и народные промыслы (по видам) - очная)</t>
  </si>
  <si>
    <t>Реализация дополнительных профессиональных образовательных программ повышения квалификации (очная)</t>
  </si>
  <si>
    <t>Показ спектаклей (театральных постановок) (драма:стационар, большая форма)</t>
  </si>
  <si>
    <t>Показ спектаклей (театральных постановок)                                                               (драма: на выезде, большая форма)</t>
  </si>
  <si>
    <t>Показ спектаклей (театральных постановок)                                                                  (драма: на гастролях, большая форма)</t>
  </si>
  <si>
    <t>Показ спектаклей (театральных постановок) (драма:стационар, малая форма)</t>
  </si>
  <si>
    <t>Показ спектаклей (театральных постановок)                                                                  (драма: на выезде, малая форма)</t>
  </si>
  <si>
    <t>Показ спектаклей (театральных постановок)                                                                  (драма: на гастролях, малая форма)</t>
  </si>
  <si>
    <t>Показ концертов и концертных программ (на выезде)</t>
  </si>
  <si>
    <t>Показ концертов и концертных программ (на гастролях)</t>
  </si>
  <si>
    <t>Оказание туристско-информационных услуг (в стационарных условиях)</t>
  </si>
  <si>
    <t>Количество посещений, ед.</t>
  </si>
  <si>
    <t>Количество туров, ед.</t>
  </si>
  <si>
    <t>Оказание туристско-информационных услуг (вне стационара)</t>
  </si>
  <si>
    <t>Формирование, ведение баз данных, в том числе интернет-ресурсов в сфере туризма</t>
  </si>
  <si>
    <t>Количество работ, ед.</t>
  </si>
  <si>
    <t>Количество посетителей интернет-сайта, ед.</t>
  </si>
  <si>
    <t>Работы по продвижению туристских возможностей Ленинградской области на внутреннем и международном рынках (Проведение событийных и специализированных мероприятий по продвижению туристского потенциала Ленинградской области, направленных на привлечение туристов в Ленинградскую область)</t>
  </si>
  <si>
    <t>Количество мероприятий, ед.</t>
  </si>
  <si>
    <t>Работы по продвижению туристских возможностей Ленинградской области на внутреннем и международном рынках (Проведение конгрессно-выставочных мероприятий, организация участия представителей сферы туризма Ленинградской области в конгрессно-выставочных мероприятиях, проводимых за пределами области)</t>
  </si>
  <si>
    <t>Работы по продвижению туристских возможностей Ленинградской области на внутреннем и международном рынках (Разработка и изготовление информационных материалов о туристском потенциале Ленинградской области с использованием туристского бренда Ленинградской области (изготовление печатных материалов: карт, буклетов, справочников, путеводителей и т.п.), в том числе на иностранных языках)</t>
  </si>
  <si>
    <t>Количество информационных материалов, ед.</t>
  </si>
  <si>
    <t>Работы по продвижению туристских возможностей Ленинградской области на внутреннем и международном рынках (Разработка и изготовление презентационных материалов и сувенирной продукции с использованием туристского бренда Ленинградской области для вручения участникам и гостям мероприятий, проводимых на территории Ленинградской области, субъектов Российской Федерации и за рубежом, в том числе на иностранных языках)</t>
  </si>
  <si>
    <t>Количество наименований, ед.</t>
  </si>
  <si>
    <t>чел.×час</t>
  </si>
  <si>
    <t>15427.50</t>
  </si>
  <si>
    <t>Подготовка руководителей и специалистов спасательной службы (пункт 1.11.5 регионального перечня)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</si>
  <si>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</si>
  <si>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услуга</t>
  </si>
  <si>
    <t>Скорая, в том числе специализированная, медицинская помощь (за исключением санитарно-авиационной эвакуации)</t>
  </si>
  <si>
    <t>вызов</t>
  </si>
  <si>
    <t>Скорая, в том числе специализированная медицинская помощь (включая медицинскую эвакуацию) включенная в базовую программу обязательного медицинского страхования</t>
  </si>
  <si>
    <t>Первичная специализированная медицинская помощь, по профилю дерматовенерология (в части венерологии), не включенная в базовую программу обязательного медицинского страхования, амбулаторная помощь</t>
  </si>
  <si>
    <t>посещение</t>
  </si>
  <si>
    <t>Первичная медико-санитарная помощь, включенная в базовую программу ОМС, оказываемая в экстренной форме при внезапных острых заболеваниях, состояниях, обострении хронических заболеваний, представляющих угрозу жизни пациента, граждан, не застрахованных по ОМС</t>
  </si>
  <si>
    <t>Первичная специализированная медицинская помощь, по профилю  психиатрия- наркология, в части наркологии, амбулаторная помощь</t>
  </si>
  <si>
    <t>Первичная специализированная медицинская помощь, по профилю  фтизиатрия, амбулаторная помощь</t>
  </si>
  <si>
    <t>Первичная специализированная медицинская помощь, по профилю инфекционные болезни (в части синдрома приобретенного иммунодефицита (ВИЧ-инфекции), амбулаторная помощь</t>
  </si>
  <si>
    <t>Первичная медико-санитарная помощь, в части профилактики (лечебная физкультура и спортивная медицина)</t>
  </si>
  <si>
    <t>Первичная медико-санитарная помощь, в части профилактики (лечебная физкультура и спортивная медицина с УМО)</t>
  </si>
  <si>
    <t>Первичная медико-санитарная помощь, в части диагностики и лечения по профилю психотерапия</t>
  </si>
  <si>
    <t>Первичная медико-санитарная помощь, (Прием (осмотр, консультация) врача-генетика )</t>
  </si>
  <si>
    <t xml:space="preserve">Первичная специализированная медико-санитарная помощь в амбулаторных условиях - посещения выездной патронажной службы паллиативной медицинской помощи детям  </t>
  </si>
  <si>
    <t>Первичная специализированная медико-санитарная помощь в амбулаторных условиях - посещения выездной патронажной службы паллиативной медицинской помощи</t>
  </si>
  <si>
    <t>Паллиативная медицинская помощь в амбулаторных условиях</t>
  </si>
  <si>
    <t>Первичная специализированная медицинская помощь, по профилю дерматовенерология (в части венерологии) в условиях дневного стационара.</t>
  </si>
  <si>
    <t>случай лечения</t>
  </si>
  <si>
    <t>Первичная специализированная помощь в условиях дневного стационара по профилю: фтизиатрия</t>
  </si>
  <si>
    <t>Первичная специализированная помощь в условиях дневного стационара по профилю: психотерапия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</si>
  <si>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онкология, в условиях стационара </t>
  </si>
  <si>
    <t>случай госпитализации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</si>
  <si>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акушерство и гинекология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</si>
  <si>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комбустиология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</si>
  <si>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абдоминальная хирургия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</si>
  <si>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нейрохирургия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</si>
  <si>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офтальмология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</si>
  <si>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сердечно-сосудистая хирургия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</si>
  <si>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травматология и ортопедия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</si>
  <si>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трансплантация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</si>
  <si>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эндокринология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</si>
  <si>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челюстно-лицевая хирургия 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</si>
  <si>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педиатрия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</si>
  <si>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урология в условиях стационара 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</si>
  <si>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дерматовенерология (в части венерологии) в условиях  стационара.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</si>
  <si>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психиатрия, в условиях стационара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</si>
  <si>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наркология, в условиях стационара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</si>
  <si>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Психотерапия в условиях стационара</t>
  </si>
  <si>
    <t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</si>
  <si>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 профилю инфекционные болезни (в части синдрома приобретенного иммунодефицита (ВИЧ-инфекции), в условиях стационара</t>
  </si>
  <si>
    <t xml:space="preserve">Санаторно-курортное лечение в условиях стационара: Туберкулез </t>
  </si>
  <si>
    <t>койко-день</t>
  </si>
  <si>
    <t>Паллиативная медицинская помощь в условиях стационара</t>
  </si>
  <si>
    <t>Экспертиза профессиональной пригодности и экспертиза связи заболевания с профессией</t>
  </si>
  <si>
    <t>экспертиза</t>
  </si>
  <si>
    <t>Изъятие, хранение и транспортировка органов и (или) тканей человека для трансплантации (работа)</t>
  </si>
  <si>
    <t>изъятие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</si>
  <si>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</t>
  </si>
  <si>
    <t>число обучающихся</t>
  </si>
  <si>
    <t>Реализация дополнительных профессиональных образовательных программ- программ повышения квалификации</t>
  </si>
  <si>
    <t>Медико-генетические консультации</t>
  </si>
  <si>
    <t>Медико-генетические лаборатории</t>
  </si>
  <si>
    <t>Профессиональное обучение и 
дополнительное профессиональное образование отдельных категорий граждан</t>
  </si>
  <si>
    <t>Профессиональное обучение и 
дополнительное профессиональное образование отдельных категорий граждан (охрана труда)</t>
  </si>
  <si>
    <t>Профессиональное обучение и 
дополнительное профессиональное образование отдельных категорий граждан (обучение граждан предпенсионного возраста)</t>
  </si>
  <si>
    <t xml:space="preserve">Реализация дополнительных профессиональных программ повышения квалификации </t>
  </si>
  <si>
    <t>чел./час</t>
  </si>
  <si>
    <t>Организация профессиональной
 ориентации граждан в целях выбора 
сферы деятельности (профессии),
 трудоустройства, 
прохождения профессионального
 обучения и получения
 дополнительного профессионального образования</t>
  </si>
  <si>
    <t>Организация опережающего
 профессионального обучения
 или стажировки в целях приобретения
 новых профессиональных навыков
 работников, находящихся под угрозой 
увольнения, работников предприятий, 
реализующих инвестиционные проекты</t>
  </si>
  <si>
    <t>Психологическая поддержка безработных граждан</t>
  </si>
  <si>
    <t>Организация и проведение мероприятий по профилактике производственного травматизма с использованием мобильного комплекса по охране труда</t>
  </si>
  <si>
    <t>Организация и проведение конгресса по охране труда</t>
  </si>
  <si>
    <t>Организация и проведение мероприятий по вопросам условий и охраны труда, профилактики производственного травматизма и профессиональной заболеваемости, направленных на сохранение и укрепление здоровья работающих граждан;</t>
  </si>
  <si>
    <t>Организация мероприятия по проведению областного конкурса профессионального мастерства «Лучший работник центра занятости населения Ленинградской области»</t>
  </si>
  <si>
    <t>Организация и проведение ежегодного смотра-конкурса "Лучшая организация работы в области охраны труда»</t>
  </si>
  <si>
    <t>Организация и проведение ежегодного смотра-конкурса "Лучший специалист по охране труда"</t>
  </si>
  <si>
    <t>Организация проживания граждан в период обучения в другой местности по направлению органов службы занятости населения</t>
  </si>
  <si>
    <t>число чел.-суток, ед</t>
  </si>
  <si>
    <t>Организация медицинского освидетельствования граждан, направленных на профессиональное обучение органами службы занятости населения.</t>
  </si>
  <si>
    <t>число осмотров, ед.</t>
  </si>
  <si>
    <t>Комитет по охране, контролю и регулированию использования объектов животного мира Ленинградской области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</si>
  <si>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 (Проведение подкормочных мероприятий)</t>
  </si>
  <si>
    <t>работа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</si>
  <si>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 (Заготовка и хранение кормов)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</si>
  <si>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 (Сохранение и поддержание видового разнообразия объектов животного мира, включая охотничьи ресурсы, на территории общедоступных охотничьих угодий, ООПТ и иных природных территориях)</t>
  </si>
  <si>
    <t>Проведение ветеринарно-санитарных мероприятий</t>
  </si>
  <si>
    <t>кв.м</t>
  </si>
  <si>
    <t>Оформление и выдача ветеринарных сопроводительных документов</t>
  </si>
  <si>
    <t>Проведение учёта и контроля за состоянием скотомогильников, включая сибиреязвенные</t>
  </si>
  <si>
    <t xml:space="preserve">Государственная работа
«Осуществление осмотра подконтрольных грузов и проведение дезинфекции транспортных средств»
</t>
  </si>
  <si>
    <t>Объем средств без норматива (постоянные затраты на содержание недвижимого имущества и на уплату налогов):</t>
  </si>
  <si>
    <t>Ленинградский областной комитет по управления государственным имуществом</t>
  </si>
  <si>
    <t>Представление в федеральный орган исполнительной власти, осуществляющий государственный кадастровый учет и государственную регистрацию прав, информации, необходимой для ведения Единого государственного реестра недвижимости (в электронном виде)</t>
  </si>
  <si>
    <t>Гб
(с 2019 - Единица)</t>
  </si>
  <si>
    <t>Представление в федеральный орган исполнительной власти, осуществляющий государственный кадастровый учет и государственную регистрацию прав, информации о данных рынка недвижимости (в электронном виде)</t>
  </si>
  <si>
    <t>Единица</t>
  </si>
  <si>
    <t>Представление копий хранящихся отчетов и документов, сформированных в ходе определения кадастровой стоимости, а также документов и материалов, которые использовались при определении уполномоченным государственным органам по их требованию (в бумажном виде)</t>
  </si>
  <si>
    <t>Представление копий хранящихся отчетов и документов, сформированных в ходе определения кадастровой стоимости, а также документов и материалов, которые использовались при определении уполномоченным государственным органам по их требованию (в электронном виде)</t>
  </si>
  <si>
    <t>Предоставление разъяснений, связанных с определением кадастровой стоимости (в электронном виде)</t>
  </si>
  <si>
    <t>Предоставление разъяснений, связанных с определением кадастровой стоимости (в бумажном виде)</t>
  </si>
  <si>
    <t>Рассмотрение обращений, связанных с наличием ошибок, допущенных при определении кадастровой стоимости (в электронном виде)</t>
  </si>
  <si>
    <t>Рассмотрение обращений, связанных с наличием ошибок, допущенных при определении кадастровой стоимости (в бумажном виде)</t>
  </si>
  <si>
    <t>Хранение копий отчетов и документов, формируемых в ходе определения кадастровой стоимости (в бумажном виде)</t>
  </si>
  <si>
    <t>Хранение копий отчетов и документов, формируемых в ходе определения кадастровой стоимости  (в электронном виде)</t>
  </si>
  <si>
    <t>Гб</t>
  </si>
  <si>
    <t>Хранение копий документов и материалов, использованных при определении кадастровой стоимости (в электронном виде)</t>
  </si>
  <si>
    <t>Хранение копий документов и материалов, использованных при определении кадастровой стоимости (на бумажном носителе)</t>
  </si>
  <si>
    <t>штука</t>
  </si>
  <si>
    <t>Определение кадастровой стоимости объектов недвижимости в соответствии со статьей 14 Федерального закона от 03.07.2016 № 237-ФЗ «О государственной кадастровой оценке» (в бумажном виде)</t>
  </si>
  <si>
    <t>Определение кадастровой стоимости объектов недвижимости в соответствии со статьей 14 Федерального закона от 03.07.2016 № 237-ФЗ «О государственной кадастровой оценке» (в электронном виде)</t>
  </si>
  <si>
    <t>Сбор, обработка, систематизация и накопление информации при определении кадастровой стоимости (в бумажном виде)</t>
  </si>
  <si>
    <t>Сбор, обработка, систематизация и накопление информации при определении кадастровой стоимости (в электронном виде)</t>
  </si>
  <si>
    <t>Определение кадастровой стоимости объектов недвижимости в соответствии со статьей 16 Федерального закона от 03.07.2016 № 237-ФЗ «О государственной кадастровой оценке» (в бумажном виде)</t>
  </si>
  <si>
    <t>Определение кадастровой стоимости объектов недвижимости в соответствии со статьей 16 Федерального закона от 03.07.2016 № 237-ФЗ «О государственной кадастровой оценке» (в электронном виде)</t>
  </si>
  <si>
    <t>Расходы на уплату налогов, в качестве объекта налогообложения по которым признается имущество государственного учреждения</t>
  </si>
  <si>
    <t>Комитет государственного заказа Ленинградской области</t>
  </si>
  <si>
    <t>Методическое и организационное обеспечение поддержки пользователей АИСГЗ ЛО по вопросам обеспечения, эксплуатации, сопровождения и развития региональной информационной системы "Государственный заказ Ленинградской области"</t>
  </si>
  <si>
    <t>- проведение консультаций</t>
  </si>
  <si>
    <t>- проведение семинаров</t>
  </si>
  <si>
    <t>- проведение рекомендаций</t>
  </si>
  <si>
    <t>8.1</t>
  </si>
  <si>
    <t>8.2</t>
  </si>
  <si>
    <t>8.3</t>
  </si>
  <si>
    <t>8.4</t>
  </si>
  <si>
    <t>8.5</t>
  </si>
  <si>
    <t>8.6</t>
  </si>
  <si>
    <t xml:space="preserve">Организация и проведение мероприятий </t>
  </si>
  <si>
    <t>Комитет по социальной защите населения Ленинградской области</t>
  </si>
  <si>
    <t>Государственные учреждения, предоставляющие социальные услуги получателям, в стационарной форме социального обслуживания с постоянным проживанием</t>
  </si>
  <si>
    <t>Государственные учреждения, предоставляющие социальные услуги получателям
в стационарной форме социального обслуживания с временным проживанием, в полустационарной форме социального обслуживания и на дому</t>
  </si>
  <si>
    <t>Комитет экономического развития и инвестиционной деятельности Ленинградской области</t>
  </si>
  <si>
    <r>
      <t xml:space="preserve">Проведение плановых диагностических мероприятий на особо опасные болезни животных (птиц) и болезни общие для человека и животных (птиц) - </t>
    </r>
    <r>
      <rPr>
        <sz val="11"/>
        <color indexed="8"/>
        <rFont val="Times New Roman"/>
        <family val="1"/>
        <charset val="204"/>
      </rPr>
      <t>туберкулинизация</t>
    </r>
  </si>
  <si>
    <r>
      <t xml:space="preserve">Проведение плановых диагностических мероприятий на особо опасные болезни животных (птиц) и болезни общие для человека и животных (птиц) - </t>
    </r>
    <r>
      <rPr>
        <sz val="11"/>
        <color indexed="8"/>
        <rFont val="Times New Roman"/>
        <family val="1"/>
        <charset val="204"/>
      </rPr>
      <t>отбор проб</t>
    </r>
  </si>
  <si>
    <r>
      <t xml:space="preserve">Проведение </t>
    </r>
    <r>
      <rPr>
        <sz val="11"/>
        <color indexed="8"/>
        <rFont val="Times New Roman"/>
        <family val="1"/>
        <charset val="204"/>
      </rPr>
      <t>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  </r>
  </si>
  <si>
    <r>
      <t xml:space="preserve">Проведение </t>
    </r>
    <r>
      <rPr>
        <sz val="11"/>
        <color indexed="8"/>
        <rFont val="Times New Roman"/>
        <family val="1"/>
        <charset val="204"/>
      </rPr>
      <t xml:space="preserve">плановых профилактических вакцинаций животных (птиц) против особо опасных болезней животных и болезней, общих для человека и животных (птиц)
</t>
    </r>
  </si>
  <si>
    <r>
      <t xml:space="preserve">Проведение </t>
    </r>
    <r>
      <rPr>
        <sz val="11"/>
        <color indexed="8"/>
        <rFont val="Times New Roman"/>
        <family val="1"/>
        <charset val="204"/>
      </rPr>
      <t>ветеринарных организационных работ, включая учет и ответственное хранение лекарственных средств и препаратов для ветеринарного применения</t>
    </r>
  </si>
  <si>
    <r>
      <t xml:space="preserve">Проведение </t>
    </r>
    <r>
      <rPr>
        <sz val="11"/>
        <color indexed="8"/>
        <rFont val="Times New Roman"/>
        <family val="1"/>
        <charset val="204"/>
      </rPr>
      <t>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t>
    </r>
  </si>
  <si>
    <r>
      <t xml:space="preserve"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 - </t>
    </r>
    <r>
      <rPr>
        <sz val="11"/>
        <color indexed="8"/>
        <rFont val="Times New Roman"/>
        <family val="1"/>
        <charset val="204"/>
      </rPr>
      <t>проведение исследований</t>
    </r>
  </si>
  <si>
    <r>
      <t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 -</t>
    </r>
    <r>
      <rPr>
        <sz val="11"/>
        <color indexed="8"/>
        <rFont val="Times New Roman"/>
        <family val="1"/>
        <charset val="204"/>
      </rPr>
      <t xml:space="preserve"> отбор проб</t>
    </r>
  </si>
  <si>
    <t>Подготовка руководителей и специалистов противопожарной службы (пункт 1.11.3 регионального перечня)</t>
  </si>
  <si>
    <t>Подготовка должностных лиц и специалистов гражданской обороны и  РСЧС органов исполнительной власти Ленинградской области, органов местного самоуправления и организаций (пункт 1.11.1 регионального перечня)</t>
  </si>
  <si>
    <t>Комитет Ленинградской области по туризму</t>
  </si>
  <si>
    <t>Комитет правопорядка и безопасности Ленинградской области</t>
  </si>
  <si>
    <t>Комитет по здравоохранению Ленинградской области</t>
  </si>
  <si>
    <t>Управление ветеринарии Ленинградской области</t>
  </si>
  <si>
    <t>Комитет по труду и занятости населения Ленинградской области</t>
  </si>
  <si>
    <r>
      <t>2019 год</t>
    </r>
    <r>
      <rPr>
        <sz val="11"/>
        <color indexed="8"/>
        <rFont val="Times New Roman"/>
        <family val="1"/>
        <charset val="204"/>
      </rPr>
      <t xml:space="preserve"> (ожидаемое исполнение)</t>
    </r>
  </si>
  <si>
    <t>Экологическое просвещение населения</t>
  </si>
  <si>
    <t>Организация и проведение работ по учету, анализу численности объектов животного мира, отнесенных к объектам охоты, а также редких и находящихся под угрозой исчезновения объектов животного мира (Учет объектов животного мира, отнесенных к объектам охоты и среды их обитания)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</si>
  <si>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 опасном положении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</si>
  <si>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</si>
  <si>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</si>
  <si>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
подростков и молодежи</t>
  </si>
  <si>
    <t xml:space="preserve">   Сведения о планируемых на очередной финансовый год и плановый период объемах оказания государственных услуг (работ) государственными бюджетными и государственными автономными учреждениями Ленинградской области, а также о планируемых объемах субсидий на их финансовое обеспечение в сравнении с ожидаемым исполнением за текущий 2019 финансовый год и исполнением за отчетный 2018 финансовый год</t>
  </si>
  <si>
    <t xml:space="preserve">ИТОГО </t>
  </si>
  <si>
    <t>Комитет по культуре и туризму Ленинградской области</t>
  </si>
  <si>
    <t>Управление делами Правительства Ленинградской области</t>
  </si>
  <si>
    <t>Комитет по сохранению культурного наследия Ленинградской области</t>
  </si>
  <si>
    <t>Комитет градостроительной политики Ленинградской области</t>
  </si>
  <si>
    <t>2023 год (первоначально утв.значения)</t>
  </si>
  <si>
    <t>2023 год (уточненные плановые значения)</t>
  </si>
  <si>
    <r>
      <t>2023 год</t>
    </r>
    <r>
      <rPr>
        <b/>
        <sz val="11"/>
        <color indexed="8"/>
        <rFont val="Times New Roman"/>
        <family val="1"/>
        <charset val="204"/>
      </rPr>
      <t xml:space="preserve"> (фактические значения)</t>
    </r>
  </si>
  <si>
    <t>2023 год (фактические значения)</t>
  </si>
  <si>
    <t>Профессиональное обучение и 
дополнительное профессиональное образование отдельных категорий граждан, в т.ч.</t>
  </si>
  <si>
    <t>Профессиональное обучение и 
дополнительное профессиональное образование отдельных категорий граждан (безработные граждане )</t>
  </si>
  <si>
    <t>Профессиональное обучение и 
дополнительное профессиональное образование отдельных категорий граждан (незанятые участники подпрограммы «Оказание содействия добровольному переселению в Ленинградскую область соотечественников, проживающих за рубежом» государственной программы Ленинградской области «Содействие занятости населения Ленинградской области» и члены их семей)</t>
  </si>
  <si>
    <t>Профессиональное обучение и 
дополнительное профессиональное образование отдельных категорий граждан (опережающее профессиональное обучение работников, находящихся под риском увольнения, работающих в режиме неполного рабочего времени, временной приостановки работ, предоставления отпусков без сохранения заработной платы, а также работников организаций (предприятий), осуществляющих реструктуризацию и (или) модернизацию производства в соответствии с инвестиционными проектами, направленными на импортозамещение и (или) повышение производительности труда)</t>
  </si>
  <si>
    <t>Профессиональное обучение и 
дополнительное профессиональное образование отдельных категорий граждан (лица, отбывающие наказание в местах лишения свободы)</t>
  </si>
  <si>
    <t>чел</t>
  </si>
  <si>
    <t>1.</t>
  </si>
  <si>
    <t>1.1.</t>
  </si>
  <si>
    <t>1.2.</t>
  </si>
  <si>
    <t>1.3.</t>
  </si>
  <si>
    <t>1.4.</t>
  </si>
  <si>
    <t>2.</t>
  </si>
  <si>
    <t>3.</t>
  </si>
  <si>
    <t>4.1.</t>
  </si>
  <si>
    <t>4.2.</t>
  </si>
  <si>
    <t>Подготовка руководителей и специалистов противопожарной службы 853000.Р.50.0.11.30002002</t>
  </si>
  <si>
    <t>чел. х час</t>
  </si>
  <si>
    <t>Подготовка руководителей и специалистов спасательной службы 853000.Р.50.0.11.50002002</t>
  </si>
  <si>
    <t>Подготовка должностных лиц и специалистов органов исполнительной власти Ленинградской области, руководителей и работников подведомственных им учреждений в области гражданской обороны и защиты от чрезвычайных ситуаций 854200.Р.50.0.1.110004003</t>
  </si>
  <si>
    <t>Размещение в государственной информационной системе градостроительной деятельности Ленинградской области (далее - ГИСОГД ЛО) сведений, документов и материалов, предусмотренных частью 1.2 статьи 57 Градостроительного кодекса Российской Федерации</t>
  </si>
  <si>
    <t>Количество сведений, документов, материалов, размещенных в ГИСОГД ЛО</t>
  </si>
  <si>
    <t>Распределение прав доступа пользователей к сведениям, документам и материалам, содержащимся в ГИСОГД ЛО</t>
  </si>
  <si>
    <t>Количество пользователей, в отношении которых осуществлены обеспечение доступа, разграничение прав доступа, ограничение доступа, прекращение доступа</t>
  </si>
  <si>
    <t>Представление в федеральный орган исполнительной власти, осуществляющий государственный кадастровый учет и государственную регистрацию прав, имеющейся в распоряжении бюджетного учреждения информации, необходимой для ведения Единого государственного реестра недвижимости</t>
  </si>
  <si>
    <t>гб
(с 2019 - единица)</t>
  </si>
  <si>
    <t>единица</t>
  </si>
  <si>
    <t>Предоставление разъяснений, связанных с определением кадастровой стоимости объектов недвижимости (в электронном виде)</t>
  </si>
  <si>
    <t>Предоставление разъяснений, связанных с определением кадастровой стоимости объектов недвижимости (в бумажном виде)</t>
  </si>
  <si>
    <t>шт</t>
  </si>
  <si>
    <t>гб</t>
  </si>
  <si>
    <t>Определение кадастровой стоимости объектов недвижимости в соответствии со статьей 14 Федерального закона от 03.07.2016 № 237-ФЗ «О государственной кадастровой оценке» 
(в электронном виде)</t>
  </si>
  <si>
    <t>Рассмотрение заявлений об установлении кадастровой стоимости объекта недвижимости в размере его рыночной стоимости в соответствии со статьей 22.1 Федерального закона от 03.07.2016 № 237-ФЗ «О государственной кадастровой оценке» 
(в электронном виде)</t>
  </si>
  <si>
    <t>Рассмотрение заявлений об установлении кадастровой стоимости объекта недвижимости в размере его рыночной стоимости в соответствии со статьей 22.1 Федерального закона от 03.07.2016 № 237-ФЗ «О государственной кадастровой оценке»
 (в бумажном виде)</t>
  </si>
  <si>
    <t>Методическое и организационное обеспечение поддержки пользователей АИСГЗ ЛО по вопросам обеспечения, сопровождения и развития региональной информационной системы "Государственный заказ Ленинградской области"</t>
  </si>
  <si>
    <t>- количество проведенных консультаций</t>
  </si>
  <si>
    <t>- количество проведеных семинаров</t>
  </si>
  <si>
    <t>- количество методических рекомендаций</t>
  </si>
  <si>
    <t>- количество пользователей, обеспеченных возможностью осуществления ЮЗЭД</t>
  </si>
  <si>
    <r>
      <t xml:space="preserve">Проведение плановых диагностических мероприятий на особо опасные болезни животных (птиц) и болезни общие для человека и животных (птиц) - </t>
    </r>
    <r>
      <rPr>
        <sz val="12"/>
        <color indexed="8"/>
        <rFont val="Times New Roman"/>
        <family val="1"/>
        <charset val="204"/>
      </rPr>
      <t>туберкулинизация</t>
    </r>
  </si>
  <si>
    <r>
      <t xml:space="preserve">Проведение плановых диагностических мероприятий на особо опасные болезни животных (птиц) и болезни общие для человека и животных (птиц) - </t>
    </r>
    <r>
      <rPr>
        <sz val="12"/>
        <color indexed="8"/>
        <rFont val="Times New Roman"/>
        <family val="1"/>
        <charset val="204"/>
      </rPr>
      <t>отбор проб</t>
    </r>
  </si>
  <si>
    <r>
      <t xml:space="preserve">Проведение </t>
    </r>
    <r>
      <rPr>
        <sz val="12"/>
        <color indexed="8"/>
        <rFont val="Times New Roman"/>
        <family val="1"/>
        <charset val="204"/>
      </rPr>
      <t>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  </r>
  </si>
  <si>
    <r>
      <t xml:space="preserve">Проведение </t>
    </r>
    <r>
      <rPr>
        <sz val="12"/>
        <color indexed="8"/>
        <rFont val="Times New Roman"/>
        <family val="1"/>
        <charset val="204"/>
      </rPr>
      <t>плановых профилактических вакцинаций животных (птиц) против особо опасных болезней животных и болезней, общих для человека и животных (птиц)</t>
    </r>
  </si>
  <si>
    <r>
      <t xml:space="preserve">Проведение </t>
    </r>
    <r>
      <rPr>
        <sz val="12"/>
        <color indexed="8"/>
        <rFont val="Times New Roman"/>
        <family val="1"/>
        <charset val="204"/>
      </rPr>
      <t>ветеринарных организационных работ, включая учет и ответственное хранение лекарственных средств и препаратов для ветеринарного применения</t>
    </r>
  </si>
  <si>
    <r>
      <t xml:space="preserve">Проведение </t>
    </r>
    <r>
      <rPr>
        <sz val="12"/>
        <color indexed="8"/>
        <rFont val="Times New Roman"/>
        <family val="1"/>
        <charset val="204"/>
      </rPr>
      <t>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t>
    </r>
  </si>
  <si>
    <r>
      <t xml:space="preserve"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 - </t>
    </r>
    <r>
      <rPr>
        <sz val="12"/>
        <color indexed="8"/>
        <rFont val="Times New Roman"/>
        <family val="1"/>
        <charset val="204"/>
      </rPr>
      <t>проведение исследований</t>
    </r>
  </si>
  <si>
    <r>
      <t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 -</t>
    </r>
    <r>
      <rPr>
        <sz val="12"/>
        <color indexed="8"/>
        <rFont val="Times New Roman"/>
        <family val="1"/>
        <charset val="204"/>
      </rPr>
      <t xml:space="preserve"> отбор проб</t>
    </r>
  </si>
  <si>
    <t>Государственная работа «Осуществление осмотра подконтрольных грузов и проведение дезинфекции транспортных средств»</t>
  </si>
  <si>
    <t>Государственная работа 
« Профилактика бешенства среди животных без владельца»</t>
  </si>
  <si>
    <t>Отбор проб воды и их транспортировка для гидрохимических исследований</t>
  </si>
  <si>
    <t>Лабораторные исследования воды на гидрохимические показатели</t>
  </si>
  <si>
    <t>Скорая, в том числе специализированная медицинская помощь (включая медицинскую эвакуацию), включенная в базовую программу обязательного медицинского страхования</t>
  </si>
  <si>
    <t>обращение</t>
  </si>
  <si>
    <t>Первичная специализированная медицинская помощь, по профилю психиатрия-наркология, в части наркологии, амбулаторная помощь</t>
  </si>
  <si>
    <t>Первичная специализированная медицинская помощь, по профилю фтизиатрия, амбулаторная помощь</t>
  </si>
  <si>
    <t>Первичная специализированная медицинская помощь, по профилю дерматовенерология (в части венерологии) в условиях дневного стационара</t>
  </si>
  <si>
    <t>Высокотехнологичная медицинская помощь, не включенная в базовую программу обязательного медицинского страхования, по профилю акушерство и гинекология в условиях стационара</t>
  </si>
  <si>
    <t>Высокотехнологичная медицинская помощь, не включенная в базовую программу обязательного медицинского страхования, по профилю комбустиология в условиях стационара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</si>
  <si>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хирургия в условиях стационара </t>
  </si>
  <si>
    <t>Высокотехнологичная медицинская помощь, не включенная в базовую программу обязательного медицинского страхования, по профилю нейрохирургия в условиях стационара</t>
  </si>
  <si>
    <t>Высокотехнологичная медицинская помощь, не включенная в базовую программу обязательного медицинского страхования, по профилю офтальмология в условиях стационара</t>
  </si>
  <si>
    <t>Высокотехнологичная медицинская помощь, не включенная в базовую программу обязательного медицинского страхования, по профилю сердечно-сосудистая хирургия в условиях стационара</t>
  </si>
  <si>
    <t>Высокотехнологичная медицинская помощь, не включенная в базовую программу обязательного медицинского страхования, по профилю травматология и ортопедия в условиях стационара</t>
  </si>
  <si>
    <t>Высокотехнологичная медицинская помощь, не включенная в базовую программу обязательного медицинского страхования, трансплантация в условиях стационара</t>
  </si>
  <si>
    <t>Высокотехнологичная медицинская помощь, не включенная в базовую программу обязательного медицинского страхования, по профилю педиатрия в условиях стационара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</si>
  <si>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дерматовенерология (в части венерологии) в условиях  стационара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</si>
  <si>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общего, среднего образования</t>
  </si>
  <si>
    <t>Реализация дополнительных профессиональных образовательных программ-программ повышения квалификации</t>
  </si>
  <si>
    <t>Медико-генетические лаборатории (пренатальный скрининг, неонатальный скрининг, химико-токсикологические исследования, серологические исследования)</t>
  </si>
  <si>
    <t>исследование</t>
  </si>
  <si>
    <t>Координация деятельности службы медицины катастроф Ленинградской области и обеспечение готовности ее сил и средств к ликвидации медико-санитарных последствий чрезвычайных ситуаций на территории Ленинградской области</t>
  </si>
  <si>
    <t>Прием, хранение, доставка и передача медицинским и аптечным организациям Ленинградской области лекарственных средств, включая наркотические и психотропные средства, медицинские изделия, специализированные продукты лечебного питания, и осуществление организационных мероприятий по обеспечению льготных категорий граждан лекарственными средствами, включая наркотические и психотропные средства, медицинскими изделиями, специализированными продуктами лечебного питания</t>
  </si>
  <si>
    <t>Организация и проведение мероприятий по патриотическому воспитанию молодежи</t>
  </si>
  <si>
    <t>ед/чел</t>
  </si>
  <si>
    <t>126/29780</t>
  </si>
  <si>
    <t>124/34750</t>
  </si>
  <si>
    <t>124/35173</t>
  </si>
  <si>
    <t>Организация и проведение мероприятий по увековечению памяти погибших при защите Отечества</t>
  </si>
  <si>
    <t>ед</t>
  </si>
  <si>
    <t>Организация и проведение мероприятий по профилактике асоциального поведения 
в подростковой и молодежной среде, формированию здорового образа жизни, пропаганде семейных ценностей и содействию занятости молодежи</t>
  </si>
  <si>
    <t>62/3710</t>
  </si>
  <si>
    <t>62/4440</t>
  </si>
  <si>
    <t>62/4604</t>
  </si>
  <si>
    <t>Организация и проведение мероприятий по созданию условий и возможностей для успешной социализации и самореализации молодежи</t>
  </si>
  <si>
    <t>287/13185</t>
  </si>
  <si>
    <t>287/13065</t>
  </si>
  <si>
    <t>342/30603</t>
  </si>
  <si>
    <t>Организация и проведение мероприятий по содействию участию молодежи в добровольческой (волонтерской) деятельности</t>
  </si>
  <si>
    <t>148/17052</t>
  </si>
  <si>
    <t>163/23637</t>
  </si>
  <si>
    <t>Организация и проведение мероприятий по содействию осуществлению международных 
и межрегиональных связей в сфере молодежной политики</t>
  </si>
  <si>
    <t>5/100</t>
  </si>
  <si>
    <t>5/111</t>
  </si>
  <si>
    <t>Обеспечению доступа к  объектам спорта</t>
  </si>
  <si>
    <t>час.</t>
  </si>
  <si>
    <t>Организация и проведение официальных физкультурных мероприятий среди населения на территории Ленинградской области, включая мероприятия по реализации всероссийского физкультурно-спортивного комплекса "Готов к труду и обороне" (ГТО)</t>
  </si>
  <si>
    <t xml:space="preserve">Организация и проведение официальных физкультурных мероприятий на территории Ленинградской области среди обучающихся общеобразовательных организаций, образовательных организаций высшего образования, включая физкультурные мероприятия среди инвалидов и лиц </t>
  </si>
  <si>
    <t>Организация и проведение официальных спортивных соревнований на территории Ленинградской области</t>
  </si>
  <si>
    <t>Поддержка спортивных организаций, осуществляющих подготовку спортивного резерва по базовым видам спорта для сборных команд Российской Федерации</t>
  </si>
  <si>
    <t>Обеспечение тренировочной и соревновательной деятельности спортивного резерва(включая материально-техническое обеспечение</t>
  </si>
  <si>
    <t>Реализация дополнительных образовательных программ спортивной подготовки по олимпийским видам спорта: футбол</t>
  </si>
  <si>
    <t>Организация и проведение официальных физкультурных (физкультурно-оздоровительных) мероприятий</t>
  </si>
  <si>
    <t>Организация и проведение официальных спортивных мероприятий</t>
  </si>
  <si>
    <t>Организация и проведение официальных физкультурных мероприятий среди населения на территории Ленинградской области, включая мероприятия по реализации всероссийского физкультурно-спортивного комплекса "Готов к труду и обороне" (ГТО) региональные</t>
  </si>
  <si>
    <t>"Организация и проведение официальных спортивных соревнований на территории Ленинградской области"- всероссийские</t>
  </si>
  <si>
    <t>"Организация и проведение официальных спортивных соревнований на территории Ленинградской области"- межрегиональные</t>
  </si>
  <si>
    <t>"Организация и проведение официальных спортивных соревнований на территории Ленинградской области"- региональные</t>
  </si>
  <si>
    <t>Обеспечение подготовки и участия спортивных сборных команд Ленинградской области в спортивных соревнованиях (включая материально-техническое обеспечение)" ТМ</t>
  </si>
  <si>
    <t>Организация мероприятий по подготовке спортивных сборных команд (включая МТО)</t>
  </si>
  <si>
    <t>Организация и обеспечение подготовки спортивного резерва по горнолыжному спорту</t>
  </si>
  <si>
    <t>Организация и обеспечение подготовки спортивного резерва по фристайлу</t>
  </si>
  <si>
    <t>Организация и обеспечение экспериментальной и инновационной деятельности в области физической культуры и спорта</t>
  </si>
  <si>
    <t>2/10/12</t>
  </si>
  <si>
    <t>2/8/7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</si>
  <si>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услуг, Организация предоставления государственных, муниципальных и иных услуг в многофункциональных центрах предоставления государственных и муниципальных услуг</t>
  </si>
  <si>
    <t>количество обращений, ед.</t>
  </si>
  <si>
    <t>Предоставление государственной услуги по государственной регистрации отдельных актов гражданского состояния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</si>
  <si>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</si>
  <si>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</si>
  <si>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Публичный показ музейных предметов, музейных коллекций (удалённо через интернет)</t>
  </si>
  <si>
    <t>Создание экспозиций (выставок) музеев, организация выездных выставок</t>
  </si>
  <si>
    <t>выставок (экспозиций)</t>
  </si>
  <si>
    <t>Формирование, учет, изучение, обеспечение физического сохранения и безопасности музейных предметов, музейных коллекций</t>
  </si>
  <si>
    <t>музейных предметов</t>
  </si>
  <si>
    <t>Ведение Государсвенного музейного каталога  Музейного фонда Российской Федерации</t>
  </si>
  <si>
    <t>Организация и проведение культурно-массовых мероприятий</t>
  </si>
  <si>
    <t>количество мероприятий</t>
  </si>
  <si>
    <t>Введение в широкий оборот исследовательских и научно-популярных материалов по историко-культурному наследию</t>
  </si>
  <si>
    <t>Количество конференций</t>
  </si>
  <si>
    <t>Обеспечение целостности историко-архитектурного комплекса, исторической среды и ландшафтов</t>
  </si>
  <si>
    <t>площадь территории (кв.м.)</t>
  </si>
  <si>
    <t>количество объектов</t>
  </si>
  <si>
    <t>Осуществление автотранспортного обслуживания Администрации Ленинградской области</t>
  </si>
  <si>
    <t>Осуществление автотранспортного обслуживания Законодательного собрания Ленинградской области</t>
  </si>
  <si>
    <t>Осуществление автотранспортного обслуживания государственных органов Ленинградской области</t>
  </si>
  <si>
    <t>Обеспечение автомобильным транспортом сенаторов Российской Федерации для осуществления ими своих полномочий на территории Ленинградской области</t>
  </si>
  <si>
    <t>Обеспечение автомобильным транспортом депутатов Государственной Думы Федерального Собрания Российской Федерации для осуществления ими своих полномочий на территории Ленинградской области</t>
  </si>
  <si>
    <t>машино-час</t>
  </si>
  <si>
    <t>процент (%)</t>
  </si>
  <si>
    <t>Реализация адаптированных основных образовательных программ профессионального обучения в нетиповом учреждении</t>
  </si>
  <si>
    <t>чел.-час</t>
  </si>
  <si>
    <t>Организация проживания инвалидов и граждан с ограниченными возможностями здоровья (ОВЗ) 
в период обучения в нетиповом учреждении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</si>
  <si>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</si>
  <si>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консультация</t>
  </si>
  <si>
    <t>Оказание информационно-справочной поддержки гражданам по вопросам инвалидности, социальной защиты, медико-социальной экспертизы и реабилитации, абилитации инвалидов</t>
  </si>
  <si>
    <t xml:space="preserve"> Рассмотрение обращений потребителей, информирование и консультирование потребителей об их правах и необходимых действиях по защите этих прав</t>
  </si>
  <si>
    <t>Сопровождение  трудоустройства инвалидов и граждан с ограниченными возможностями здоровья, получивших образовательную услугу  в нетиповом учреждении</t>
  </si>
  <si>
    <t>Организация сопровождаемого проживания инвалидов и лиц с ограниченными возможностями здоровья, получивших образовательную услугу в нетиповом учреждении</t>
  </si>
  <si>
    <t>1</t>
  </si>
  <si>
    <t>Реализация образовательных программ высшего образования - программ специалитета (очное обучение)</t>
  </si>
  <si>
    <t>Реализация  образовательных программ высшего образования – программ магистратура (очно-заочное обучение)</t>
  </si>
  <si>
    <t>Реализация дополнительных общеразвивающих программ  (очная)</t>
  </si>
  <si>
    <t>Реализация дополнительных общеразвивающих программ  (заочная)</t>
  </si>
  <si>
    <t>Содержание детей в государственных бюджетных учреждениях дополнительного образования при реализации дополнительных количество человек х на кол-во дней в год</t>
  </si>
  <si>
    <t>Реализация адаптированной образовательной программы дошкольного образования обучающиеся с ограниченными возможностями здоровья. Очная форма, группа полного дня</t>
  </si>
  <si>
    <t>Реализация адаптированной образовательной программы дошкольного образования обучающиеся с ограниченными возможностями здоровья. Очная форма, группа круглосуточного пребывания</t>
  </si>
  <si>
    <t>Присмотр и уход. Очная форма, группа полного дня</t>
  </si>
  <si>
    <t>Присмотр и уход. Очная форма, группа круглосуточного пребывания</t>
  </si>
  <si>
    <t>Реализация основных общеобразовательных программ дошкольного образования,группа полного дня</t>
  </si>
  <si>
    <t>Реализация основных общеобразовательных программ дошкольного образования. Адаптированная основная общеобразовательная программа, группа круглосуточного пербывания</t>
  </si>
  <si>
    <t xml:space="preserve">Начальное общее образование 
Содержание детей </t>
  </si>
  <si>
    <t xml:space="preserve">Основное общее образование 
Содержание детей </t>
  </si>
  <si>
    <t>Основное общее образование 
Содержание детей,проходящих обучение в специальных учебно-воспитательных учреждениях закрытого типа</t>
  </si>
  <si>
    <t xml:space="preserve">Среднее общее образование. Содержание детей  </t>
  </si>
  <si>
    <t xml:space="preserve">Начальное общее образование. Реализация адаптированных основных общеобразовательных программ. Нуждающиеся в длительном лечении. Очная форма. </t>
  </si>
  <si>
    <t xml:space="preserve">Начальное общее образование. Реализация адаптированных основных общеобразовательных программ. Проходящие обучение по состоянию здоровья на дому (больница). Очно-заочная форма. </t>
  </si>
  <si>
    <t>Начальное общее образование. Реализация адаптированных основных общеобразовательных программ.Обучающиеся с ограниченными возможностями здоровья (умственная отсталость). Очно-заочная форма</t>
  </si>
  <si>
    <t>Начальное общее образование. Реализация адаптированных основных общеобразовательных программ. Обучающиеся с ограниченными возможностями здоровья (умственная отсталость). Очная форма</t>
  </si>
  <si>
    <t xml:space="preserve">Начальное общее образование. Реализация адаптированных основных общеобразовательных программ. Обучающиеся с задержкой психического развития. Очно-заочная форма. </t>
  </si>
  <si>
    <t xml:space="preserve">Начальное общее образование. Реализация адаптированных основных общеобразовательных программ. Обучающиеся с задержкой психического развития. Очная форма. </t>
  </si>
  <si>
    <t xml:space="preserve">Начальное общее образование. Реализация адаптированных основных общеобразовательных программ. Обучающиеся с растройством аутистического спектра. Очно-заочная форма. </t>
  </si>
  <si>
    <t>Начальное общее образование. Реализация адаптированных основных общеобразовательных программ. Обучающиеся с ограниченными возможностями здоровья (дети с нарушением опорно-двигательного аппарата). Очная форма</t>
  </si>
  <si>
    <t xml:space="preserve">Начальное общее образование. Реализация адаптированных основных общеобразовательных программ. Слабовидящие. Очная форма. </t>
  </si>
  <si>
    <t xml:space="preserve">Начальное общее образование. Реализация адаптированных основных общеобразовательных программ. Слабослышащие и позднооглохшие. Очная форма. </t>
  </si>
  <si>
    <t xml:space="preserve">Начальное общее образование. Реализация адаптированных основных общеобразовательных программ. Тяжелые нарушения речи. Очная форма. </t>
  </si>
  <si>
    <t xml:space="preserve">Начальное общее образование. Реализация адаптированных основных общеобразовательных программ. Обучающиеся с ограниченными возможностями здоровья (нарушения опрорно-двигательного апарата).  Дети-инвалиды и инвалиды. Очная форма. </t>
  </si>
  <si>
    <t>Начальное общее образование. Реализация адаптированных основных общеобразовательных программ. Обучающиеся с ограниченными возможностями здоровья ((нарушения опрорно-двигательного апарата). Дети-инвалиды и инвалиды. Очно-заочная форма.</t>
  </si>
  <si>
    <t xml:space="preserve">Начальное общее образование. Реализация адаптированных основных общеобразовательных программ. Обучающиеся с ограниченными возможностями здоровья (умственная отсталость). Очная форма. Дети-инвалиды и инвалиды с нарушением опорно-двигательного аппарата, слепые и слабовидящие </t>
  </si>
  <si>
    <t xml:space="preserve">Начальное общее образование. Реализация адаптированных основных общеобразовательных программ. Обучающиеся с ограниченными возможностями здоровья (умственная отсталость). Очно-заочная форма. Дети-инвалиды и инвалиды с нарушением опорно-двигательного аппарата, слепые и слабовидящие </t>
  </si>
  <si>
    <t>Реализация основных общеобразовательных программ основного общего образования. Проходящие обучение в специальных учебно-воспитательных учреждениях закрытого типа. Очная форма.</t>
  </si>
  <si>
    <t>Реализация основных общеобразовательных программ основного общего образования. Обучающиеся с ограниченными возможностями здоровья (ОВЗ). Проходящие обучение в специальных учебно-воспитательных учреждениях закрытого типа. Очная форма.</t>
  </si>
  <si>
    <t>Реализация адаптированных основных общеобразовательных программ. Обучающиеся с ограниченными возможностями здоровья (ОВЗ). Проходящие обучение в специальных учебно-воспитательных учреждениях закрытого типа. Очная форма.</t>
  </si>
  <si>
    <t>Реализация основных общеобразовательных программ  основного общего образования. Нуждающиеся в длительном лечении. Очная форма.</t>
  </si>
  <si>
    <t xml:space="preserve">Основное общее образование. Реализация адаптированных основных общеобразовательных программ. Проходящие обучение по состоянию здоровья на дому (больница). Очно-заочная форма. </t>
  </si>
  <si>
    <t>Основное общее образование. Реализация адаптированных основных общеобразовательных программ . Обучающиеся с ограниченными возможностями здоровья. Очная форма</t>
  </si>
  <si>
    <t>Основное общее образование. Реализация адаптированных основных общеобразовательных программ. Обучающиеся с ограниченными возможностями здоровья. Дети-инвалиды и инвалиды с нарушением опорно-двигательного аппарата, слепые и слабовидящие. Очно-заочная форма.</t>
  </si>
  <si>
    <t xml:space="preserve">Основное общее образование Реализация адаптированных основных общеобразовательных программ.  Дети-инвалиды и инвалиды  . Очная форма </t>
  </si>
  <si>
    <t xml:space="preserve">Основное общее образование Реализация адаптированных основных общеобразовательных программ для детей с ОВЗ. Очно-заочная форма  </t>
  </si>
  <si>
    <t xml:space="preserve">Основное общее образование Реализация адаптированных основных общеобразовательных программ для детей с умственной отсталостью. Очная форма  </t>
  </si>
  <si>
    <t xml:space="preserve">Основное общее образование Реализация адаптированных основных общеобразовательных программ. Дети-инвалиды и инвалиды .  Очная форма. </t>
  </si>
  <si>
    <t xml:space="preserve">Основное общее образование Реализация адаптированных основных общеобразовательных программ. Дети-инвалиды и инвалиды .  Очно-заочная форма. </t>
  </si>
  <si>
    <t xml:space="preserve">Реализация основных общеобразовательных программ среднего общего образования. Проходящие обучение по состоянию здоровья на дому. Очно-заочная форма </t>
  </si>
  <si>
    <t>Среднее общее образование. Реализация адаптированных основных общеобразовательных программ.Обучающиеся с ограниченными возможностями здоровья. Очная форма</t>
  </si>
  <si>
    <t>Среднее общее образование. Реализация адаптированных основных общеобразовательных программ. Дети-инвалиды и инвалиды. Очная форма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</si>
  <si>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</si>
  <si>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 xml:space="preserve"> Реализация дополнительных профессиональных программ повышения квалификации</t>
  </si>
  <si>
    <t>Чел-час</t>
  </si>
  <si>
    <t>Организация и проведение культурно - массовых мероприятий</t>
  </si>
  <si>
    <t>Обеспечение сохранности и целостности историко-архитектурного комплекса, исторической среды и ландшафтов</t>
  </si>
  <si>
    <t>м2</t>
  </si>
  <si>
    <t>Организация работы клубных формирований и формирований самодеятельного народного творчества на базе учреждений культуры</t>
  </si>
  <si>
    <t xml:space="preserve"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 </t>
  </si>
  <si>
    <t>Показ концертов и концертных программ</t>
  </si>
  <si>
    <t>число зрителей</t>
  </si>
  <si>
    <t>Создание концертов и концертных программ</t>
  </si>
  <si>
    <t>Показ (организация показа) спектаклей (театральных постановок)</t>
  </si>
  <si>
    <t>Создание спектаклей</t>
  </si>
  <si>
    <t>Показ кинофильмов</t>
  </si>
  <si>
    <t>Оказание туристско-информационных услуг в стационарных условиях</t>
  </si>
  <si>
    <t>Оказание туристско-информационных услуг вне стационарных условий</t>
  </si>
  <si>
    <t>Работы по продвижению туристских возможностей Ленинградской области на внутреннем и международном рынках (праздники, фестивали,туристские походы и слеты)</t>
  </si>
  <si>
    <t>Работы по продвижению туристских возможностей Ленинградской области на внутреннем и международном рынках (проведение конгрессно-выставочных мероприятий)</t>
  </si>
  <si>
    <t>Работы по продвижению туристских возможностей Ленинградской области на внутреннем и международном рынках (изготовление печатных материалов: карт, буклетов, справочников, путеводителей и т.п.)</t>
  </si>
  <si>
    <t>Работы по продвижению туристских возможностей Ленинградской области на внутреннем и международном рынках (презентационные материалы и сувенирная продукция)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</si>
  <si>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
(Проведение опытных работ и сбор информации по утвержденным программам опытных работ «Снижение миграционной активности и мониторинг группировок кабана». Апробация с целью дальнейшего внедрения на территории Ленинградской области, формирования экспериментальной и методологической основы ведения охотничьего хозяйства)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</si>
  <si>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
(Передержка серой куропатки в целях выпуска в природу Ленинградской области)</t>
  </si>
  <si>
    <t>Экологическое просвещение населения
(Работа по организации выставки собак охотничьих пород в Ленинградской области, с проведением информационных семинаров по содержанию собак охотничьих пород, тренинги)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</si>
  <si>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
(Работа по сохранению объектов животного мира на территории Ленинградской области)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</si>
  <si>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
(Трофейное дело  в Ленинградской области)</t>
  </si>
  <si>
    <t>Приложение 20</t>
  </si>
  <si>
    <t xml:space="preserve">Сведения о выполнении государственными бюджетными и автономными учреждениями Ленинградской области государственных заданий на оказание государственных услуг (выполнение работ), а также об объемах субсидий на финансовое обеспечение выполнения государственных заданий на оказание соответствующих услуг (выполнения работ) за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</si>
</sst>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#,##0.00\ _₽"/>
    <numFmt numFmtId="167" formatCode="0.0"/>
    <numFmt numFmtId="168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8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7">
    <xf numFmtId="0" fontId="0" fillId="0" borderId="0" xfId="0"/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6" fontId="9" fillId="0" borderId="0" xfId="0" applyNumberFormat="1" applyFont="1" applyFill="1"/>
    <xf numFmtId="4" fontId="9" fillId="0" borderId="0" xfId="0" applyNumberFormat="1" applyFont="1" applyFill="1"/>
    <xf numFmtId="166" fontId="9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4" fontId="1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4" fontId="1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2" fontId="10" fillId="0" borderId="1" xfId="4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 wrapText="1"/>
    </xf>
    <xf numFmtId="0" fontId="1" fillId="0" borderId="2" xfId="3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7" fillId="0" borderId="0" xfId="0" applyFont="1" applyFill="1"/>
    <xf numFmtId="4" fontId="14" fillId="0" borderId="0" xfId="0" applyNumberFormat="1" applyFont="1" applyFill="1"/>
    <xf numFmtId="0" fontId="15" fillId="0" borderId="5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left" wrapText="1"/>
    </xf>
    <xf numFmtId="165" fontId="9" fillId="0" borderId="1" xfId="0" applyNumberFormat="1" applyFont="1" applyFill="1" applyBorder="1" applyAlignment="1">
      <alignment horizontal="left" vertical="center" wrapText="1"/>
    </xf>
    <xf numFmtId="165" fontId="10" fillId="0" borderId="1" xfId="4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65" fontId="0" fillId="0" borderId="1" xfId="0" applyNumberFormat="1" applyFont="1" applyFill="1" applyBorder="1"/>
    <xf numFmtId="165" fontId="10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wrapText="1"/>
    </xf>
    <xf numFmtId="165" fontId="12" fillId="0" borderId="1" xfId="0" applyNumberFormat="1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3" fontId="13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wrapText="1"/>
    </xf>
    <xf numFmtId="165" fontId="12" fillId="2" borderId="1" xfId="0" applyNumberFormat="1" applyFont="1" applyFill="1" applyBorder="1" applyAlignment="1">
      <alignment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wrapText="1"/>
    </xf>
    <xf numFmtId="165" fontId="10" fillId="3" borderId="1" xfId="0" applyNumberFormat="1" applyFont="1" applyFill="1" applyBorder="1" applyAlignment="1">
      <alignment horizont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/>
    </xf>
    <xf numFmtId="165" fontId="1" fillId="0" borderId="8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1" xfId="4" applyNumberFormat="1" applyFont="1" applyFill="1" applyBorder="1" applyAlignment="1">
      <alignment horizontal="center" vertical="center" wrapText="1"/>
    </xf>
    <xf numFmtId="168" fontId="18" fillId="2" borderId="1" xfId="0" applyNumberFormat="1" applyFont="1" applyFill="1" applyBorder="1" applyAlignment="1">
      <alignment horizontal="center" vertical="center" wrapText="1"/>
    </xf>
    <xf numFmtId="168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4" fontId="9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/>
    </xf>
    <xf numFmtId="0" fontId="0" fillId="0" borderId="0" xfId="0" applyFill="1"/>
    <xf numFmtId="165" fontId="1" fillId="2" borderId="1" xfId="0" applyNumberFormat="1" applyFont="1" applyFill="1" applyBorder="1" applyAlignment="1">
      <alignment vertical="center" wrapText="1"/>
    </xf>
    <xf numFmtId="165" fontId="1" fillId="2" borderId="1" xfId="3" applyNumberFormat="1" applyFont="1" applyFill="1" applyBorder="1" applyAlignment="1">
      <alignment vertical="center" wrapText="1"/>
    </xf>
    <xf numFmtId="165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3" fontId="9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5" fontId="2" fillId="5" borderId="1" xfId="0" applyNumberFormat="1" applyFont="1" applyFill="1" applyBorder="1" applyAlignment="1">
      <alignment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left" vertical="center" wrapText="1"/>
    </xf>
    <xf numFmtId="165" fontId="10" fillId="0" borderId="6" xfId="0" applyNumberFormat="1" applyFont="1" applyFill="1" applyBorder="1" applyAlignment="1">
      <alignment horizontal="left" vertical="center" wrapText="1"/>
    </xf>
    <xf numFmtId="165" fontId="10" fillId="0" borderId="7" xfId="0" applyNumberFormat="1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left" wrapText="1"/>
    </xf>
    <xf numFmtId="165" fontId="12" fillId="0" borderId="6" xfId="0" applyNumberFormat="1" applyFont="1" applyFill="1" applyBorder="1" applyAlignment="1">
      <alignment horizontal="left" wrapText="1"/>
    </xf>
    <xf numFmtId="165" fontId="12" fillId="0" borderId="7" xfId="0" applyNumberFormat="1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left" vertical="center" wrapText="1"/>
    </xf>
    <xf numFmtId="165" fontId="3" fillId="0" borderId="6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left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65" fontId="13" fillId="0" borderId="1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4" xfId="2"/>
    <cellStyle name="Обычный_по кодам" xfId="3"/>
    <cellStyle name="Финансовый" xfId="4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3"/>
  <sheetViews>
    <sheetView zoomScale="90" zoomScaleNormal="90" workbookViewId="0">
      <pane ySplit="239" topLeftCell="A240" activePane="bottomLeft" state="frozen"/>
      <selection pane="bottomLeft" activeCell="N243" sqref="N243:R243"/>
    </sheetView>
  </sheetViews>
  <sheetFormatPr defaultColWidth="9.140625" defaultRowHeight="15" x14ac:dyDescent="0.25"/>
  <cols>
    <col min="1" max="1" width="7.7109375" style="4" customWidth="1"/>
    <col min="2" max="2" width="46.140625" style="52" customWidth="1"/>
    <col min="3" max="3" width="19" style="27" bestFit="1" customWidth="1"/>
    <col min="4" max="4" width="16.42578125" style="4" customWidth="1"/>
    <col min="5" max="5" width="13" style="4" customWidth="1"/>
    <col min="6" max="6" width="14.7109375" style="4" customWidth="1"/>
    <col min="7" max="7" width="13.28515625" style="4" customWidth="1"/>
    <col min="8" max="8" width="14.28515625" style="4" customWidth="1"/>
    <col min="9" max="9" width="14.140625" style="4" hidden="1" customWidth="1"/>
    <col min="10" max="10" width="15.140625" style="4" hidden="1" customWidth="1"/>
    <col min="11" max="12" width="15.5703125" style="4" hidden="1" customWidth="1"/>
    <col min="13" max="13" width="15.140625" style="4" hidden="1" customWidth="1"/>
    <col min="14" max="14" width="15.28515625" style="4" customWidth="1"/>
    <col min="15" max="15" width="14.140625" style="4" customWidth="1"/>
    <col min="16" max="16" width="15.5703125" style="4" customWidth="1"/>
    <col min="17" max="17" width="14.42578125" style="4" customWidth="1"/>
    <col min="18" max="18" width="14.140625" style="4" customWidth="1"/>
    <col min="19" max="20" width="14" style="4" customWidth="1"/>
    <col min="21" max="21" width="28.140625" style="4" customWidth="1"/>
    <col min="22" max="22" width="19" style="4" customWidth="1"/>
    <col min="23" max="23" width="17.28515625" style="4" customWidth="1"/>
    <col min="24" max="24" width="11.85546875" style="4" customWidth="1"/>
    <col min="25" max="25" width="12.28515625" style="4" customWidth="1"/>
    <col min="26" max="26" width="12.7109375" style="4" customWidth="1"/>
    <col min="27" max="16384" width="9.140625" style="4"/>
  </cols>
  <sheetData>
    <row r="1" spans="1:22" s="2" customFormat="1" ht="60.75" customHeight="1" x14ac:dyDescent="0.25">
      <c r="A1" s="164" t="s">
        <v>276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22" s="2" customFormat="1" ht="54" customHeight="1" x14ac:dyDescent="0.25">
      <c r="A2" s="165" t="s">
        <v>1</v>
      </c>
      <c r="B2" s="166" t="s">
        <v>2</v>
      </c>
      <c r="C2" s="165" t="s">
        <v>3</v>
      </c>
      <c r="D2" s="165" t="s">
        <v>4</v>
      </c>
      <c r="E2" s="165"/>
      <c r="F2" s="165"/>
      <c r="G2" s="165"/>
      <c r="H2" s="165"/>
      <c r="I2" s="168" t="s">
        <v>59</v>
      </c>
      <c r="J2" s="169"/>
      <c r="K2" s="169"/>
      <c r="L2" s="169"/>
      <c r="M2" s="170"/>
      <c r="N2" s="165" t="s">
        <v>5</v>
      </c>
      <c r="O2" s="165"/>
      <c r="P2" s="165"/>
      <c r="Q2" s="165"/>
      <c r="R2" s="165"/>
    </row>
    <row r="3" spans="1:22" s="2" customFormat="1" ht="45" x14ac:dyDescent="0.25">
      <c r="A3" s="165"/>
      <c r="B3" s="167"/>
      <c r="C3" s="165"/>
      <c r="D3" s="28" t="s">
        <v>9</v>
      </c>
      <c r="E3" s="28" t="s">
        <v>269</v>
      </c>
      <c r="F3" s="28" t="s">
        <v>6</v>
      </c>
      <c r="G3" s="28" t="s">
        <v>7</v>
      </c>
      <c r="H3" s="28" t="s">
        <v>11</v>
      </c>
      <c r="I3" s="28" t="s">
        <v>9</v>
      </c>
      <c r="J3" s="28" t="s">
        <v>10</v>
      </c>
      <c r="K3" s="28" t="s">
        <v>6</v>
      </c>
      <c r="L3" s="28" t="s">
        <v>7</v>
      </c>
      <c r="M3" s="28" t="s">
        <v>11</v>
      </c>
      <c r="N3" s="28" t="s">
        <v>9</v>
      </c>
      <c r="O3" s="28" t="s">
        <v>10</v>
      </c>
      <c r="P3" s="28" t="s">
        <v>6</v>
      </c>
      <c r="Q3" s="28" t="s">
        <v>7</v>
      </c>
      <c r="R3" s="28" t="s">
        <v>11</v>
      </c>
    </row>
    <row r="4" spans="1:22" s="2" customFormat="1" ht="13.9" x14ac:dyDescent="0.25">
      <c r="A4" s="1">
        <v>1</v>
      </c>
      <c r="B4" s="48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28">
        <v>14</v>
      </c>
      <c r="O4" s="28">
        <v>15</v>
      </c>
      <c r="P4" s="28">
        <v>16</v>
      </c>
      <c r="Q4" s="28">
        <v>17</v>
      </c>
      <c r="R4" s="28">
        <v>18</v>
      </c>
    </row>
    <row r="5" spans="1:22" s="2" customFormat="1" ht="13.9" hidden="1" x14ac:dyDescent="0.25">
      <c r="A5" s="163" t="s">
        <v>12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1:22" s="2" customFormat="1" ht="41.45" hidden="1" x14ac:dyDescent="0.25">
      <c r="A6" s="1">
        <v>1</v>
      </c>
      <c r="B6" s="33" t="s">
        <v>13</v>
      </c>
      <c r="C6" s="1" t="s">
        <v>14</v>
      </c>
      <c r="D6" s="14">
        <v>1</v>
      </c>
      <c r="E6" s="14">
        <v>2</v>
      </c>
      <c r="F6" s="14">
        <v>2</v>
      </c>
      <c r="G6" s="14">
        <v>2</v>
      </c>
      <c r="H6" s="14">
        <v>2</v>
      </c>
      <c r="I6" s="14">
        <v>185810.03639999998</v>
      </c>
      <c r="J6" s="14">
        <v>508241.70399999997</v>
      </c>
      <c r="K6" s="14">
        <v>698832.34299999999</v>
      </c>
      <c r="L6" s="14">
        <v>889422.98200000008</v>
      </c>
      <c r="M6" s="14">
        <v>1080013.621</v>
      </c>
      <c r="N6" s="14">
        <f>D6*I6/1000</f>
        <v>185.81003639999997</v>
      </c>
      <c r="O6" s="14">
        <f>J6*E6/1000</f>
        <v>1016.4834079999999</v>
      </c>
      <c r="P6" s="14">
        <f>K6*F6/1000</f>
        <v>1397.6646860000001</v>
      </c>
      <c r="Q6" s="14">
        <f>L6*G6/1000</f>
        <v>1778.8459640000001</v>
      </c>
      <c r="R6" s="14">
        <f>M6*H6/1000</f>
        <v>2160.0272420000001</v>
      </c>
      <c r="S6" s="5"/>
      <c r="T6" s="5"/>
      <c r="U6" s="5"/>
      <c r="V6" s="5"/>
    </row>
    <row r="7" spans="1:22" s="2" customFormat="1" ht="41.45" hidden="1" x14ac:dyDescent="0.25">
      <c r="A7" s="1">
        <v>2</v>
      </c>
      <c r="B7" s="33" t="s">
        <v>30</v>
      </c>
      <c r="C7" s="1" t="s">
        <v>14</v>
      </c>
      <c r="D7" s="14">
        <v>6</v>
      </c>
      <c r="E7" s="14">
        <v>7</v>
      </c>
      <c r="F7" s="14">
        <v>7</v>
      </c>
      <c r="G7" s="14">
        <v>7</v>
      </c>
      <c r="H7" s="14">
        <v>7</v>
      </c>
      <c r="I7" s="14">
        <v>186916.29929999998</v>
      </c>
      <c r="J7" s="14">
        <v>276276.89199999999</v>
      </c>
      <c r="K7" s="14">
        <v>379880.72649999999</v>
      </c>
      <c r="L7" s="14">
        <v>483484.56099999999</v>
      </c>
      <c r="M7" s="14">
        <v>587088.39549999998</v>
      </c>
      <c r="N7" s="14">
        <f t="shared" ref="N7:N22" si="0">D7*I7/1000</f>
        <v>1121.4977957999999</v>
      </c>
      <c r="O7" s="14">
        <f t="shared" ref="O7:O24" si="1">J7*E7/1000</f>
        <v>1933.9382439999999</v>
      </c>
      <c r="P7" s="14">
        <f t="shared" ref="P7:P24" si="2">K7*F7/1000</f>
        <v>2659.1650855000003</v>
      </c>
      <c r="Q7" s="14">
        <f t="shared" ref="Q7:Q24" si="3">L7*G7/1000</f>
        <v>3384.3919270000001</v>
      </c>
      <c r="R7" s="14">
        <f t="shared" ref="R7:R24" si="4">M7*H7/1000</f>
        <v>4109.6187684999995</v>
      </c>
      <c r="S7" s="5"/>
      <c r="T7" s="5"/>
      <c r="U7" s="5"/>
      <c r="V7" s="5"/>
    </row>
    <row r="8" spans="1:22" s="2" customFormat="1" ht="41.45" hidden="1" x14ac:dyDescent="0.25">
      <c r="A8" s="1">
        <v>3</v>
      </c>
      <c r="B8" s="33" t="s">
        <v>29</v>
      </c>
      <c r="C8" s="1" t="s">
        <v>14</v>
      </c>
      <c r="D8" s="14">
        <v>5</v>
      </c>
      <c r="E8" s="14">
        <v>6</v>
      </c>
      <c r="F8" s="14">
        <v>6</v>
      </c>
      <c r="G8" s="14">
        <v>6</v>
      </c>
      <c r="H8" s="14">
        <v>6</v>
      </c>
      <c r="I8" s="14">
        <v>291649.2831</v>
      </c>
      <c r="J8" s="14">
        <v>409729.97599999997</v>
      </c>
      <c r="K8" s="14">
        <v>563378.71699999995</v>
      </c>
      <c r="L8" s="14">
        <v>717027.45799999998</v>
      </c>
      <c r="M8" s="14">
        <v>870676.19899999991</v>
      </c>
      <c r="N8" s="14">
        <f t="shared" si="0"/>
        <v>1458.2464155</v>
      </c>
      <c r="O8" s="14">
        <f t="shared" si="1"/>
        <v>2458.3798559999996</v>
      </c>
      <c r="P8" s="14">
        <f t="shared" si="2"/>
        <v>3380.2723019999999</v>
      </c>
      <c r="Q8" s="14">
        <f t="shared" si="3"/>
        <v>4302.1647479999992</v>
      </c>
      <c r="R8" s="14">
        <f t="shared" si="4"/>
        <v>5224.0571939999991</v>
      </c>
      <c r="S8" s="5"/>
      <c r="T8" s="5"/>
      <c r="U8" s="5"/>
      <c r="V8" s="5"/>
    </row>
    <row r="9" spans="1:22" s="2" customFormat="1" ht="41.45" hidden="1" x14ac:dyDescent="0.25">
      <c r="A9" s="1">
        <v>4</v>
      </c>
      <c r="B9" s="33" t="s">
        <v>28</v>
      </c>
      <c r="C9" s="1" t="s">
        <v>14</v>
      </c>
      <c r="D9" s="14">
        <v>9</v>
      </c>
      <c r="E9" s="14">
        <v>8</v>
      </c>
      <c r="F9" s="14">
        <v>8</v>
      </c>
      <c r="G9" s="14">
        <v>8</v>
      </c>
      <c r="H9" s="14">
        <v>8</v>
      </c>
      <c r="I9" s="14">
        <v>215014.55129999999</v>
      </c>
      <c r="J9" s="14">
        <v>292956.51200000005</v>
      </c>
      <c r="K9" s="14">
        <v>402815.20399999997</v>
      </c>
      <c r="L9" s="14">
        <v>512673.89600000001</v>
      </c>
      <c r="M9" s="14">
        <v>622532.58799999999</v>
      </c>
      <c r="N9" s="14">
        <f t="shared" si="0"/>
        <v>1935.1309616999999</v>
      </c>
      <c r="O9" s="14">
        <f t="shared" si="1"/>
        <v>2343.6520960000003</v>
      </c>
      <c r="P9" s="14">
        <f t="shared" si="2"/>
        <v>3222.521632</v>
      </c>
      <c r="Q9" s="14">
        <f t="shared" si="3"/>
        <v>4101.3911680000001</v>
      </c>
      <c r="R9" s="14">
        <f t="shared" si="4"/>
        <v>4980.2607040000003</v>
      </c>
      <c r="S9" s="5"/>
      <c r="T9" s="5"/>
      <c r="U9" s="5"/>
      <c r="V9" s="5"/>
    </row>
    <row r="10" spans="1:22" s="2" customFormat="1" ht="41.45" hidden="1" x14ac:dyDescent="0.25">
      <c r="A10" s="1">
        <v>5</v>
      </c>
      <c r="B10" s="33" t="s">
        <v>27</v>
      </c>
      <c r="C10" s="1" t="s">
        <v>14</v>
      </c>
      <c r="D10" s="14">
        <v>6</v>
      </c>
      <c r="E10" s="14">
        <v>12</v>
      </c>
      <c r="F10" s="14">
        <v>24</v>
      </c>
      <c r="G10" s="14">
        <v>24</v>
      </c>
      <c r="H10" s="14">
        <v>24</v>
      </c>
      <c r="I10" s="14">
        <v>159679.47149999999</v>
      </c>
      <c r="J10" s="14">
        <v>231793.47200000004</v>
      </c>
      <c r="K10" s="14">
        <v>318716.02400000003</v>
      </c>
      <c r="L10" s="14">
        <v>405638.576</v>
      </c>
      <c r="M10" s="14">
        <v>492561.12800000003</v>
      </c>
      <c r="N10" s="14">
        <f t="shared" si="0"/>
        <v>958.07682899999986</v>
      </c>
      <c r="O10" s="14">
        <f t="shared" si="1"/>
        <v>2781.5216640000003</v>
      </c>
      <c r="P10" s="14">
        <f t="shared" si="2"/>
        <v>7649.1845760000015</v>
      </c>
      <c r="Q10" s="14">
        <f t="shared" si="3"/>
        <v>9735.3258240000014</v>
      </c>
      <c r="R10" s="14">
        <f t="shared" si="4"/>
        <v>11821.467072000001</v>
      </c>
      <c r="S10" s="5"/>
      <c r="T10" s="5"/>
      <c r="U10" s="5"/>
      <c r="V10" s="5"/>
    </row>
    <row r="11" spans="1:22" s="2" customFormat="1" ht="41.45" hidden="1" x14ac:dyDescent="0.25">
      <c r="A11" s="1">
        <v>6</v>
      </c>
      <c r="B11" s="33" t="s">
        <v>24</v>
      </c>
      <c r="C11" s="1" t="s">
        <v>14</v>
      </c>
      <c r="D11" s="14">
        <v>10</v>
      </c>
      <c r="E11" s="14">
        <v>12</v>
      </c>
      <c r="F11" s="14">
        <v>12</v>
      </c>
      <c r="G11" s="14">
        <v>12</v>
      </c>
      <c r="H11" s="14">
        <v>12</v>
      </c>
      <c r="I11" s="14">
        <v>140860.24739999999</v>
      </c>
      <c r="J11" s="14">
        <v>215346.63599999997</v>
      </c>
      <c r="K11" s="14">
        <v>296101.62449999998</v>
      </c>
      <c r="L11" s="14">
        <v>376856.61299999995</v>
      </c>
      <c r="M11" s="14">
        <v>457611.60149999999</v>
      </c>
      <c r="N11" s="14">
        <f t="shared" si="0"/>
        <v>1408.602474</v>
      </c>
      <c r="O11" s="14">
        <f t="shared" si="1"/>
        <v>2584.1596319999999</v>
      </c>
      <c r="P11" s="14">
        <f t="shared" si="2"/>
        <v>3553.2194939999999</v>
      </c>
      <c r="Q11" s="14">
        <f t="shared" si="3"/>
        <v>4522.279356</v>
      </c>
      <c r="R11" s="14">
        <f t="shared" si="4"/>
        <v>5491.3392180000001</v>
      </c>
      <c r="S11" s="5"/>
      <c r="T11" s="5"/>
      <c r="U11" s="5"/>
      <c r="V11" s="5"/>
    </row>
    <row r="12" spans="1:22" s="2" customFormat="1" ht="41.45" hidden="1" x14ac:dyDescent="0.25">
      <c r="A12" s="1">
        <v>7</v>
      </c>
      <c r="B12" s="33" t="s">
        <v>25</v>
      </c>
      <c r="C12" s="1" t="s">
        <v>14</v>
      </c>
      <c r="D12" s="14">
        <v>27</v>
      </c>
      <c r="E12" s="14">
        <v>19</v>
      </c>
      <c r="F12" s="14">
        <v>19</v>
      </c>
      <c r="G12" s="14">
        <v>19</v>
      </c>
      <c r="H12" s="14">
        <v>19</v>
      </c>
      <c r="I12" s="14">
        <v>145056.54689999999</v>
      </c>
      <c r="J12" s="14">
        <v>213543.44</v>
      </c>
      <c r="K12" s="14">
        <v>293622.23</v>
      </c>
      <c r="L12" s="14">
        <v>373701.02</v>
      </c>
      <c r="M12" s="14">
        <v>453779.81</v>
      </c>
      <c r="N12" s="14">
        <f t="shared" si="0"/>
        <v>3916.5267663</v>
      </c>
      <c r="O12" s="14">
        <f t="shared" si="1"/>
        <v>4057.3253599999998</v>
      </c>
      <c r="P12" s="14">
        <f t="shared" si="2"/>
        <v>5578.822369999999</v>
      </c>
      <c r="Q12" s="14">
        <f t="shared" si="3"/>
        <v>7100.3193800000008</v>
      </c>
      <c r="R12" s="14">
        <f t="shared" si="4"/>
        <v>8621.81639</v>
      </c>
      <c r="S12" s="5"/>
      <c r="T12" s="5"/>
      <c r="U12" s="5"/>
      <c r="V12" s="5"/>
    </row>
    <row r="13" spans="1:22" s="2" customFormat="1" ht="41.45" hidden="1" x14ac:dyDescent="0.25">
      <c r="A13" s="1">
        <v>8</v>
      </c>
      <c r="B13" s="33" t="s">
        <v>26</v>
      </c>
      <c r="C13" s="1" t="s">
        <v>14</v>
      </c>
      <c r="D13" s="14">
        <v>36</v>
      </c>
      <c r="E13" s="14">
        <v>53</v>
      </c>
      <c r="F13" s="14">
        <v>78</v>
      </c>
      <c r="G13" s="14">
        <v>78</v>
      </c>
      <c r="H13" s="14">
        <v>78</v>
      </c>
      <c r="I13" s="14">
        <v>119953.4886</v>
      </c>
      <c r="J13" s="14">
        <v>177225.39199999999</v>
      </c>
      <c r="K13" s="14">
        <v>243684.91399999999</v>
      </c>
      <c r="L13" s="14">
        <v>310144.43599999999</v>
      </c>
      <c r="M13" s="14">
        <v>376603.95799999998</v>
      </c>
      <c r="N13" s="14">
        <f t="shared" si="0"/>
        <v>4318.3255895999991</v>
      </c>
      <c r="O13" s="14">
        <f t="shared" si="1"/>
        <v>9392.9457760000005</v>
      </c>
      <c r="P13" s="14">
        <f t="shared" si="2"/>
        <v>19007.423291999999</v>
      </c>
      <c r="Q13" s="14">
        <f t="shared" si="3"/>
        <v>24191.266007999999</v>
      </c>
      <c r="R13" s="14">
        <f t="shared" si="4"/>
        <v>29375.108723999998</v>
      </c>
      <c r="S13" s="5"/>
      <c r="T13" s="5"/>
      <c r="U13" s="5"/>
      <c r="V13" s="5"/>
    </row>
    <row r="14" spans="1:22" s="2" customFormat="1" ht="41.45" hidden="1" x14ac:dyDescent="0.25">
      <c r="A14" s="1">
        <v>9</v>
      </c>
      <c r="B14" s="33" t="s">
        <v>23</v>
      </c>
      <c r="C14" s="1" t="s">
        <v>14</v>
      </c>
      <c r="D14" s="14">
        <v>43</v>
      </c>
      <c r="E14" s="14">
        <v>43</v>
      </c>
      <c r="F14" s="14">
        <v>43</v>
      </c>
      <c r="G14" s="14">
        <v>43</v>
      </c>
      <c r="H14" s="14">
        <v>43</v>
      </c>
      <c r="I14" s="14">
        <v>155656.77929999999</v>
      </c>
      <c r="J14" s="14">
        <v>229367.95600000001</v>
      </c>
      <c r="K14" s="14">
        <v>315380.93949999998</v>
      </c>
      <c r="L14" s="14">
        <v>401393.92300000007</v>
      </c>
      <c r="M14" s="14">
        <v>487406.90649999998</v>
      </c>
      <c r="N14" s="14">
        <f t="shared" si="0"/>
        <v>6693.2415099</v>
      </c>
      <c r="O14" s="14">
        <f t="shared" si="1"/>
        <v>9862.8221080000003</v>
      </c>
      <c r="P14" s="14">
        <f t="shared" si="2"/>
        <v>13561.3803985</v>
      </c>
      <c r="Q14" s="14">
        <f t="shared" si="3"/>
        <v>17259.938689000002</v>
      </c>
      <c r="R14" s="14">
        <f t="shared" si="4"/>
        <v>20958.4969795</v>
      </c>
      <c r="S14" s="5"/>
      <c r="T14" s="5"/>
      <c r="U14" s="5"/>
      <c r="V14" s="5"/>
    </row>
    <row r="15" spans="1:22" s="2" customFormat="1" ht="41.45" hidden="1" x14ac:dyDescent="0.25">
      <c r="A15" s="1">
        <v>10</v>
      </c>
      <c r="B15" s="33" t="s">
        <v>31</v>
      </c>
      <c r="C15" s="1" t="s">
        <v>14</v>
      </c>
      <c r="D15" s="14">
        <v>24</v>
      </c>
      <c r="E15" s="14">
        <v>24</v>
      </c>
      <c r="F15" s="14">
        <v>24</v>
      </c>
      <c r="G15" s="14">
        <v>24</v>
      </c>
      <c r="H15" s="14">
        <v>24</v>
      </c>
      <c r="I15" s="14">
        <v>144564.6096</v>
      </c>
      <c r="J15" s="14">
        <v>212438.89600000001</v>
      </c>
      <c r="K15" s="14">
        <v>292103.48200000002</v>
      </c>
      <c r="L15" s="14">
        <v>371768.06799999997</v>
      </c>
      <c r="M15" s="14">
        <v>451432.65399999998</v>
      </c>
      <c r="N15" s="14">
        <f t="shared" si="0"/>
        <v>3469.5506304</v>
      </c>
      <c r="O15" s="14">
        <f t="shared" si="1"/>
        <v>5098.5335040000009</v>
      </c>
      <c r="P15" s="14">
        <f t="shared" si="2"/>
        <v>7010.4835679999997</v>
      </c>
      <c r="Q15" s="14">
        <f t="shared" si="3"/>
        <v>8922.4336319999984</v>
      </c>
      <c r="R15" s="14">
        <f t="shared" si="4"/>
        <v>10834.383695999999</v>
      </c>
      <c r="S15" s="5"/>
      <c r="T15" s="5"/>
      <c r="U15" s="5"/>
      <c r="V15" s="5"/>
    </row>
    <row r="16" spans="1:22" s="2" customFormat="1" ht="41.45" hidden="1" x14ac:dyDescent="0.25">
      <c r="A16" s="1">
        <v>11</v>
      </c>
      <c r="B16" s="33" t="s">
        <v>35</v>
      </c>
      <c r="C16" s="1" t="s">
        <v>14</v>
      </c>
      <c r="D16" s="14">
        <v>1</v>
      </c>
      <c r="E16" s="14">
        <v>2</v>
      </c>
      <c r="F16" s="14">
        <v>2</v>
      </c>
      <c r="G16" s="14">
        <v>2</v>
      </c>
      <c r="H16" s="14">
        <v>2</v>
      </c>
      <c r="I16" s="14">
        <v>338940</v>
      </c>
      <c r="J16" s="14">
        <v>538447.62</v>
      </c>
      <c r="K16" s="14">
        <v>740365.47750000004</v>
      </c>
      <c r="L16" s="14">
        <v>942283.33499999996</v>
      </c>
      <c r="M16" s="14">
        <v>1144201.1924999999</v>
      </c>
      <c r="N16" s="14">
        <f t="shared" si="0"/>
        <v>338.94</v>
      </c>
      <c r="O16" s="14">
        <f t="shared" si="1"/>
        <v>1076.8952400000001</v>
      </c>
      <c r="P16" s="14">
        <f t="shared" si="2"/>
        <v>1480.730955</v>
      </c>
      <c r="Q16" s="14">
        <f t="shared" si="3"/>
        <v>1884.5666699999999</v>
      </c>
      <c r="R16" s="14">
        <f t="shared" si="4"/>
        <v>2288.4023849999999</v>
      </c>
      <c r="S16" s="5"/>
      <c r="T16" s="5"/>
      <c r="U16" s="5"/>
      <c r="V16" s="5"/>
    </row>
    <row r="17" spans="1:26" s="2" customFormat="1" ht="41.45" hidden="1" x14ac:dyDescent="0.25">
      <c r="A17" s="1">
        <v>12</v>
      </c>
      <c r="B17" s="33" t="s">
        <v>51</v>
      </c>
      <c r="C17" s="1" t="s">
        <v>14</v>
      </c>
      <c r="D17" s="14">
        <v>0</v>
      </c>
      <c r="E17" s="14">
        <v>2</v>
      </c>
      <c r="F17" s="14">
        <v>2</v>
      </c>
      <c r="G17" s="14">
        <v>2</v>
      </c>
      <c r="H17" s="14">
        <v>2</v>
      </c>
      <c r="I17" s="14" t="s">
        <v>58</v>
      </c>
      <c r="J17" s="14">
        <v>483441.52</v>
      </c>
      <c r="K17" s="14">
        <v>664732.09</v>
      </c>
      <c r="L17" s="14">
        <v>846022.66</v>
      </c>
      <c r="M17" s="14">
        <v>1027313.23</v>
      </c>
      <c r="N17" s="14">
        <v>0</v>
      </c>
      <c r="O17" s="14">
        <f t="shared" si="1"/>
        <v>966.88304000000005</v>
      </c>
      <c r="P17" s="14">
        <f t="shared" si="2"/>
        <v>1329.4641799999999</v>
      </c>
      <c r="Q17" s="14">
        <f t="shared" si="3"/>
        <v>1692.0453200000002</v>
      </c>
      <c r="R17" s="14">
        <f t="shared" si="4"/>
        <v>2054.62646</v>
      </c>
      <c r="S17" s="5"/>
      <c r="T17" s="5"/>
      <c r="U17" s="5"/>
      <c r="V17" s="5"/>
    </row>
    <row r="18" spans="1:26" s="2" customFormat="1" ht="41.45" hidden="1" x14ac:dyDescent="0.25">
      <c r="A18" s="1">
        <v>13</v>
      </c>
      <c r="B18" s="33" t="s">
        <v>36</v>
      </c>
      <c r="C18" s="1" t="s">
        <v>14</v>
      </c>
      <c r="D18" s="14">
        <v>7</v>
      </c>
      <c r="E18" s="14">
        <v>15</v>
      </c>
      <c r="F18" s="14">
        <v>17</v>
      </c>
      <c r="G18" s="14">
        <v>19</v>
      </c>
      <c r="H18" s="14">
        <v>19</v>
      </c>
      <c r="I18" s="14">
        <v>169271.39099999997</v>
      </c>
      <c r="J18" s="14">
        <v>217914.76</v>
      </c>
      <c r="K18" s="14">
        <v>299632.79499999998</v>
      </c>
      <c r="L18" s="14">
        <v>381350.83</v>
      </c>
      <c r="M18" s="14">
        <v>463068.86499999999</v>
      </c>
      <c r="N18" s="14">
        <f t="shared" si="0"/>
        <v>1184.8997369999997</v>
      </c>
      <c r="O18" s="14">
        <f t="shared" si="1"/>
        <v>3268.7214000000004</v>
      </c>
      <c r="P18" s="14">
        <f t="shared" si="2"/>
        <v>5093.7575149999993</v>
      </c>
      <c r="Q18" s="14">
        <f t="shared" si="3"/>
        <v>7245.6657700000005</v>
      </c>
      <c r="R18" s="14">
        <f t="shared" si="4"/>
        <v>8798.3084350000008</v>
      </c>
      <c r="S18" s="5"/>
      <c r="T18" s="5"/>
      <c r="U18" s="5"/>
      <c r="V18" s="5"/>
    </row>
    <row r="19" spans="1:26" s="2" customFormat="1" ht="41.45" hidden="1" x14ac:dyDescent="0.25">
      <c r="A19" s="1">
        <v>14</v>
      </c>
      <c r="B19" s="33" t="s">
        <v>37</v>
      </c>
      <c r="C19" s="1" t="s">
        <v>14</v>
      </c>
      <c r="D19" s="14">
        <v>1</v>
      </c>
      <c r="E19" s="14">
        <v>1</v>
      </c>
      <c r="F19" s="14">
        <v>2</v>
      </c>
      <c r="G19" s="14">
        <v>2</v>
      </c>
      <c r="H19" s="14">
        <v>2</v>
      </c>
      <c r="I19" s="14">
        <v>338938.53899999999</v>
      </c>
      <c r="J19" s="14">
        <v>452700.32</v>
      </c>
      <c r="K19" s="14">
        <v>622462.93999999994</v>
      </c>
      <c r="L19" s="14">
        <v>792225.56</v>
      </c>
      <c r="M19" s="14">
        <v>961988.18</v>
      </c>
      <c r="N19" s="14">
        <f t="shared" si="0"/>
        <v>338.93853899999999</v>
      </c>
      <c r="O19" s="14">
        <f t="shared" si="1"/>
        <v>452.70032000000003</v>
      </c>
      <c r="P19" s="14">
        <f t="shared" si="2"/>
        <v>1244.9258799999998</v>
      </c>
      <c r="Q19" s="14">
        <f t="shared" si="3"/>
        <v>1584.4511200000002</v>
      </c>
      <c r="R19" s="14">
        <f t="shared" si="4"/>
        <v>1923.9763600000001</v>
      </c>
      <c r="S19" s="5"/>
      <c r="T19" s="5"/>
      <c r="U19" s="5"/>
      <c r="V19" s="5"/>
    </row>
    <row r="20" spans="1:26" s="2" customFormat="1" ht="41.45" hidden="1" x14ac:dyDescent="0.25">
      <c r="A20" s="1">
        <v>15</v>
      </c>
      <c r="B20" s="33" t="s">
        <v>38</v>
      </c>
      <c r="C20" s="1" t="s">
        <v>14</v>
      </c>
      <c r="D20" s="14">
        <v>2</v>
      </c>
      <c r="E20" s="14">
        <v>2</v>
      </c>
      <c r="F20" s="14">
        <v>3</v>
      </c>
      <c r="G20" s="14">
        <v>5</v>
      </c>
      <c r="H20" s="14">
        <v>5</v>
      </c>
      <c r="I20" s="14">
        <v>276377.43599999999</v>
      </c>
      <c r="J20" s="14">
        <v>368267.848</v>
      </c>
      <c r="K20" s="14">
        <v>506368.29100000003</v>
      </c>
      <c r="L20" s="14">
        <v>644468.73399999994</v>
      </c>
      <c r="M20" s="14">
        <v>782569.17700000003</v>
      </c>
      <c r="N20" s="14">
        <f t="shared" si="0"/>
        <v>552.75487199999998</v>
      </c>
      <c r="O20" s="14">
        <f t="shared" si="1"/>
        <v>736.53569600000003</v>
      </c>
      <c r="P20" s="14">
        <f t="shared" si="2"/>
        <v>1519.1048730000002</v>
      </c>
      <c r="Q20" s="14">
        <f t="shared" si="3"/>
        <v>3222.3436699999997</v>
      </c>
      <c r="R20" s="14">
        <f t="shared" si="4"/>
        <v>3912.8458850000002</v>
      </c>
      <c r="S20" s="5"/>
      <c r="T20" s="5"/>
      <c r="U20" s="5"/>
      <c r="V20" s="5"/>
    </row>
    <row r="21" spans="1:26" s="2" customFormat="1" ht="41.45" hidden="1" x14ac:dyDescent="0.25">
      <c r="A21" s="1">
        <v>16</v>
      </c>
      <c r="B21" s="33" t="s">
        <v>39</v>
      </c>
      <c r="C21" s="1" t="s">
        <v>14</v>
      </c>
      <c r="D21" s="14">
        <v>75</v>
      </c>
      <c r="E21" s="14">
        <v>109</v>
      </c>
      <c r="F21" s="14">
        <v>124</v>
      </c>
      <c r="G21" s="14">
        <v>126</v>
      </c>
      <c r="H21" s="14">
        <v>126</v>
      </c>
      <c r="I21" s="14">
        <v>182311.755</v>
      </c>
      <c r="J21" s="14">
        <v>243681.908</v>
      </c>
      <c r="K21" s="14">
        <v>335062.62349999999</v>
      </c>
      <c r="L21" s="14">
        <v>426443.33899999998</v>
      </c>
      <c r="M21" s="14">
        <v>517824.05450000003</v>
      </c>
      <c r="N21" s="14">
        <f t="shared" si="0"/>
        <v>13673.381625</v>
      </c>
      <c r="O21" s="14">
        <f t="shared" si="1"/>
        <v>26561.327971999999</v>
      </c>
      <c r="P21" s="14">
        <f t="shared" si="2"/>
        <v>41547.765313999997</v>
      </c>
      <c r="Q21" s="14">
        <f t="shared" si="3"/>
        <v>53731.860713999995</v>
      </c>
      <c r="R21" s="14">
        <f t="shared" si="4"/>
        <v>65245.830867000004</v>
      </c>
      <c r="S21" s="5"/>
      <c r="T21" s="5"/>
      <c r="U21" s="5"/>
      <c r="V21" s="5"/>
    </row>
    <row r="22" spans="1:26" s="2" customFormat="1" ht="41.45" hidden="1" x14ac:dyDescent="0.25">
      <c r="A22" s="1">
        <v>17</v>
      </c>
      <c r="B22" s="33" t="s">
        <v>40</v>
      </c>
      <c r="C22" s="1" t="s">
        <v>14</v>
      </c>
      <c r="D22" s="14">
        <v>125</v>
      </c>
      <c r="E22" s="14">
        <v>113</v>
      </c>
      <c r="F22" s="14">
        <v>110</v>
      </c>
      <c r="G22" s="14">
        <v>110</v>
      </c>
      <c r="H22" s="14">
        <v>110</v>
      </c>
      <c r="I22" s="14">
        <v>38355.851999999999</v>
      </c>
      <c r="J22" s="14">
        <v>51196.167999999998</v>
      </c>
      <c r="K22" s="14">
        <v>70394.731</v>
      </c>
      <c r="L22" s="14">
        <v>89593.294000000009</v>
      </c>
      <c r="M22" s="14">
        <v>108791.85699999999</v>
      </c>
      <c r="N22" s="14">
        <f t="shared" si="0"/>
        <v>4794.4814999999999</v>
      </c>
      <c r="O22" s="14">
        <f t="shared" si="1"/>
        <v>5785.1669840000004</v>
      </c>
      <c r="P22" s="14">
        <f t="shared" si="2"/>
        <v>7743.4204099999997</v>
      </c>
      <c r="Q22" s="14">
        <f t="shared" si="3"/>
        <v>9855.2623400000011</v>
      </c>
      <c r="R22" s="14">
        <f t="shared" si="4"/>
        <v>11967.10427</v>
      </c>
      <c r="S22" s="5"/>
      <c r="T22" s="5"/>
      <c r="U22" s="5"/>
      <c r="V22" s="5"/>
    </row>
    <row r="23" spans="1:26" s="2" customFormat="1" ht="41.45" hidden="1" x14ac:dyDescent="0.25">
      <c r="A23" s="1">
        <v>18</v>
      </c>
      <c r="B23" s="33" t="s">
        <v>54</v>
      </c>
      <c r="C23" s="1" t="s">
        <v>14</v>
      </c>
      <c r="D23" s="14">
        <v>0</v>
      </c>
      <c r="E23" s="14">
        <v>94</v>
      </c>
      <c r="F23" s="14">
        <v>94</v>
      </c>
      <c r="G23" s="14">
        <v>94</v>
      </c>
      <c r="H23" s="14">
        <v>94</v>
      </c>
      <c r="I23" s="14" t="s">
        <v>58</v>
      </c>
      <c r="J23" s="14">
        <v>286951.28399999999</v>
      </c>
      <c r="K23" s="14">
        <v>394558.01549999998</v>
      </c>
      <c r="L23" s="14">
        <v>502164.74699999997</v>
      </c>
      <c r="M23" s="14">
        <v>609771.47849999997</v>
      </c>
      <c r="N23" s="14">
        <v>0</v>
      </c>
      <c r="O23" s="14">
        <f t="shared" si="1"/>
        <v>26973.420695999997</v>
      </c>
      <c r="P23" s="14">
        <f t="shared" si="2"/>
        <v>37088.453456999996</v>
      </c>
      <c r="Q23" s="14">
        <f t="shared" si="3"/>
        <v>47203.486217999998</v>
      </c>
      <c r="R23" s="14">
        <f t="shared" si="4"/>
        <v>57318.518978999993</v>
      </c>
      <c r="S23" s="5"/>
      <c r="T23" s="5"/>
      <c r="U23" s="5"/>
      <c r="V23" s="5"/>
    </row>
    <row r="24" spans="1:26" s="2" customFormat="1" ht="27.6" hidden="1" x14ac:dyDescent="0.25">
      <c r="A24" s="1">
        <v>19</v>
      </c>
      <c r="B24" s="33" t="s">
        <v>55</v>
      </c>
      <c r="C24" s="1" t="s">
        <v>14</v>
      </c>
      <c r="D24" s="14">
        <v>0</v>
      </c>
      <c r="E24" s="14">
        <v>156</v>
      </c>
      <c r="F24" s="14">
        <v>156</v>
      </c>
      <c r="G24" s="14">
        <v>156</v>
      </c>
      <c r="H24" s="14">
        <v>156</v>
      </c>
      <c r="I24" s="14" t="s">
        <v>58</v>
      </c>
      <c r="J24" s="14">
        <v>70919.583999999988</v>
      </c>
      <c r="K24" s="14">
        <v>97514.427999999985</v>
      </c>
      <c r="L24" s="14">
        <v>124109.272</v>
      </c>
      <c r="M24" s="14">
        <v>150704.11600000001</v>
      </c>
      <c r="N24" s="14">
        <v>0</v>
      </c>
      <c r="O24" s="14">
        <f t="shared" si="1"/>
        <v>11063.455103999999</v>
      </c>
      <c r="P24" s="14">
        <f t="shared" si="2"/>
        <v>15212.250767999998</v>
      </c>
      <c r="Q24" s="14">
        <f t="shared" si="3"/>
        <v>19361.046431999999</v>
      </c>
      <c r="R24" s="14">
        <f t="shared" si="4"/>
        <v>23509.842096</v>
      </c>
      <c r="S24" s="5"/>
      <c r="T24" s="5"/>
      <c r="U24" s="5"/>
      <c r="V24" s="5"/>
    </row>
    <row r="25" spans="1:26" s="2" customFormat="1" ht="55.15" hidden="1" x14ac:dyDescent="0.25">
      <c r="A25" s="1">
        <v>20</v>
      </c>
      <c r="B25" s="33" t="s">
        <v>48</v>
      </c>
      <c r="C25" s="1" t="s">
        <v>16</v>
      </c>
      <c r="D25" s="14">
        <v>30</v>
      </c>
      <c r="E25" s="14">
        <v>34</v>
      </c>
      <c r="F25" s="14">
        <v>34</v>
      </c>
      <c r="G25" s="14">
        <v>34</v>
      </c>
      <c r="H25" s="14">
        <v>34</v>
      </c>
      <c r="I25" s="14" t="s">
        <v>58</v>
      </c>
      <c r="J25" s="14" t="s">
        <v>58</v>
      </c>
      <c r="K25" s="14" t="s">
        <v>58</v>
      </c>
      <c r="L25" s="14" t="s">
        <v>58</v>
      </c>
      <c r="M25" s="14" t="s">
        <v>58</v>
      </c>
      <c r="N25" s="14">
        <v>5599.6127000000006</v>
      </c>
      <c r="O25" s="14">
        <v>7619.2595600000004</v>
      </c>
      <c r="P25" s="14">
        <v>7924.0299423999995</v>
      </c>
      <c r="Q25" s="14">
        <v>8240.9911400960009</v>
      </c>
      <c r="R25" s="14">
        <v>8570.630785699841</v>
      </c>
      <c r="S25" s="7"/>
      <c r="T25" s="7"/>
      <c r="U25" s="7"/>
      <c r="V25" s="7"/>
      <c r="W25" s="6"/>
      <c r="X25" s="6"/>
      <c r="Y25" s="6"/>
      <c r="Z25" s="6"/>
    </row>
    <row r="26" spans="1:26" s="2" customFormat="1" ht="55.15" hidden="1" x14ac:dyDescent="0.25">
      <c r="A26" s="1">
        <v>21</v>
      </c>
      <c r="B26" s="33" t="s">
        <v>34</v>
      </c>
      <c r="C26" s="1" t="s">
        <v>16</v>
      </c>
      <c r="D26" s="14">
        <v>4</v>
      </c>
      <c r="E26" s="14">
        <v>12</v>
      </c>
      <c r="F26" s="14">
        <v>12</v>
      </c>
      <c r="G26" s="14">
        <v>12</v>
      </c>
      <c r="H26" s="14">
        <v>12</v>
      </c>
      <c r="I26" s="14" t="s">
        <v>58</v>
      </c>
      <c r="J26" s="14" t="s">
        <v>58</v>
      </c>
      <c r="K26" s="14" t="s">
        <v>58</v>
      </c>
      <c r="L26" s="14" t="s">
        <v>58</v>
      </c>
      <c r="M26" s="14" t="s">
        <v>58</v>
      </c>
      <c r="N26" s="14">
        <v>451.72270000000003</v>
      </c>
      <c r="O26" s="14">
        <v>1602.4492</v>
      </c>
      <c r="P26" s="14">
        <v>1666.5471680000001</v>
      </c>
      <c r="Q26" s="14">
        <v>1733.20905472</v>
      </c>
      <c r="R26" s="14">
        <v>1802.5374169088</v>
      </c>
      <c r="S26" s="7"/>
      <c r="T26" s="7"/>
      <c r="U26" s="7"/>
      <c r="V26" s="7"/>
      <c r="W26" s="6"/>
      <c r="X26" s="6"/>
      <c r="Y26" s="6"/>
    </row>
    <row r="27" spans="1:26" s="2" customFormat="1" ht="41.45" hidden="1" x14ac:dyDescent="0.25">
      <c r="A27" s="1">
        <v>22</v>
      </c>
      <c r="B27" s="33" t="s">
        <v>17</v>
      </c>
      <c r="C27" s="1" t="s">
        <v>16</v>
      </c>
      <c r="D27" s="14">
        <v>378</v>
      </c>
      <c r="E27" s="14">
        <v>345</v>
      </c>
      <c r="F27" s="14">
        <v>340</v>
      </c>
      <c r="G27" s="14">
        <v>340</v>
      </c>
      <c r="H27" s="14">
        <v>340</v>
      </c>
      <c r="I27" s="14" t="s">
        <v>58</v>
      </c>
      <c r="J27" s="14" t="s">
        <v>58</v>
      </c>
      <c r="K27" s="14" t="s">
        <v>58</v>
      </c>
      <c r="L27" s="14" t="s">
        <v>58</v>
      </c>
      <c r="M27" s="14" t="s">
        <v>58</v>
      </c>
      <c r="N27" s="14">
        <v>44910.083869999995</v>
      </c>
      <c r="O27" s="14">
        <v>68854.593639999992</v>
      </c>
      <c r="P27" s="14">
        <v>70570.96901769274</v>
      </c>
      <c r="Q27" s="14">
        <v>73393.807778400456</v>
      </c>
      <c r="R27" s="14">
        <v>76329.560089536477</v>
      </c>
      <c r="S27" s="7"/>
      <c r="T27" s="7"/>
      <c r="U27" s="7"/>
      <c r="V27" s="7"/>
      <c r="W27" s="6"/>
      <c r="X27" s="6"/>
      <c r="Y27" s="6"/>
    </row>
    <row r="28" spans="1:26" s="2" customFormat="1" ht="41.45" hidden="1" x14ac:dyDescent="0.25">
      <c r="A28" s="1">
        <v>23</v>
      </c>
      <c r="B28" s="33" t="s">
        <v>42</v>
      </c>
      <c r="C28" s="1" t="s">
        <v>16</v>
      </c>
      <c r="D28" s="14">
        <v>65</v>
      </c>
      <c r="E28" s="14">
        <v>59</v>
      </c>
      <c r="F28" s="14">
        <v>52</v>
      </c>
      <c r="G28" s="14">
        <v>52</v>
      </c>
      <c r="H28" s="14">
        <v>52</v>
      </c>
      <c r="I28" s="14" t="s">
        <v>58</v>
      </c>
      <c r="J28" s="14" t="s">
        <v>58</v>
      </c>
      <c r="K28" s="14" t="s">
        <v>58</v>
      </c>
      <c r="L28" s="14" t="s">
        <v>58</v>
      </c>
      <c r="M28" s="14" t="s">
        <v>58</v>
      </c>
      <c r="N28" s="14">
        <v>7478.7225899999994</v>
      </c>
      <c r="O28" s="14">
        <v>11653.554759999999</v>
      </c>
      <c r="P28" s="14">
        <v>10681.766803742372</v>
      </c>
      <c r="Q28" s="14">
        <v>11109.037475892066</v>
      </c>
      <c r="R28" s="14">
        <v>11553.398974927748</v>
      </c>
      <c r="S28" s="7"/>
      <c r="T28" s="7"/>
      <c r="U28" s="7"/>
      <c r="V28" s="7"/>
      <c r="W28" s="6"/>
      <c r="X28" s="6"/>
      <c r="Y28" s="6"/>
    </row>
    <row r="29" spans="1:26" s="2" customFormat="1" ht="41.45" hidden="1" x14ac:dyDescent="0.25">
      <c r="A29" s="1">
        <v>24</v>
      </c>
      <c r="B29" s="33" t="s">
        <v>18</v>
      </c>
      <c r="C29" s="1" t="s">
        <v>16</v>
      </c>
      <c r="D29" s="14">
        <v>64</v>
      </c>
      <c r="E29" s="14">
        <v>59</v>
      </c>
      <c r="F29" s="14">
        <v>59</v>
      </c>
      <c r="G29" s="14">
        <v>59</v>
      </c>
      <c r="H29" s="14">
        <v>59</v>
      </c>
      <c r="I29" s="14" t="s">
        <v>58</v>
      </c>
      <c r="J29" s="14" t="s">
        <v>58</v>
      </c>
      <c r="K29" s="14" t="s">
        <v>58</v>
      </c>
      <c r="L29" s="14" t="s">
        <v>58</v>
      </c>
      <c r="M29" s="14" t="s">
        <v>58</v>
      </c>
      <c r="N29" s="14">
        <v>8591.1547399999999</v>
      </c>
      <c r="O29" s="14">
        <v>16419.745340000001</v>
      </c>
      <c r="P29" s="14">
        <v>17076.535153600002</v>
      </c>
      <c r="Q29" s="14">
        <v>17759.596559744001</v>
      </c>
      <c r="R29" s="14">
        <v>18469.980422133758</v>
      </c>
      <c r="S29" s="7"/>
      <c r="T29" s="7"/>
      <c r="U29" s="7"/>
      <c r="V29" s="7"/>
      <c r="W29" s="6"/>
      <c r="X29" s="6"/>
      <c r="Y29" s="6"/>
    </row>
    <row r="30" spans="1:26" s="2" customFormat="1" ht="27.6" hidden="1" x14ac:dyDescent="0.25">
      <c r="A30" s="1">
        <v>25</v>
      </c>
      <c r="B30" s="33" t="s">
        <v>49</v>
      </c>
      <c r="C30" s="1" t="s">
        <v>16</v>
      </c>
      <c r="D30" s="14">
        <v>1827</v>
      </c>
      <c r="E30" s="14">
        <v>5</v>
      </c>
      <c r="F30" s="14">
        <v>5</v>
      </c>
      <c r="G30" s="14">
        <v>5</v>
      </c>
      <c r="H30" s="14">
        <v>5</v>
      </c>
      <c r="I30" s="14" t="s">
        <v>58</v>
      </c>
      <c r="J30" s="14" t="s">
        <v>58</v>
      </c>
      <c r="K30" s="14" t="s">
        <v>58</v>
      </c>
      <c r="L30" s="14" t="s">
        <v>58</v>
      </c>
      <c r="M30" s="14" t="s">
        <v>58</v>
      </c>
      <c r="N30" s="14">
        <v>75584.3</v>
      </c>
      <c r="O30" s="14">
        <v>3214.9300000000003</v>
      </c>
      <c r="P30" s="14">
        <v>3343.5272000000004</v>
      </c>
      <c r="Q30" s="14">
        <v>3477.2682880000002</v>
      </c>
      <c r="R30" s="14">
        <v>3616.3590195200004</v>
      </c>
      <c r="S30" s="7"/>
      <c r="T30" s="7"/>
      <c r="U30" s="7"/>
      <c r="V30" s="7"/>
      <c r="W30" s="6"/>
      <c r="X30" s="6"/>
      <c r="Y30" s="6"/>
    </row>
    <row r="31" spans="1:26" s="2" customFormat="1" ht="41.45" hidden="1" x14ac:dyDescent="0.25">
      <c r="A31" s="1">
        <v>26</v>
      </c>
      <c r="B31" s="33" t="s">
        <v>46</v>
      </c>
      <c r="C31" s="1" t="s">
        <v>16</v>
      </c>
      <c r="D31" s="14">
        <v>14</v>
      </c>
      <c r="E31" s="14">
        <v>12</v>
      </c>
      <c r="F31" s="14">
        <v>12</v>
      </c>
      <c r="G31" s="14">
        <v>12</v>
      </c>
      <c r="H31" s="14">
        <v>12</v>
      </c>
      <c r="I31" s="14" t="s">
        <v>58</v>
      </c>
      <c r="J31" s="14" t="s">
        <v>58</v>
      </c>
      <c r="K31" s="14" t="s">
        <v>58</v>
      </c>
      <c r="L31" s="14" t="s">
        <v>58</v>
      </c>
      <c r="M31" s="14" t="s">
        <v>58</v>
      </c>
      <c r="N31" s="14">
        <v>1832.6</v>
      </c>
      <c r="O31" s="14">
        <v>2334.64</v>
      </c>
      <c r="P31" s="14">
        <v>2428.0255999999995</v>
      </c>
      <c r="Q31" s="14">
        <v>2525.146624</v>
      </c>
      <c r="R31" s="14">
        <v>2626.1524889599996</v>
      </c>
      <c r="S31" s="7"/>
      <c r="T31" s="7"/>
      <c r="U31" s="7"/>
      <c r="V31" s="7"/>
      <c r="W31" s="6"/>
      <c r="X31" s="6"/>
      <c r="Y31" s="6"/>
    </row>
    <row r="32" spans="1:26" s="2" customFormat="1" ht="27.6" hidden="1" x14ac:dyDescent="0.25">
      <c r="A32" s="1">
        <v>27</v>
      </c>
      <c r="B32" s="33" t="s">
        <v>43</v>
      </c>
      <c r="C32" s="1" t="s">
        <v>16</v>
      </c>
      <c r="D32" s="14">
        <v>7</v>
      </c>
      <c r="E32" s="14">
        <v>5</v>
      </c>
      <c r="F32" s="14">
        <v>6</v>
      </c>
      <c r="G32" s="14">
        <v>6</v>
      </c>
      <c r="H32" s="14">
        <v>6</v>
      </c>
      <c r="I32" s="14" t="s">
        <v>58</v>
      </c>
      <c r="J32" s="14" t="s">
        <v>58</v>
      </c>
      <c r="K32" s="14" t="s">
        <v>58</v>
      </c>
      <c r="L32" s="14" t="s">
        <v>58</v>
      </c>
      <c r="M32" s="14" t="s">
        <v>58</v>
      </c>
      <c r="N32" s="14">
        <v>6356.97577</v>
      </c>
      <c r="O32" s="14">
        <v>1410.8813</v>
      </c>
      <c r="P32" s="14">
        <v>1760.7798624000002</v>
      </c>
      <c r="Q32" s="14">
        <v>1831.2110568960002</v>
      </c>
      <c r="R32" s="14">
        <v>1904.45949917184</v>
      </c>
      <c r="S32" s="7"/>
      <c r="T32" s="7"/>
      <c r="U32" s="7"/>
      <c r="V32" s="7"/>
      <c r="W32" s="6"/>
      <c r="X32" s="6"/>
      <c r="Y32" s="6"/>
    </row>
    <row r="33" spans="1:25" s="2" customFormat="1" ht="27.6" hidden="1" x14ac:dyDescent="0.25">
      <c r="A33" s="1">
        <v>28</v>
      </c>
      <c r="B33" s="33" t="s">
        <v>44</v>
      </c>
      <c r="C33" s="1" t="s">
        <v>16</v>
      </c>
      <c r="D33" s="14">
        <v>4</v>
      </c>
      <c r="E33" s="14">
        <v>15</v>
      </c>
      <c r="F33" s="14">
        <v>15</v>
      </c>
      <c r="G33" s="14">
        <v>15</v>
      </c>
      <c r="H33" s="14">
        <v>15</v>
      </c>
      <c r="I33" s="14" t="s">
        <v>58</v>
      </c>
      <c r="J33" s="14" t="s">
        <v>58</v>
      </c>
      <c r="K33" s="14" t="s">
        <v>58</v>
      </c>
      <c r="L33" s="14" t="s">
        <v>58</v>
      </c>
      <c r="M33" s="14" t="s">
        <v>58</v>
      </c>
      <c r="N33" s="14">
        <v>163.6</v>
      </c>
      <c r="O33" s="14">
        <v>2530.3454000000002</v>
      </c>
      <c r="P33" s="14">
        <v>2631.5592160000001</v>
      </c>
      <c r="Q33" s="14">
        <v>2736.8215846400003</v>
      </c>
      <c r="R33" s="14">
        <v>2846.2944480256001</v>
      </c>
      <c r="S33" s="7"/>
      <c r="T33" s="7"/>
      <c r="U33" s="7"/>
      <c r="V33" s="7"/>
      <c r="W33" s="6"/>
      <c r="X33" s="6"/>
      <c r="Y33" s="6"/>
    </row>
    <row r="34" spans="1:25" s="2" customFormat="1" ht="27.6" hidden="1" x14ac:dyDescent="0.25">
      <c r="A34" s="1">
        <v>29</v>
      </c>
      <c r="B34" s="33" t="s">
        <v>22</v>
      </c>
      <c r="C34" s="1" t="s">
        <v>16</v>
      </c>
      <c r="D34" s="14">
        <v>274</v>
      </c>
      <c r="E34" s="14">
        <v>347</v>
      </c>
      <c r="F34" s="14">
        <v>345</v>
      </c>
      <c r="G34" s="14">
        <v>345</v>
      </c>
      <c r="H34" s="14">
        <v>345</v>
      </c>
      <c r="I34" s="14" t="s">
        <v>58</v>
      </c>
      <c r="J34" s="14" t="s">
        <v>58</v>
      </c>
      <c r="K34" s="14" t="s">
        <v>58</v>
      </c>
      <c r="L34" s="14" t="s">
        <v>58</v>
      </c>
      <c r="M34" s="14" t="s">
        <v>58</v>
      </c>
      <c r="N34" s="14">
        <v>25146.114999999998</v>
      </c>
      <c r="O34" s="14">
        <v>60442.121549999996</v>
      </c>
      <c r="P34" s="14">
        <v>62497.502052276657</v>
      </c>
      <c r="Q34" s="14">
        <v>64997.402134367723</v>
      </c>
      <c r="R34" s="14">
        <v>67597.298219742428</v>
      </c>
      <c r="S34" s="7"/>
      <c r="T34" s="7"/>
      <c r="U34" s="7"/>
      <c r="V34" s="7"/>
      <c r="W34" s="6"/>
      <c r="X34" s="6"/>
      <c r="Y34" s="6"/>
    </row>
    <row r="35" spans="1:25" s="2" customFormat="1" ht="27.6" hidden="1" x14ac:dyDescent="0.25">
      <c r="A35" s="1">
        <v>30</v>
      </c>
      <c r="B35" s="33" t="s">
        <v>21</v>
      </c>
      <c r="C35" s="1" t="s">
        <v>16</v>
      </c>
      <c r="D35" s="14">
        <v>27</v>
      </c>
      <c r="E35" s="14">
        <v>31</v>
      </c>
      <c r="F35" s="14">
        <v>33</v>
      </c>
      <c r="G35" s="14">
        <v>33</v>
      </c>
      <c r="H35" s="14">
        <v>33</v>
      </c>
      <c r="I35" s="14" t="s">
        <v>58</v>
      </c>
      <c r="J35" s="14" t="s">
        <v>58</v>
      </c>
      <c r="K35" s="14" t="s">
        <v>58</v>
      </c>
      <c r="L35" s="14" t="s">
        <v>58</v>
      </c>
      <c r="M35" s="14" t="s">
        <v>58</v>
      </c>
      <c r="N35" s="14">
        <v>3792.4445999999998</v>
      </c>
      <c r="O35" s="14">
        <v>5643.69679</v>
      </c>
      <c r="P35" s="14">
        <v>6248.1185107354841</v>
      </c>
      <c r="Q35" s="14">
        <v>6498.0432511649033</v>
      </c>
      <c r="R35" s="14">
        <v>6757.9649812114985</v>
      </c>
      <c r="S35" s="7"/>
      <c r="T35" s="7"/>
      <c r="U35" s="7"/>
      <c r="V35" s="7"/>
      <c r="W35" s="6"/>
      <c r="X35" s="6"/>
      <c r="Y35" s="6"/>
    </row>
    <row r="36" spans="1:25" s="2" customFormat="1" ht="27.6" hidden="1" x14ac:dyDescent="0.25">
      <c r="A36" s="1">
        <v>31</v>
      </c>
      <c r="B36" s="33" t="s">
        <v>20</v>
      </c>
      <c r="C36" s="1" t="s">
        <v>16</v>
      </c>
      <c r="D36" s="14">
        <v>40</v>
      </c>
      <c r="E36" s="14">
        <v>56</v>
      </c>
      <c r="F36" s="14">
        <v>56</v>
      </c>
      <c r="G36" s="14">
        <v>56</v>
      </c>
      <c r="H36" s="14">
        <v>56</v>
      </c>
      <c r="I36" s="14" t="s">
        <v>58</v>
      </c>
      <c r="J36" s="14" t="s">
        <v>58</v>
      </c>
      <c r="K36" s="14" t="s">
        <v>58</v>
      </c>
      <c r="L36" s="14" t="s">
        <v>58</v>
      </c>
      <c r="M36" s="14" t="s">
        <v>58</v>
      </c>
      <c r="N36" s="14">
        <v>6257.4646299999995</v>
      </c>
      <c r="O36" s="14">
        <v>10980.761259999999</v>
      </c>
      <c r="P36" s="14">
        <v>11419.9917104</v>
      </c>
      <c r="Q36" s="14">
        <v>11876.791378815999</v>
      </c>
      <c r="R36" s="14">
        <v>12351.863033968639</v>
      </c>
      <c r="S36" s="7"/>
      <c r="T36" s="7"/>
      <c r="U36" s="7"/>
      <c r="V36" s="7"/>
      <c r="W36" s="6"/>
      <c r="X36" s="6"/>
      <c r="Y36" s="6"/>
    </row>
    <row r="37" spans="1:25" s="2" customFormat="1" ht="41.45" hidden="1" x14ac:dyDescent="0.25">
      <c r="A37" s="1">
        <v>32</v>
      </c>
      <c r="B37" s="33" t="s">
        <v>47</v>
      </c>
      <c r="C37" s="1" t="s">
        <v>16</v>
      </c>
      <c r="D37" s="14">
        <v>14</v>
      </c>
      <c r="E37" s="14">
        <v>0</v>
      </c>
      <c r="F37" s="14">
        <v>0</v>
      </c>
      <c r="G37" s="14">
        <v>0</v>
      </c>
      <c r="H37" s="14">
        <v>0</v>
      </c>
      <c r="I37" s="14" t="s">
        <v>58</v>
      </c>
      <c r="J37" s="14" t="s">
        <v>58</v>
      </c>
      <c r="K37" s="14" t="s">
        <v>58</v>
      </c>
      <c r="L37" s="14" t="s">
        <v>58</v>
      </c>
      <c r="M37" s="14" t="s">
        <v>58</v>
      </c>
      <c r="N37" s="14">
        <v>572.6</v>
      </c>
      <c r="O37" s="14">
        <v>0</v>
      </c>
      <c r="P37" s="14">
        <v>0</v>
      </c>
      <c r="Q37" s="14">
        <v>0</v>
      </c>
      <c r="R37" s="14">
        <v>0</v>
      </c>
      <c r="S37" s="7"/>
      <c r="T37" s="7"/>
      <c r="U37" s="7"/>
      <c r="V37" s="7"/>
      <c r="W37" s="6"/>
      <c r="X37" s="6"/>
      <c r="Y37" s="6"/>
    </row>
    <row r="38" spans="1:25" s="2" customFormat="1" ht="55.15" hidden="1" x14ac:dyDescent="0.25">
      <c r="A38" s="1">
        <v>33</v>
      </c>
      <c r="B38" s="33" t="s">
        <v>32</v>
      </c>
      <c r="C38" s="1" t="s">
        <v>16</v>
      </c>
      <c r="D38" s="14">
        <v>4</v>
      </c>
      <c r="E38" s="14">
        <v>0</v>
      </c>
      <c r="F38" s="14">
        <v>0</v>
      </c>
      <c r="G38" s="14">
        <v>0</v>
      </c>
      <c r="H38" s="14">
        <v>0</v>
      </c>
      <c r="I38" s="14" t="s">
        <v>58</v>
      </c>
      <c r="J38" s="14" t="s">
        <v>58</v>
      </c>
      <c r="K38" s="14" t="s">
        <v>58</v>
      </c>
      <c r="L38" s="14" t="s">
        <v>58</v>
      </c>
      <c r="M38" s="14" t="s">
        <v>58</v>
      </c>
      <c r="N38" s="14">
        <v>163.6</v>
      </c>
      <c r="O38" s="14">
        <v>0</v>
      </c>
      <c r="P38" s="14">
        <v>0</v>
      </c>
      <c r="Q38" s="14">
        <v>0</v>
      </c>
      <c r="R38" s="14">
        <v>0</v>
      </c>
      <c r="S38" s="7"/>
      <c r="T38" s="7"/>
      <c r="U38" s="7"/>
      <c r="V38" s="7"/>
      <c r="W38" s="6"/>
      <c r="X38" s="6"/>
      <c r="Y38" s="6"/>
    </row>
    <row r="39" spans="1:25" s="2" customFormat="1" ht="82.9" hidden="1" x14ac:dyDescent="0.25">
      <c r="A39" s="1">
        <v>34</v>
      </c>
      <c r="B39" s="33" t="s">
        <v>52</v>
      </c>
      <c r="C39" s="1" t="s">
        <v>16</v>
      </c>
      <c r="D39" s="14">
        <v>7</v>
      </c>
      <c r="E39" s="14">
        <v>11</v>
      </c>
      <c r="F39" s="14">
        <v>11</v>
      </c>
      <c r="G39" s="14">
        <v>11</v>
      </c>
      <c r="H39" s="14">
        <v>11</v>
      </c>
      <c r="I39" s="14" t="s">
        <v>58</v>
      </c>
      <c r="J39" s="14" t="s">
        <v>58</v>
      </c>
      <c r="K39" s="14" t="s">
        <v>58</v>
      </c>
      <c r="L39" s="14" t="s">
        <v>58</v>
      </c>
      <c r="M39" s="14" t="s">
        <v>58</v>
      </c>
      <c r="N39" s="14">
        <v>1486.3</v>
      </c>
      <c r="O39" s="14">
        <v>6288.2764800000004</v>
      </c>
      <c r="P39" s="14">
        <v>6539.8075392000019</v>
      </c>
      <c r="Q39" s="14">
        <v>6801.3998407680019</v>
      </c>
      <c r="R39" s="14">
        <v>7073.4558343987219</v>
      </c>
      <c r="S39" s="7"/>
      <c r="T39" s="7"/>
      <c r="U39" s="7"/>
      <c r="V39" s="7"/>
      <c r="W39" s="6"/>
      <c r="X39" s="6"/>
      <c r="Y39" s="6"/>
    </row>
    <row r="40" spans="1:25" s="2" customFormat="1" ht="27.6" hidden="1" x14ac:dyDescent="0.25">
      <c r="A40" s="1">
        <v>35</v>
      </c>
      <c r="B40" s="33" t="s">
        <v>15</v>
      </c>
      <c r="C40" s="1" t="s">
        <v>16</v>
      </c>
      <c r="D40" s="14">
        <v>190</v>
      </c>
      <c r="E40" s="14">
        <v>194</v>
      </c>
      <c r="F40" s="14">
        <v>194</v>
      </c>
      <c r="G40" s="14">
        <v>194</v>
      </c>
      <c r="H40" s="14">
        <v>194</v>
      </c>
      <c r="I40" s="14" t="s">
        <v>58</v>
      </c>
      <c r="J40" s="14" t="s">
        <v>58</v>
      </c>
      <c r="K40" s="14" t="s">
        <v>58</v>
      </c>
      <c r="L40" s="14" t="s">
        <v>58</v>
      </c>
      <c r="M40" s="14" t="s">
        <v>58</v>
      </c>
      <c r="N40" s="14">
        <v>30760.555899999999</v>
      </c>
      <c r="O40" s="14">
        <v>43074.041980000002</v>
      </c>
      <c r="P40" s="14">
        <v>44797.003659200003</v>
      </c>
      <c r="Q40" s="14">
        <v>46588.883805568003</v>
      </c>
      <c r="R40" s="14">
        <v>48452.439157790723</v>
      </c>
      <c r="S40" s="7"/>
      <c r="T40" s="7"/>
      <c r="U40" s="7"/>
      <c r="V40" s="7"/>
      <c r="W40" s="6"/>
      <c r="X40" s="6"/>
      <c r="Y40" s="6"/>
    </row>
    <row r="41" spans="1:25" s="2" customFormat="1" ht="41.45" hidden="1" x14ac:dyDescent="0.25">
      <c r="A41" s="1">
        <v>36</v>
      </c>
      <c r="B41" s="33" t="s">
        <v>19</v>
      </c>
      <c r="C41" s="1" t="s">
        <v>16</v>
      </c>
      <c r="D41" s="14">
        <v>65</v>
      </c>
      <c r="E41" s="14">
        <v>84</v>
      </c>
      <c r="F41" s="14">
        <v>81</v>
      </c>
      <c r="G41" s="14">
        <v>81</v>
      </c>
      <c r="H41" s="14">
        <v>81</v>
      </c>
      <c r="I41" s="14" t="s">
        <v>58</v>
      </c>
      <c r="J41" s="14" t="s">
        <v>58</v>
      </c>
      <c r="K41" s="14" t="s">
        <v>58</v>
      </c>
      <c r="L41" s="14" t="s">
        <v>58</v>
      </c>
      <c r="M41" s="14" t="s">
        <v>58</v>
      </c>
      <c r="N41" s="14">
        <v>6483.5103600000002</v>
      </c>
      <c r="O41" s="14">
        <v>23081.58152</v>
      </c>
      <c r="P41" s="14">
        <v>23147.528895771429</v>
      </c>
      <c r="Q41" s="14">
        <v>24073.430051602285</v>
      </c>
      <c r="R41" s="14">
        <v>25036.367253666376</v>
      </c>
      <c r="S41" s="7"/>
      <c r="T41" s="7"/>
      <c r="U41" s="7"/>
      <c r="V41" s="7"/>
      <c r="W41" s="6"/>
      <c r="X41" s="6"/>
      <c r="Y41" s="6"/>
    </row>
    <row r="42" spans="1:25" s="2" customFormat="1" ht="41.45" hidden="1" x14ac:dyDescent="0.25">
      <c r="A42" s="1">
        <v>37</v>
      </c>
      <c r="B42" s="33" t="s">
        <v>45</v>
      </c>
      <c r="C42" s="1" t="s">
        <v>16</v>
      </c>
      <c r="D42" s="14">
        <v>8</v>
      </c>
      <c r="E42" s="14">
        <v>36</v>
      </c>
      <c r="F42" s="14">
        <v>33</v>
      </c>
      <c r="G42" s="14">
        <v>33</v>
      </c>
      <c r="H42" s="14">
        <v>33</v>
      </c>
      <c r="I42" s="14" t="s">
        <v>58</v>
      </c>
      <c r="J42" s="14" t="s">
        <v>58</v>
      </c>
      <c r="K42" s="14" t="s">
        <v>58</v>
      </c>
      <c r="L42" s="14" t="s">
        <v>58</v>
      </c>
      <c r="M42" s="14" t="s">
        <v>58</v>
      </c>
      <c r="N42" s="14">
        <v>1191.22522</v>
      </c>
      <c r="O42" s="14">
        <v>12896.84</v>
      </c>
      <c r="P42" s="14">
        <v>12294.987466666666</v>
      </c>
      <c r="Q42" s="14">
        <v>12786.786965333333</v>
      </c>
      <c r="R42" s="14">
        <v>13298.258443946666</v>
      </c>
      <c r="S42" s="7"/>
      <c r="T42" s="7"/>
      <c r="U42" s="7"/>
      <c r="V42" s="7"/>
      <c r="W42" s="6"/>
      <c r="X42" s="6"/>
      <c r="Y42" s="6"/>
    </row>
    <row r="43" spans="1:25" s="2" customFormat="1" ht="13.9" hidden="1" x14ac:dyDescent="0.25">
      <c r="A43" s="1">
        <v>38</v>
      </c>
      <c r="B43" s="33" t="s">
        <v>33</v>
      </c>
      <c r="C43" s="1" t="s">
        <v>56</v>
      </c>
      <c r="D43" s="14">
        <v>43845.38</v>
      </c>
      <c r="E43" s="14">
        <v>84476</v>
      </c>
      <c r="F43" s="14">
        <v>84476</v>
      </c>
      <c r="G43" s="14">
        <v>84476</v>
      </c>
      <c r="H43" s="14">
        <v>84476</v>
      </c>
      <c r="I43" s="14" t="s">
        <v>58</v>
      </c>
      <c r="J43" s="14" t="s">
        <v>58</v>
      </c>
      <c r="K43" s="14" t="s">
        <v>58</v>
      </c>
      <c r="L43" s="14" t="s">
        <v>58</v>
      </c>
      <c r="M43" s="14" t="s">
        <v>58</v>
      </c>
      <c r="N43" s="14">
        <v>75270.720000000001</v>
      </c>
      <c r="O43" s="14">
        <v>96330.880000000005</v>
      </c>
      <c r="P43" s="14">
        <v>129921.3</v>
      </c>
      <c r="Q43" s="14">
        <v>104015.7</v>
      </c>
      <c r="R43" s="14">
        <v>108176.33</v>
      </c>
      <c r="S43" s="7"/>
      <c r="T43" s="7"/>
      <c r="U43" s="7"/>
      <c r="V43" s="7"/>
      <c r="W43" s="6"/>
      <c r="X43" s="6"/>
      <c r="Y43" s="6"/>
    </row>
    <row r="44" spans="1:25" s="2" customFormat="1" ht="13.9" hidden="1" x14ac:dyDescent="0.25">
      <c r="A44" s="176">
        <v>39</v>
      </c>
      <c r="B44" s="174" t="s">
        <v>41</v>
      </c>
      <c r="C44" s="1" t="s">
        <v>14</v>
      </c>
      <c r="D44" s="14">
        <v>90</v>
      </c>
      <c r="E44" s="14">
        <v>183</v>
      </c>
      <c r="F44" s="14">
        <v>169</v>
      </c>
      <c r="G44" s="14">
        <v>167</v>
      </c>
      <c r="H44" s="14">
        <v>167</v>
      </c>
      <c r="I44" s="14" t="s">
        <v>58</v>
      </c>
      <c r="J44" s="14" t="s">
        <v>58</v>
      </c>
      <c r="K44" s="14" t="s">
        <v>58</v>
      </c>
      <c r="L44" s="14" t="s">
        <v>58</v>
      </c>
      <c r="M44" s="14" t="s">
        <v>58</v>
      </c>
      <c r="N44" s="14">
        <v>0</v>
      </c>
      <c r="O44" s="14">
        <v>693</v>
      </c>
      <c r="P44" s="14">
        <v>720.72</v>
      </c>
      <c r="Q44" s="14">
        <v>749.54880000000003</v>
      </c>
      <c r="R44" s="14">
        <v>779.53075200000001</v>
      </c>
      <c r="S44" s="7"/>
      <c r="T44" s="7"/>
      <c r="U44" s="7"/>
      <c r="V44" s="7"/>
      <c r="W44" s="6"/>
      <c r="X44" s="6"/>
      <c r="Y44" s="6"/>
    </row>
    <row r="45" spans="1:25" s="2" customFormat="1" ht="13.9" hidden="1" x14ac:dyDescent="0.25">
      <c r="A45" s="177"/>
      <c r="B45" s="175"/>
      <c r="C45" s="1" t="s">
        <v>57</v>
      </c>
      <c r="D45" s="14">
        <v>81</v>
      </c>
      <c r="E45" s="14">
        <v>203</v>
      </c>
      <c r="F45" s="14">
        <v>203</v>
      </c>
      <c r="G45" s="14">
        <v>203</v>
      </c>
      <c r="H45" s="14">
        <v>203</v>
      </c>
      <c r="I45" s="14" t="s">
        <v>58</v>
      </c>
      <c r="J45" s="14" t="s">
        <v>58</v>
      </c>
      <c r="K45" s="14" t="s">
        <v>58</v>
      </c>
      <c r="L45" s="14" t="s">
        <v>58</v>
      </c>
      <c r="M45" s="14" t="s">
        <v>58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7"/>
      <c r="T45" s="7"/>
      <c r="U45" s="7"/>
      <c r="V45" s="7"/>
      <c r="W45" s="6"/>
      <c r="X45" s="6"/>
      <c r="Y45" s="6"/>
    </row>
    <row r="46" spans="1:25" s="2" customFormat="1" ht="55.15" hidden="1" x14ac:dyDescent="0.25">
      <c r="A46" s="1">
        <v>40</v>
      </c>
      <c r="B46" s="33" t="s">
        <v>50</v>
      </c>
      <c r="C46" s="1" t="s">
        <v>16</v>
      </c>
      <c r="D46" s="14">
        <v>2</v>
      </c>
      <c r="E46" s="14">
        <v>2</v>
      </c>
      <c r="F46" s="14">
        <v>2</v>
      </c>
      <c r="G46" s="14">
        <v>2</v>
      </c>
      <c r="H46" s="14">
        <v>2</v>
      </c>
      <c r="I46" s="14" t="s">
        <v>58</v>
      </c>
      <c r="J46" s="14" t="s">
        <v>58</v>
      </c>
      <c r="K46" s="14" t="s">
        <v>58</v>
      </c>
      <c r="L46" s="14" t="s">
        <v>58</v>
      </c>
      <c r="M46" s="14" t="s">
        <v>58</v>
      </c>
      <c r="N46" s="14">
        <v>245.73</v>
      </c>
      <c r="O46" s="14">
        <v>300.2398</v>
      </c>
      <c r="P46" s="14">
        <v>312.249392</v>
      </c>
      <c r="Q46" s="14">
        <v>324.73936767999999</v>
      </c>
      <c r="R46" s="14">
        <v>337.72894238719999</v>
      </c>
      <c r="S46" s="7"/>
      <c r="T46" s="7"/>
      <c r="U46" s="7"/>
      <c r="V46" s="7"/>
      <c r="W46" s="6"/>
      <c r="X46" s="6"/>
      <c r="Y46" s="6"/>
    </row>
    <row r="47" spans="1:25" s="2" customFormat="1" ht="55.15" hidden="1" x14ac:dyDescent="0.25">
      <c r="A47" s="1">
        <v>41</v>
      </c>
      <c r="B47" s="33" t="s">
        <v>53</v>
      </c>
      <c r="C47" s="1" t="s">
        <v>16</v>
      </c>
      <c r="D47" s="14">
        <v>0</v>
      </c>
      <c r="E47" s="14">
        <v>4</v>
      </c>
      <c r="F47" s="14">
        <v>2</v>
      </c>
      <c r="G47" s="14">
        <v>3</v>
      </c>
      <c r="H47" s="14">
        <v>3</v>
      </c>
      <c r="I47" s="14" t="s">
        <v>58</v>
      </c>
      <c r="J47" s="14" t="s">
        <v>58</v>
      </c>
      <c r="K47" s="14" t="s">
        <v>58</v>
      </c>
      <c r="L47" s="14" t="s">
        <v>58</v>
      </c>
      <c r="M47" s="14" t="s">
        <v>58</v>
      </c>
      <c r="N47" s="14">
        <v>0</v>
      </c>
      <c r="O47" s="14">
        <v>1920</v>
      </c>
      <c r="P47" s="14">
        <v>998.4</v>
      </c>
      <c r="Q47" s="14">
        <v>1557.5039999999999</v>
      </c>
      <c r="R47" s="14">
        <v>1619.8041599999999</v>
      </c>
      <c r="S47" s="7"/>
      <c r="T47" s="7"/>
      <c r="U47" s="7"/>
      <c r="V47" s="7"/>
      <c r="W47" s="6"/>
      <c r="X47" s="6"/>
      <c r="Y47" s="6"/>
    </row>
    <row r="48" spans="1:25" s="2" customFormat="1" ht="14.45" hidden="1" x14ac:dyDescent="0.3">
      <c r="A48" s="30"/>
      <c r="B48" s="10" t="s">
        <v>0</v>
      </c>
      <c r="C48" s="3" t="s">
        <v>8</v>
      </c>
      <c r="D48" s="3" t="s">
        <v>8</v>
      </c>
      <c r="E48" s="3" t="s">
        <v>8</v>
      </c>
      <c r="F48" s="3" t="s">
        <v>8</v>
      </c>
      <c r="G48" s="3" t="s">
        <v>8</v>
      </c>
      <c r="H48" s="3" t="s">
        <v>8</v>
      </c>
      <c r="I48" s="3" t="s">
        <v>8</v>
      </c>
      <c r="J48" s="3" t="s">
        <v>8</v>
      </c>
      <c r="K48" s="3" t="s">
        <v>8</v>
      </c>
      <c r="L48" s="3" t="s">
        <v>8</v>
      </c>
      <c r="M48" s="3" t="s">
        <v>8</v>
      </c>
      <c r="N48" s="51">
        <f>SUM(N6:N47)</f>
        <v>348687.44336160005</v>
      </c>
      <c r="O48" s="51">
        <f>SUM(O6:O47)</f>
        <v>495706.70668</v>
      </c>
      <c r="P48" s="51">
        <f>SUM(P6:P47)</f>
        <v>596261.35994608537</v>
      </c>
      <c r="Q48" s="51">
        <f>SUM(Q6:Q47)</f>
        <v>634156.40410768881</v>
      </c>
      <c r="R48" s="51">
        <f>SUM(R6:R47)</f>
        <v>699796.44564899639</v>
      </c>
      <c r="S48" s="5"/>
    </row>
    <row r="49" spans="1:19" s="2" customFormat="1" ht="13.9" hidden="1" x14ac:dyDescent="0.25">
      <c r="A49" s="163" t="s">
        <v>60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</row>
    <row r="50" spans="1:19" s="2" customFormat="1" ht="110.45" hidden="1" x14ac:dyDescent="0.25">
      <c r="A50" s="1">
        <v>1</v>
      </c>
      <c r="B50" s="33" t="s">
        <v>275</v>
      </c>
      <c r="C50" s="1" t="s">
        <v>61</v>
      </c>
      <c r="D50" s="14">
        <v>10</v>
      </c>
      <c r="E50" s="14">
        <v>23</v>
      </c>
      <c r="F50" s="14">
        <v>22</v>
      </c>
      <c r="G50" s="14">
        <v>22</v>
      </c>
      <c r="H50" s="14">
        <v>22</v>
      </c>
      <c r="I50" s="14"/>
      <c r="J50" s="14"/>
      <c r="K50" s="14"/>
      <c r="L50" s="14"/>
      <c r="M50" s="14"/>
      <c r="N50" s="14">
        <v>9465.5</v>
      </c>
      <c r="O50" s="14">
        <v>13057.7</v>
      </c>
      <c r="P50" s="14">
        <v>13000</v>
      </c>
      <c r="Q50" s="14">
        <v>13500</v>
      </c>
      <c r="R50" s="14">
        <v>14000</v>
      </c>
      <c r="S50" s="6"/>
    </row>
    <row r="51" spans="1:19" s="2" customFormat="1" ht="82.9" hidden="1" x14ac:dyDescent="0.25">
      <c r="A51" s="1">
        <v>2</v>
      </c>
      <c r="B51" s="33" t="s">
        <v>274</v>
      </c>
      <c r="C51" s="1" t="s">
        <v>61</v>
      </c>
      <c r="D51" s="14">
        <v>20</v>
      </c>
      <c r="E51" s="14">
        <v>15</v>
      </c>
      <c r="F51" s="14">
        <v>5</v>
      </c>
      <c r="G51" s="14">
        <v>5</v>
      </c>
      <c r="H51" s="14">
        <v>5</v>
      </c>
      <c r="I51" s="14"/>
      <c r="J51" s="14"/>
      <c r="K51" s="14"/>
      <c r="L51" s="14"/>
      <c r="M51" s="14"/>
      <c r="N51" s="14">
        <v>8930.7000000000007</v>
      </c>
      <c r="O51" s="14">
        <v>11583.442999999999</v>
      </c>
      <c r="P51" s="14">
        <v>10000</v>
      </c>
      <c r="Q51" s="14">
        <v>10000</v>
      </c>
      <c r="R51" s="14">
        <v>10000</v>
      </c>
    </row>
    <row r="52" spans="1:19" s="2" customFormat="1" ht="82.9" hidden="1" x14ac:dyDescent="0.25">
      <c r="A52" s="1">
        <v>3</v>
      </c>
      <c r="B52" s="33" t="s">
        <v>273</v>
      </c>
      <c r="C52" s="1" t="s">
        <v>61</v>
      </c>
      <c r="D52" s="14">
        <v>30</v>
      </c>
      <c r="E52" s="14">
        <v>33</v>
      </c>
      <c r="F52" s="14">
        <v>32</v>
      </c>
      <c r="G52" s="14">
        <v>32</v>
      </c>
      <c r="H52" s="14">
        <v>32</v>
      </c>
      <c r="I52" s="14"/>
      <c r="J52" s="14"/>
      <c r="K52" s="14"/>
      <c r="L52" s="14"/>
      <c r="M52" s="14"/>
      <c r="N52" s="14">
        <v>25317</v>
      </c>
      <c r="O52" s="14">
        <v>29056.857</v>
      </c>
      <c r="P52" s="14">
        <v>23300</v>
      </c>
      <c r="Q52" s="14">
        <v>27170</v>
      </c>
      <c r="R52" s="14">
        <v>27200</v>
      </c>
    </row>
    <row r="53" spans="1:19" s="2" customFormat="1" ht="69" hidden="1" x14ac:dyDescent="0.25">
      <c r="A53" s="1">
        <v>4</v>
      </c>
      <c r="B53" s="33" t="s">
        <v>272</v>
      </c>
      <c r="C53" s="1" t="s">
        <v>61</v>
      </c>
      <c r="D53" s="14">
        <v>6</v>
      </c>
      <c r="E53" s="14">
        <v>16</v>
      </c>
      <c r="F53" s="14">
        <v>4</v>
      </c>
      <c r="G53" s="14">
        <v>4</v>
      </c>
      <c r="H53" s="14">
        <v>4</v>
      </c>
      <c r="I53" s="14"/>
      <c r="J53" s="14"/>
      <c r="K53" s="14"/>
      <c r="L53" s="14"/>
      <c r="M53" s="14"/>
      <c r="N53" s="14">
        <v>25650</v>
      </c>
      <c r="O53" s="14">
        <v>18008</v>
      </c>
      <c r="P53" s="14">
        <v>14500</v>
      </c>
      <c r="Q53" s="14">
        <v>15000</v>
      </c>
      <c r="R53" s="14">
        <v>15000</v>
      </c>
    </row>
    <row r="54" spans="1:19" s="2" customFormat="1" ht="13.9" hidden="1" x14ac:dyDescent="0.25">
      <c r="A54" s="9"/>
      <c r="B54" s="10" t="s">
        <v>0</v>
      </c>
      <c r="C54" s="3"/>
      <c r="D54" s="11" t="s">
        <v>8</v>
      </c>
      <c r="E54" s="11" t="s">
        <v>8</v>
      </c>
      <c r="F54" s="11" t="s">
        <v>8</v>
      </c>
      <c r="G54" s="11" t="s">
        <v>8</v>
      </c>
      <c r="H54" s="11" t="s">
        <v>8</v>
      </c>
      <c r="I54" s="11" t="s">
        <v>8</v>
      </c>
      <c r="J54" s="11" t="s">
        <v>8</v>
      </c>
      <c r="K54" s="11" t="s">
        <v>8</v>
      </c>
      <c r="L54" s="11" t="s">
        <v>8</v>
      </c>
      <c r="M54" s="11" t="s">
        <v>8</v>
      </c>
      <c r="N54" s="51">
        <f>N50+N51+N52+N53</f>
        <v>69363.199999999997</v>
      </c>
      <c r="O54" s="51">
        <f>O50+O51+O52+O53</f>
        <v>71706</v>
      </c>
      <c r="P54" s="51">
        <f>P50+P51+P52+P53</f>
        <v>60800</v>
      </c>
      <c r="Q54" s="51">
        <f>Q50+Q51+Q52+Q53</f>
        <v>65670</v>
      </c>
      <c r="R54" s="51">
        <f>R50+R51+R52+R53</f>
        <v>66200</v>
      </c>
    </row>
    <row r="55" spans="1:19" s="2" customFormat="1" ht="13.9" hidden="1" x14ac:dyDescent="0.25">
      <c r="A55" s="173" t="s">
        <v>62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</row>
    <row r="56" spans="1:19" s="2" customFormat="1" ht="55.15" hidden="1" x14ac:dyDescent="0.25">
      <c r="A56" s="28">
        <v>1</v>
      </c>
      <c r="B56" s="42" t="s">
        <v>63</v>
      </c>
      <c r="C56" s="28" t="s">
        <v>14</v>
      </c>
      <c r="D56" s="49">
        <v>3401</v>
      </c>
      <c r="E56" s="14">
        <v>3429</v>
      </c>
      <c r="F56" s="14">
        <v>3383</v>
      </c>
      <c r="G56" s="14">
        <v>3383</v>
      </c>
      <c r="H56" s="14">
        <v>3383</v>
      </c>
      <c r="I56" s="14">
        <v>85290</v>
      </c>
      <c r="J56" s="14">
        <v>90000</v>
      </c>
      <c r="K56" s="14">
        <v>93600</v>
      </c>
      <c r="L56" s="14">
        <v>97344</v>
      </c>
      <c r="M56" s="14">
        <f>L56*1.06</f>
        <v>103184.64</v>
      </c>
      <c r="N56" s="49">
        <v>350520.4</v>
      </c>
      <c r="O56" s="14">
        <v>345337.4</v>
      </c>
      <c r="P56" s="14">
        <f>ROUND(1.0758*O56,0)</f>
        <v>371514</v>
      </c>
      <c r="Q56" s="14">
        <f>ROUND(1.050797*P56,0)</f>
        <v>390386</v>
      </c>
      <c r="R56" s="14">
        <f>ROUND(1.06*Q56,0)</f>
        <v>413809</v>
      </c>
    </row>
    <row r="57" spans="1:19" s="2" customFormat="1" ht="55.15" hidden="1" x14ac:dyDescent="0.25">
      <c r="A57" s="28">
        <v>2</v>
      </c>
      <c r="B57" s="42" t="s">
        <v>64</v>
      </c>
      <c r="C57" s="28" t="s">
        <v>14</v>
      </c>
      <c r="D57" s="49">
        <f>7823+920+469</f>
        <v>9212</v>
      </c>
      <c r="E57" s="14">
        <v>9709</v>
      </c>
      <c r="F57" s="14">
        <f>8396+1150+446</f>
        <v>9992</v>
      </c>
      <c r="G57" s="14">
        <f>8396+1150+446</f>
        <v>9992</v>
      </c>
      <c r="H57" s="14">
        <f>8396+1150+446</f>
        <v>9992</v>
      </c>
      <c r="I57" s="14">
        <v>86330</v>
      </c>
      <c r="J57" s="14">
        <v>91500</v>
      </c>
      <c r="K57" s="14">
        <v>95200</v>
      </c>
      <c r="L57" s="14">
        <v>99008</v>
      </c>
      <c r="M57" s="14">
        <f>L57*1.06</f>
        <v>104948.48000000001</v>
      </c>
      <c r="N57" s="49">
        <f>1358829.8-N56-N58-N59+119912.3</f>
        <v>1035867.04</v>
      </c>
      <c r="O57" s="49">
        <f>1467230.2-O56-O58-O59+151939.2</f>
        <v>1172173.1999999997</v>
      </c>
      <c r="P57" s="49">
        <f>1578517.8-P56-P58-P59</f>
        <v>1101171.7</v>
      </c>
      <c r="Q57" s="49">
        <f>1658701.2-Q56-Q58-Q59+158016.7</f>
        <v>1315540.0359999998</v>
      </c>
      <c r="R57" s="49">
        <f>1758223.3-R56-R58-R59+172285.77</f>
        <v>1399260.6141600001</v>
      </c>
    </row>
    <row r="58" spans="1:19" s="2" customFormat="1" ht="55.15" hidden="1" x14ac:dyDescent="0.25">
      <c r="A58" s="28">
        <v>3</v>
      </c>
      <c r="B58" s="42" t="s">
        <v>65</v>
      </c>
      <c r="C58" s="28" t="s">
        <v>14</v>
      </c>
      <c r="D58" s="49">
        <f>949+119</f>
        <v>1068</v>
      </c>
      <c r="E58" s="14">
        <v>1068</v>
      </c>
      <c r="F58" s="14">
        <f>912+99</f>
        <v>1011</v>
      </c>
      <c r="G58" s="14">
        <f>912+99</f>
        <v>1011</v>
      </c>
      <c r="H58" s="14">
        <f>912+99</f>
        <v>1011</v>
      </c>
      <c r="I58" s="14">
        <v>34520</v>
      </c>
      <c r="J58" s="14">
        <v>36600</v>
      </c>
      <c r="K58" s="14">
        <v>38100</v>
      </c>
      <c r="L58" s="14">
        <v>39624</v>
      </c>
      <c r="M58" s="14">
        <f>L58*1.06</f>
        <v>42001.440000000002</v>
      </c>
      <c r="N58" s="49">
        <f>D58*I58/1000</f>
        <v>36867.360000000001</v>
      </c>
      <c r="O58" s="49">
        <f>E58*J58/1000</f>
        <v>39088.800000000003</v>
      </c>
      <c r="P58" s="49">
        <f>F58*K58/1000</f>
        <v>38519.1</v>
      </c>
      <c r="Q58" s="49">
        <f>G58*L58/1000</f>
        <v>40059.864000000001</v>
      </c>
      <c r="R58" s="49">
        <f>H58*M58/1000</f>
        <v>42463.455840000002</v>
      </c>
    </row>
    <row r="59" spans="1:19" s="2" customFormat="1" ht="69" hidden="1" x14ac:dyDescent="0.25">
      <c r="A59" s="28">
        <v>4</v>
      </c>
      <c r="B59" s="42" t="s">
        <v>66</v>
      </c>
      <c r="C59" s="28" t="s">
        <v>67</v>
      </c>
      <c r="D59" s="49">
        <f>226800</f>
        <v>226800</v>
      </c>
      <c r="E59" s="14">
        <f>237600</f>
        <v>237600</v>
      </c>
      <c r="F59" s="14">
        <f>272700</f>
        <v>272700</v>
      </c>
      <c r="G59" s="14">
        <f>272700</f>
        <v>272700</v>
      </c>
      <c r="H59" s="14">
        <f>272700</f>
        <v>272700</v>
      </c>
      <c r="I59" s="14">
        <v>184</v>
      </c>
      <c r="J59" s="14">
        <v>197</v>
      </c>
      <c r="K59" s="14">
        <v>200</v>
      </c>
      <c r="L59" s="14">
        <v>208</v>
      </c>
      <c r="M59" s="14">
        <v>220</v>
      </c>
      <c r="N59" s="49">
        <v>55487.3</v>
      </c>
      <c r="O59" s="14">
        <v>62570</v>
      </c>
      <c r="P59" s="14">
        <f>ROUND(1.0758*O59,0)</f>
        <v>67313</v>
      </c>
      <c r="Q59" s="14">
        <f>ROUND(1.050797*P59,0)</f>
        <v>70732</v>
      </c>
      <c r="R59" s="14">
        <f>ROUND(1.06*Q59,0)</f>
        <v>74976</v>
      </c>
    </row>
    <row r="60" spans="1:19" s="2" customFormat="1" ht="69" hidden="1" x14ac:dyDescent="0.25">
      <c r="A60" s="28">
        <v>5</v>
      </c>
      <c r="B60" s="42" t="s">
        <v>66</v>
      </c>
      <c r="C60" s="28" t="s">
        <v>67</v>
      </c>
      <c r="D60" s="49">
        <f>72866</f>
        <v>72866</v>
      </c>
      <c r="E60" s="14">
        <f>75634</f>
        <v>75634</v>
      </c>
      <c r="F60" s="14">
        <f>81356</f>
        <v>81356</v>
      </c>
      <c r="G60" s="14">
        <f>81356</f>
        <v>81356</v>
      </c>
      <c r="H60" s="14">
        <f>81356</f>
        <v>81356</v>
      </c>
      <c r="I60" s="14">
        <v>809.3</v>
      </c>
      <c r="J60" s="14">
        <v>820</v>
      </c>
      <c r="K60" s="14">
        <v>860</v>
      </c>
      <c r="L60" s="14">
        <v>900</v>
      </c>
      <c r="M60" s="14">
        <v>950</v>
      </c>
      <c r="N60" s="49">
        <f>D60*I60/1000</f>
        <v>58970.453799999996</v>
      </c>
      <c r="O60" s="49">
        <f>E60*J60/1000</f>
        <v>62019.88</v>
      </c>
      <c r="P60" s="49">
        <f>F60*K60/1000</f>
        <v>69966.16</v>
      </c>
      <c r="Q60" s="49">
        <f>G60*L60/1000</f>
        <v>73220.399999999994</v>
      </c>
      <c r="R60" s="49">
        <f>H60*M60/1000</f>
        <v>77288.2</v>
      </c>
    </row>
    <row r="61" spans="1:19" s="2" customFormat="1" ht="41.45" hidden="1" x14ac:dyDescent="0.25">
      <c r="A61" s="28">
        <v>6</v>
      </c>
      <c r="B61" s="42" t="s">
        <v>68</v>
      </c>
      <c r="C61" s="28" t="s">
        <v>14</v>
      </c>
      <c r="D61" s="49">
        <f>696+1558</f>
        <v>2254</v>
      </c>
      <c r="E61" s="14">
        <v>2336</v>
      </c>
      <c r="F61" s="14">
        <f>778+1716</f>
        <v>2494</v>
      </c>
      <c r="G61" s="14">
        <f>778+1716</f>
        <v>2494</v>
      </c>
      <c r="H61" s="14">
        <f>778+1716</f>
        <v>2494</v>
      </c>
      <c r="I61" s="14">
        <v>146890</v>
      </c>
      <c r="J61" s="14">
        <v>155820</v>
      </c>
      <c r="K61" s="14">
        <v>162100</v>
      </c>
      <c r="L61" s="14">
        <v>168584</v>
      </c>
      <c r="M61" s="14">
        <v>178700</v>
      </c>
      <c r="N61" s="49">
        <v>331090.06</v>
      </c>
      <c r="O61" s="49">
        <v>363995.52</v>
      </c>
      <c r="P61" s="49">
        <v>404277.4</v>
      </c>
      <c r="Q61" s="49">
        <v>420448.49599999998</v>
      </c>
      <c r="R61" s="49">
        <v>445677.8</v>
      </c>
    </row>
    <row r="62" spans="1:19" s="2" customFormat="1" ht="41.45" hidden="1" x14ac:dyDescent="0.25">
      <c r="A62" s="28">
        <v>7</v>
      </c>
      <c r="B62" s="42" t="s">
        <v>69</v>
      </c>
      <c r="C62" s="28" t="s">
        <v>14</v>
      </c>
      <c r="D62" s="49">
        <v>18</v>
      </c>
      <c r="E62" s="14">
        <v>28</v>
      </c>
      <c r="F62" s="14">
        <v>58</v>
      </c>
      <c r="G62" s="14">
        <v>59</v>
      </c>
      <c r="H62" s="14">
        <v>60</v>
      </c>
      <c r="I62" s="14">
        <v>73450</v>
      </c>
      <c r="J62" s="14">
        <v>77910</v>
      </c>
      <c r="K62" s="14">
        <v>81050</v>
      </c>
      <c r="L62" s="14">
        <v>84300</v>
      </c>
      <c r="M62" s="14">
        <v>89350</v>
      </c>
      <c r="N62" s="49">
        <v>1322.1</v>
      </c>
      <c r="O62" s="49">
        <v>2181.48</v>
      </c>
      <c r="P62" s="49">
        <v>4700.8999999999996</v>
      </c>
      <c r="Q62" s="49">
        <v>4973.7</v>
      </c>
      <c r="R62" s="49">
        <v>5361</v>
      </c>
    </row>
    <row r="63" spans="1:19" s="2" customFormat="1" ht="41.45" hidden="1" x14ac:dyDescent="0.25">
      <c r="A63" s="28">
        <v>8</v>
      </c>
      <c r="B63" s="42" t="s">
        <v>70</v>
      </c>
      <c r="C63" s="28" t="s">
        <v>14</v>
      </c>
      <c r="D63" s="49">
        <f>158+875</f>
        <v>1033</v>
      </c>
      <c r="E63" s="14">
        <v>1016</v>
      </c>
      <c r="F63" s="14">
        <f>194+869</f>
        <v>1063</v>
      </c>
      <c r="G63" s="14">
        <f>194+869</f>
        <v>1063</v>
      </c>
      <c r="H63" s="14">
        <f>194+869</f>
        <v>1063</v>
      </c>
      <c r="I63" s="14">
        <v>58760</v>
      </c>
      <c r="J63" s="14">
        <v>62330</v>
      </c>
      <c r="K63" s="14">
        <v>64800</v>
      </c>
      <c r="L63" s="14">
        <v>67400</v>
      </c>
      <c r="M63" s="14">
        <v>71500</v>
      </c>
      <c r="N63" s="49">
        <v>60699.08</v>
      </c>
      <c r="O63" s="49">
        <v>63327.28</v>
      </c>
      <c r="P63" s="49">
        <v>68882.399999999994</v>
      </c>
      <c r="Q63" s="49">
        <v>71646.2</v>
      </c>
      <c r="R63" s="49">
        <v>76004.5</v>
      </c>
    </row>
    <row r="64" spans="1:19" s="2" customFormat="1" ht="41.45" hidden="1" x14ac:dyDescent="0.25">
      <c r="A64" s="28">
        <v>9</v>
      </c>
      <c r="B64" s="42" t="s">
        <v>71</v>
      </c>
      <c r="C64" s="28" t="s">
        <v>14</v>
      </c>
      <c r="D64" s="49">
        <f>53+210</f>
        <v>263</v>
      </c>
      <c r="E64" s="14">
        <v>288</v>
      </c>
      <c r="F64" s="14">
        <f>111+262</f>
        <v>373</v>
      </c>
      <c r="G64" s="14">
        <f>111+262</f>
        <v>373</v>
      </c>
      <c r="H64" s="14">
        <f>111+262</f>
        <v>373</v>
      </c>
      <c r="I64" s="14">
        <v>146890</v>
      </c>
      <c r="J64" s="14">
        <v>155820</v>
      </c>
      <c r="K64" s="14">
        <v>162100</v>
      </c>
      <c r="L64" s="14">
        <v>168584</v>
      </c>
      <c r="M64" s="14">
        <v>175350</v>
      </c>
      <c r="N64" s="49">
        <v>38632.07</v>
      </c>
      <c r="O64" s="49">
        <v>44876.160000000003</v>
      </c>
      <c r="P64" s="49">
        <v>60463.3</v>
      </c>
      <c r="Q64" s="49">
        <v>62881.832000000002</v>
      </c>
      <c r="R64" s="49">
        <v>65405.55</v>
      </c>
    </row>
    <row r="65" spans="1:18" s="2" customFormat="1" ht="27.6" hidden="1" x14ac:dyDescent="0.25">
      <c r="A65" s="28">
        <v>10</v>
      </c>
      <c r="B65" s="45" t="s">
        <v>72</v>
      </c>
      <c r="C65" s="28" t="s">
        <v>14</v>
      </c>
      <c r="D65" s="49">
        <v>184</v>
      </c>
      <c r="E65" s="14">
        <v>184</v>
      </c>
      <c r="F65" s="14">
        <v>186</v>
      </c>
      <c r="G65" s="14">
        <v>186</v>
      </c>
      <c r="H65" s="14">
        <v>186</v>
      </c>
      <c r="I65" s="14">
        <v>100409</v>
      </c>
      <c r="J65" s="14">
        <v>110000</v>
      </c>
      <c r="K65" s="14">
        <v>114000</v>
      </c>
      <c r="L65" s="14">
        <v>118500</v>
      </c>
      <c r="M65" s="14">
        <v>123200</v>
      </c>
      <c r="N65" s="49">
        <v>18475.256000000001</v>
      </c>
      <c r="O65" s="49">
        <v>20240</v>
      </c>
      <c r="P65" s="49">
        <v>21204</v>
      </c>
      <c r="Q65" s="49">
        <v>22041</v>
      </c>
      <c r="R65" s="49">
        <v>22915.200000000001</v>
      </c>
    </row>
    <row r="66" spans="1:18" s="2" customFormat="1" ht="55.15" hidden="1" x14ac:dyDescent="0.25">
      <c r="A66" s="28">
        <v>11</v>
      </c>
      <c r="B66" s="42" t="s">
        <v>73</v>
      </c>
      <c r="C66" s="28" t="s">
        <v>14</v>
      </c>
      <c r="D66" s="49">
        <f>9+28</f>
        <v>37</v>
      </c>
      <c r="E66" s="14">
        <v>37</v>
      </c>
      <c r="F66" s="49">
        <f>9+30</f>
        <v>39</v>
      </c>
      <c r="G66" s="49">
        <f>9+30</f>
        <v>39</v>
      </c>
      <c r="H66" s="49">
        <f>9+30</f>
        <v>39</v>
      </c>
      <c r="I66" s="14">
        <v>158100</v>
      </c>
      <c r="J66" s="14">
        <v>167590</v>
      </c>
      <c r="K66" s="14">
        <v>174290</v>
      </c>
      <c r="L66" s="14">
        <v>181260</v>
      </c>
      <c r="M66" s="14">
        <v>188510</v>
      </c>
      <c r="N66" s="49">
        <v>5849.7</v>
      </c>
      <c r="O66" s="49">
        <v>6200.83</v>
      </c>
      <c r="P66" s="49">
        <v>6797.31</v>
      </c>
      <c r="Q66" s="49">
        <v>7069.14</v>
      </c>
      <c r="R66" s="49">
        <v>7351.89</v>
      </c>
    </row>
    <row r="67" spans="1:18" s="2" customFormat="1" ht="41.45" hidden="1" x14ac:dyDescent="0.25">
      <c r="A67" s="28">
        <v>12</v>
      </c>
      <c r="B67" s="45" t="s">
        <v>74</v>
      </c>
      <c r="C67" s="28" t="s">
        <v>14</v>
      </c>
      <c r="D67" s="49">
        <v>116</v>
      </c>
      <c r="E67" s="14">
        <v>115</v>
      </c>
      <c r="F67" s="14">
        <v>121</v>
      </c>
      <c r="G67" s="14">
        <v>121</v>
      </c>
      <c r="H67" s="14">
        <v>121</v>
      </c>
      <c r="I67" s="14">
        <v>92164.42</v>
      </c>
      <c r="J67" s="14">
        <v>110000</v>
      </c>
      <c r="K67" s="14">
        <v>114000</v>
      </c>
      <c r="L67" s="14">
        <v>118500</v>
      </c>
      <c r="M67" s="14">
        <v>123200</v>
      </c>
      <c r="N67" s="49">
        <v>10691.07272</v>
      </c>
      <c r="O67" s="49">
        <v>12650</v>
      </c>
      <c r="P67" s="49">
        <v>13794</v>
      </c>
      <c r="Q67" s="49">
        <v>14338.5</v>
      </c>
      <c r="R67" s="49">
        <v>14907.2</v>
      </c>
    </row>
    <row r="68" spans="1:18" s="2" customFormat="1" ht="27.6" hidden="1" x14ac:dyDescent="0.25">
      <c r="A68" s="28">
        <v>13</v>
      </c>
      <c r="B68" s="42" t="s">
        <v>75</v>
      </c>
      <c r="C68" s="28" t="s">
        <v>67</v>
      </c>
      <c r="D68" s="49">
        <f>21550+358906+165541</f>
        <v>545997</v>
      </c>
      <c r="E68" s="14">
        <v>554386</v>
      </c>
      <c r="F68" s="14">
        <v>539292</v>
      </c>
      <c r="G68" s="14">
        <v>539292</v>
      </c>
      <c r="H68" s="14">
        <v>539292</v>
      </c>
      <c r="I68" s="14">
        <v>89.3</v>
      </c>
      <c r="J68" s="14">
        <v>92.87</v>
      </c>
      <c r="K68" s="14">
        <v>100</v>
      </c>
      <c r="L68" s="14">
        <v>104</v>
      </c>
      <c r="M68" s="14">
        <v>108</v>
      </c>
      <c r="N68" s="49">
        <v>48757.532100000004</v>
      </c>
      <c r="O68" s="49">
        <v>51485.827819999999</v>
      </c>
      <c r="P68" s="49">
        <v>53929.2</v>
      </c>
      <c r="Q68" s="49">
        <v>56086.368000000002</v>
      </c>
      <c r="R68" s="49">
        <v>58243.536</v>
      </c>
    </row>
    <row r="69" spans="1:18" s="2" customFormat="1" ht="41.45" hidden="1" x14ac:dyDescent="0.25">
      <c r="A69" s="28">
        <v>14</v>
      </c>
      <c r="B69" s="46" t="s">
        <v>76</v>
      </c>
      <c r="C69" s="28" t="s">
        <v>67</v>
      </c>
      <c r="D69" s="49">
        <f>560126+160396</f>
        <v>720522</v>
      </c>
      <c r="E69" s="14">
        <v>809300</v>
      </c>
      <c r="F69" s="14">
        <v>1120059</v>
      </c>
      <c r="G69" s="14">
        <v>1120059</v>
      </c>
      <c r="H69" s="14">
        <v>1120059</v>
      </c>
      <c r="I69" s="14">
        <v>89.3</v>
      </c>
      <c r="J69" s="14">
        <v>92.87</v>
      </c>
      <c r="K69" s="14">
        <v>100</v>
      </c>
      <c r="L69" s="14">
        <v>104</v>
      </c>
      <c r="M69" s="14">
        <v>108</v>
      </c>
      <c r="N69" s="49">
        <v>64342.614600000001</v>
      </c>
      <c r="O69" s="49">
        <v>75159.691000000006</v>
      </c>
      <c r="P69" s="49">
        <v>112005.9</v>
      </c>
      <c r="Q69" s="49">
        <v>116486.136</v>
      </c>
      <c r="R69" s="49">
        <v>120966.372</v>
      </c>
    </row>
    <row r="70" spans="1:18" s="2" customFormat="1" ht="151.9" hidden="1" x14ac:dyDescent="0.25">
      <c r="A70" s="28">
        <v>15</v>
      </c>
      <c r="B70" s="42" t="s">
        <v>77</v>
      </c>
      <c r="C70" s="28" t="s">
        <v>78</v>
      </c>
      <c r="D70" s="49">
        <v>12355</v>
      </c>
      <c r="E70" s="14">
        <v>12921</v>
      </c>
      <c r="F70" s="14">
        <v>13898</v>
      </c>
      <c r="G70" s="14">
        <v>13898</v>
      </c>
      <c r="H70" s="14">
        <v>13898</v>
      </c>
      <c r="I70" s="14">
        <v>1490</v>
      </c>
      <c r="J70" s="14">
        <v>1800</v>
      </c>
      <c r="K70" s="14">
        <v>1900</v>
      </c>
      <c r="L70" s="14">
        <v>2000</v>
      </c>
      <c r="M70" s="14">
        <v>2100</v>
      </c>
      <c r="N70" s="14">
        <v>18408.900000000001</v>
      </c>
      <c r="O70" s="14">
        <v>23257.8</v>
      </c>
      <c r="P70" s="14">
        <v>26406.2</v>
      </c>
      <c r="Q70" s="14">
        <v>27796</v>
      </c>
      <c r="R70" s="14">
        <v>29185.8</v>
      </c>
    </row>
    <row r="71" spans="1:18" s="2" customFormat="1" ht="41.45" hidden="1" x14ac:dyDescent="0.25">
      <c r="A71" s="28">
        <v>16</v>
      </c>
      <c r="B71" s="42" t="s">
        <v>79</v>
      </c>
      <c r="C71" s="28" t="s">
        <v>14</v>
      </c>
      <c r="D71" s="49">
        <v>310</v>
      </c>
      <c r="E71" s="14">
        <v>316</v>
      </c>
      <c r="F71" s="14">
        <v>316</v>
      </c>
      <c r="G71" s="14">
        <v>316</v>
      </c>
      <c r="H71" s="14">
        <v>316</v>
      </c>
      <c r="I71" s="14">
        <v>995100</v>
      </c>
      <c r="J71" s="14">
        <v>1044900</v>
      </c>
      <c r="K71" s="14">
        <v>1086700</v>
      </c>
      <c r="L71" s="14">
        <v>1130100</v>
      </c>
      <c r="M71" s="14">
        <v>1175400</v>
      </c>
      <c r="N71" s="14">
        <v>308481</v>
      </c>
      <c r="O71" s="14">
        <v>330188.40000000002</v>
      </c>
      <c r="P71" s="14">
        <v>343397.2</v>
      </c>
      <c r="Q71" s="14">
        <v>357111.6</v>
      </c>
      <c r="R71" s="14">
        <v>371426.4</v>
      </c>
    </row>
    <row r="72" spans="1:18" s="2" customFormat="1" ht="55.15" hidden="1" x14ac:dyDescent="0.25">
      <c r="A72" s="28">
        <v>17</v>
      </c>
      <c r="B72" s="43" t="s">
        <v>80</v>
      </c>
      <c r="C72" s="28" t="s">
        <v>14</v>
      </c>
      <c r="D72" s="49">
        <v>10</v>
      </c>
      <c r="E72" s="14">
        <v>11</v>
      </c>
      <c r="F72" s="14">
        <v>11</v>
      </c>
      <c r="G72" s="14">
        <v>11</v>
      </c>
      <c r="H72" s="14">
        <v>11</v>
      </c>
      <c r="I72" s="14">
        <v>995100</v>
      </c>
      <c r="J72" s="14">
        <v>1044900</v>
      </c>
      <c r="K72" s="14">
        <v>1086700</v>
      </c>
      <c r="L72" s="14">
        <v>1130100</v>
      </c>
      <c r="M72" s="14">
        <v>1175400</v>
      </c>
      <c r="N72" s="14">
        <v>9951</v>
      </c>
      <c r="O72" s="14">
        <v>11493.9</v>
      </c>
      <c r="P72" s="14">
        <v>11953.7</v>
      </c>
      <c r="Q72" s="14">
        <v>12431.1</v>
      </c>
      <c r="R72" s="14">
        <v>12929.4</v>
      </c>
    </row>
    <row r="73" spans="1:18" s="2" customFormat="1" ht="55.15" hidden="1" x14ac:dyDescent="0.25">
      <c r="A73" s="28">
        <v>18</v>
      </c>
      <c r="B73" s="43" t="s">
        <v>81</v>
      </c>
      <c r="C73" s="28" t="s">
        <v>14</v>
      </c>
      <c r="D73" s="49">
        <v>284</v>
      </c>
      <c r="E73" s="14">
        <v>284</v>
      </c>
      <c r="F73" s="14">
        <v>284</v>
      </c>
      <c r="G73" s="14">
        <v>284</v>
      </c>
      <c r="H73" s="14">
        <v>284</v>
      </c>
      <c r="I73" s="14">
        <v>57300</v>
      </c>
      <c r="J73" s="14">
        <v>60200</v>
      </c>
      <c r="K73" s="14">
        <v>62600</v>
      </c>
      <c r="L73" s="14">
        <v>65100</v>
      </c>
      <c r="M73" s="14">
        <v>67700</v>
      </c>
      <c r="N73" s="14">
        <v>70425.399999999994</v>
      </c>
      <c r="O73" s="14">
        <v>17096.8</v>
      </c>
      <c r="P73" s="14">
        <v>17778.400000000001</v>
      </c>
      <c r="Q73" s="14">
        <v>18488.400000000001</v>
      </c>
      <c r="R73" s="14">
        <v>19226.8</v>
      </c>
    </row>
    <row r="74" spans="1:18" s="2" customFormat="1" ht="55.15" hidden="1" x14ac:dyDescent="0.25">
      <c r="A74" s="28">
        <v>19</v>
      </c>
      <c r="B74" s="44" t="s">
        <v>82</v>
      </c>
      <c r="C74" s="28" t="s">
        <v>14</v>
      </c>
      <c r="D74" s="49">
        <v>173</v>
      </c>
      <c r="E74" s="14">
        <v>156</v>
      </c>
      <c r="F74" s="14">
        <v>165</v>
      </c>
      <c r="G74" s="14">
        <v>165</v>
      </c>
      <c r="H74" s="14">
        <v>165</v>
      </c>
      <c r="I74" s="14">
        <v>94500</v>
      </c>
      <c r="J74" s="14">
        <v>99200</v>
      </c>
      <c r="K74" s="14">
        <v>103200</v>
      </c>
      <c r="L74" s="14">
        <v>107200</v>
      </c>
      <c r="M74" s="14">
        <v>111500</v>
      </c>
      <c r="N74" s="14">
        <v>16348.5</v>
      </c>
      <c r="O74" s="14">
        <v>15475.2</v>
      </c>
      <c r="P74" s="14">
        <v>17028</v>
      </c>
      <c r="Q74" s="14">
        <v>17688</v>
      </c>
      <c r="R74" s="14">
        <v>18397.5</v>
      </c>
    </row>
    <row r="75" spans="1:18" s="2" customFormat="1" ht="41.45" hidden="1" x14ac:dyDescent="0.25">
      <c r="A75" s="28">
        <v>20</v>
      </c>
      <c r="B75" s="42" t="s">
        <v>83</v>
      </c>
      <c r="C75" s="28" t="s">
        <v>14</v>
      </c>
      <c r="D75" s="49">
        <v>6164</v>
      </c>
      <c r="E75" s="14">
        <v>6164</v>
      </c>
      <c r="F75" s="49">
        <v>6164</v>
      </c>
      <c r="G75" s="14">
        <v>6164</v>
      </c>
      <c r="H75" s="49">
        <v>6165</v>
      </c>
      <c r="I75" s="14">
        <v>190</v>
      </c>
      <c r="J75" s="14">
        <v>200</v>
      </c>
      <c r="K75" s="14">
        <v>210</v>
      </c>
      <c r="L75" s="14">
        <v>220</v>
      </c>
      <c r="M75" s="14">
        <v>230</v>
      </c>
      <c r="N75" s="49">
        <v>1171.0999999999999</v>
      </c>
      <c r="O75" s="14">
        <v>1232.8</v>
      </c>
      <c r="P75" s="14">
        <v>1294.4000000000001</v>
      </c>
      <c r="Q75" s="14">
        <v>1356.1</v>
      </c>
      <c r="R75" s="14">
        <v>1417.9</v>
      </c>
    </row>
    <row r="76" spans="1:18" s="2" customFormat="1" ht="27.6" hidden="1" x14ac:dyDescent="0.25">
      <c r="A76" s="28">
        <v>21</v>
      </c>
      <c r="B76" s="42" t="s">
        <v>84</v>
      </c>
      <c r="C76" s="28" t="s">
        <v>14</v>
      </c>
      <c r="D76" s="49">
        <v>1200</v>
      </c>
      <c r="E76" s="14">
        <v>1250</v>
      </c>
      <c r="F76" s="14">
        <v>1250</v>
      </c>
      <c r="G76" s="14">
        <v>1250</v>
      </c>
      <c r="H76" s="14">
        <v>1250</v>
      </c>
      <c r="I76" s="14">
        <v>7550</v>
      </c>
      <c r="J76" s="14">
        <v>7930</v>
      </c>
      <c r="K76" s="14">
        <v>8250</v>
      </c>
      <c r="L76" s="14">
        <v>8550</v>
      </c>
      <c r="M76" s="14">
        <v>8950</v>
      </c>
      <c r="N76" s="49">
        <v>9060</v>
      </c>
      <c r="O76" s="14">
        <v>9912.5</v>
      </c>
      <c r="P76" s="14">
        <v>10312.5</v>
      </c>
      <c r="Q76" s="14">
        <v>10687.5</v>
      </c>
      <c r="R76" s="14">
        <v>11187.5</v>
      </c>
    </row>
    <row r="77" spans="1:18" s="2" customFormat="1" ht="27.6" hidden="1" x14ac:dyDescent="0.25">
      <c r="A77" s="28">
        <v>22</v>
      </c>
      <c r="B77" s="42" t="s">
        <v>85</v>
      </c>
      <c r="C77" s="28" t="s">
        <v>14</v>
      </c>
      <c r="D77" s="49">
        <v>22</v>
      </c>
      <c r="E77" s="14">
        <v>25</v>
      </c>
      <c r="F77" s="14">
        <v>25</v>
      </c>
      <c r="G77" s="14">
        <v>25</v>
      </c>
      <c r="H77" s="14">
        <v>25</v>
      </c>
      <c r="I77" s="14">
        <v>71210</v>
      </c>
      <c r="J77" s="14">
        <v>74770</v>
      </c>
      <c r="K77" s="14">
        <v>77760</v>
      </c>
      <c r="L77" s="14">
        <v>80890</v>
      </c>
      <c r="M77" s="14">
        <v>84100</v>
      </c>
      <c r="N77" s="49">
        <v>1566.6</v>
      </c>
      <c r="O77" s="14">
        <v>1869.2</v>
      </c>
      <c r="P77" s="14">
        <f>F77*K77/1000</f>
        <v>1944</v>
      </c>
      <c r="Q77" s="14">
        <v>2002.2</v>
      </c>
      <c r="R77" s="14">
        <f>H77*M77/1000</f>
        <v>2102.5</v>
      </c>
    </row>
    <row r="78" spans="1:18" s="2" customFormat="1" ht="41.45" hidden="1" x14ac:dyDescent="0.25">
      <c r="A78" s="28">
        <v>23</v>
      </c>
      <c r="B78" s="42" t="s">
        <v>86</v>
      </c>
      <c r="C78" s="28" t="s">
        <v>67</v>
      </c>
      <c r="D78" s="49">
        <v>436096</v>
      </c>
      <c r="E78" s="14">
        <v>493286</v>
      </c>
      <c r="F78" s="14">
        <v>726000</v>
      </c>
      <c r="G78" s="14">
        <v>850000</v>
      </c>
      <c r="H78" s="14">
        <v>974000</v>
      </c>
      <c r="I78" s="14">
        <v>136.1</v>
      </c>
      <c r="J78" s="14">
        <v>150</v>
      </c>
      <c r="K78" s="14">
        <v>160</v>
      </c>
      <c r="L78" s="14">
        <v>170</v>
      </c>
      <c r="M78" s="14">
        <v>180</v>
      </c>
      <c r="N78" s="49">
        <v>59367</v>
      </c>
      <c r="O78" s="14">
        <v>73992.899999999994</v>
      </c>
      <c r="P78" s="14">
        <v>116160</v>
      </c>
      <c r="Q78" s="14">
        <v>144500</v>
      </c>
      <c r="R78" s="14">
        <v>175320</v>
      </c>
    </row>
    <row r="79" spans="1:18" s="2" customFormat="1" ht="41.45" hidden="1" x14ac:dyDescent="0.25">
      <c r="A79" s="28">
        <v>24</v>
      </c>
      <c r="B79" s="42" t="s">
        <v>87</v>
      </c>
      <c r="C79" s="28" t="s">
        <v>88</v>
      </c>
      <c r="D79" s="49">
        <v>164</v>
      </c>
      <c r="E79" s="14">
        <v>360</v>
      </c>
      <c r="F79" s="49">
        <v>360</v>
      </c>
      <c r="G79" s="14">
        <v>360</v>
      </c>
      <c r="H79" s="49">
        <v>360</v>
      </c>
      <c r="I79" s="14"/>
      <c r="J79" s="14"/>
      <c r="K79" s="14"/>
      <c r="L79" s="14"/>
      <c r="M79" s="14"/>
      <c r="N79" s="49">
        <v>1980</v>
      </c>
      <c r="O79" s="14">
        <v>4330</v>
      </c>
      <c r="P79" s="14">
        <v>4503</v>
      </c>
      <c r="Q79" s="14">
        <v>4680</v>
      </c>
      <c r="R79" s="14">
        <v>4870</v>
      </c>
    </row>
    <row r="80" spans="1:18" s="2" customFormat="1" ht="41.45" hidden="1" x14ac:dyDescent="0.25">
      <c r="A80" s="28">
        <v>25</v>
      </c>
      <c r="B80" s="42" t="s">
        <v>87</v>
      </c>
      <c r="C80" s="28" t="s">
        <v>88</v>
      </c>
      <c r="D80" s="49">
        <v>293</v>
      </c>
      <c r="E80" s="14">
        <v>293</v>
      </c>
      <c r="F80" s="14">
        <v>293</v>
      </c>
      <c r="G80" s="14">
        <v>293</v>
      </c>
      <c r="H80" s="14">
        <v>293</v>
      </c>
      <c r="I80" s="14"/>
      <c r="J80" s="14"/>
      <c r="K80" s="14"/>
      <c r="L80" s="14"/>
      <c r="M80" s="14"/>
      <c r="N80" s="49">
        <v>42293</v>
      </c>
      <c r="O80" s="14">
        <v>43985</v>
      </c>
      <c r="P80" s="14">
        <v>45750</v>
      </c>
      <c r="Q80" s="14">
        <v>47580</v>
      </c>
      <c r="R80" s="14">
        <v>49500</v>
      </c>
    </row>
    <row r="81" spans="1:18" s="2" customFormat="1" ht="27.6" hidden="1" x14ac:dyDescent="0.25">
      <c r="A81" s="28">
        <v>26</v>
      </c>
      <c r="B81" s="42" t="s">
        <v>89</v>
      </c>
      <c r="C81" s="28" t="s">
        <v>88</v>
      </c>
      <c r="D81" s="49">
        <v>65</v>
      </c>
      <c r="E81" s="14">
        <v>65</v>
      </c>
      <c r="F81" s="14">
        <v>65</v>
      </c>
      <c r="G81" s="14">
        <v>65</v>
      </c>
      <c r="H81" s="14">
        <v>65</v>
      </c>
      <c r="I81" s="14"/>
      <c r="J81" s="14"/>
      <c r="K81" s="14"/>
      <c r="L81" s="14"/>
      <c r="M81" s="14"/>
      <c r="N81" s="49">
        <v>2120</v>
      </c>
      <c r="O81" s="14">
        <v>2130</v>
      </c>
      <c r="P81" s="14">
        <v>2220</v>
      </c>
      <c r="Q81" s="14">
        <v>2310</v>
      </c>
      <c r="R81" s="14">
        <v>2400</v>
      </c>
    </row>
    <row r="82" spans="1:18" s="2" customFormat="1" ht="27.6" hidden="1" x14ac:dyDescent="0.25">
      <c r="A82" s="28">
        <v>27</v>
      </c>
      <c r="B82" s="42" t="s">
        <v>90</v>
      </c>
      <c r="C82" s="28" t="s">
        <v>88</v>
      </c>
      <c r="D82" s="49">
        <v>72</v>
      </c>
      <c r="E82" s="14">
        <v>120</v>
      </c>
      <c r="F82" s="14">
        <v>120</v>
      </c>
      <c r="G82" s="14">
        <v>120</v>
      </c>
      <c r="H82" s="14">
        <v>120</v>
      </c>
      <c r="I82" s="14"/>
      <c r="J82" s="14"/>
      <c r="K82" s="14"/>
      <c r="L82" s="14"/>
      <c r="M82" s="14"/>
      <c r="N82" s="49">
        <v>3700</v>
      </c>
      <c r="O82" s="14">
        <v>3900</v>
      </c>
      <c r="P82" s="14">
        <v>4100</v>
      </c>
      <c r="Q82" s="14">
        <v>4260</v>
      </c>
      <c r="R82" s="14">
        <v>4430</v>
      </c>
    </row>
    <row r="83" spans="1:18" s="2" customFormat="1" ht="13.9" hidden="1" x14ac:dyDescent="0.25">
      <c r="A83" s="28">
        <v>28</v>
      </c>
      <c r="B83" s="42" t="s">
        <v>91</v>
      </c>
      <c r="C83" s="28" t="s">
        <v>92</v>
      </c>
      <c r="D83" s="49">
        <f>33589+32496+4815+1197+8969</f>
        <v>81066</v>
      </c>
      <c r="E83" s="14">
        <v>89384</v>
      </c>
      <c r="F83" s="14">
        <v>89384</v>
      </c>
      <c r="G83" s="14">
        <v>89384</v>
      </c>
      <c r="H83" s="14">
        <v>89384</v>
      </c>
      <c r="I83" s="14">
        <v>1490</v>
      </c>
      <c r="J83" s="14">
        <v>1540</v>
      </c>
      <c r="K83" s="14">
        <v>1600</v>
      </c>
      <c r="L83" s="14">
        <v>1670</v>
      </c>
      <c r="M83" s="14">
        <v>1740</v>
      </c>
      <c r="N83" s="49">
        <f>D83*I83/1000+7000</f>
        <v>127788.34</v>
      </c>
      <c r="O83" s="14">
        <f>E83*J83/1000+7000</f>
        <v>144651.35999999999</v>
      </c>
      <c r="P83" s="14">
        <f>F83*K83/1000+7000</f>
        <v>150014.39999999999</v>
      </c>
      <c r="Q83" s="14">
        <f>G83*L83/1000+7000</f>
        <v>156271.28</v>
      </c>
      <c r="R83" s="14">
        <f>H83*M83/1000+7000</f>
        <v>162528.16</v>
      </c>
    </row>
    <row r="84" spans="1:18" s="2" customFormat="1" ht="27.6" hidden="1" x14ac:dyDescent="0.25">
      <c r="A84" s="28">
        <v>29</v>
      </c>
      <c r="B84" s="42" t="s">
        <v>93</v>
      </c>
      <c r="C84" s="28" t="s">
        <v>14</v>
      </c>
      <c r="D84" s="49">
        <v>285</v>
      </c>
      <c r="E84" s="14">
        <v>296</v>
      </c>
      <c r="F84" s="14">
        <v>295</v>
      </c>
      <c r="G84" s="14">
        <v>295</v>
      </c>
      <c r="H84" s="14">
        <v>295</v>
      </c>
      <c r="I84" s="14">
        <v>78960</v>
      </c>
      <c r="J84" s="14">
        <v>87860</v>
      </c>
      <c r="K84" s="14">
        <v>91400</v>
      </c>
      <c r="L84" s="14">
        <f>K84*1.04</f>
        <v>95056</v>
      </c>
      <c r="M84" s="14">
        <v>98858</v>
      </c>
      <c r="N84" s="49">
        <f>D84*I84/1000</f>
        <v>22503.599999999999</v>
      </c>
      <c r="O84" s="14">
        <f>E84*J84/1000</f>
        <v>26006.560000000001</v>
      </c>
      <c r="P84" s="14">
        <f>F84*K84/1000</f>
        <v>26963</v>
      </c>
      <c r="Q84" s="14">
        <f>G84*L84/1000</f>
        <v>28041.52</v>
      </c>
      <c r="R84" s="14">
        <f>H84*M84/1000</f>
        <v>29163.11</v>
      </c>
    </row>
    <row r="85" spans="1:18" s="2" customFormat="1" ht="96.6" hidden="1" x14ac:dyDescent="0.25">
      <c r="A85" s="28">
        <v>30</v>
      </c>
      <c r="B85" s="42" t="s">
        <v>94</v>
      </c>
      <c r="C85" s="28" t="s">
        <v>14</v>
      </c>
      <c r="D85" s="49">
        <v>92185</v>
      </c>
      <c r="E85" s="14">
        <v>111907</v>
      </c>
      <c r="F85" s="14">
        <v>119267</v>
      </c>
      <c r="G85" s="14">
        <v>119267</v>
      </c>
      <c r="H85" s="14">
        <v>119267</v>
      </c>
      <c r="I85" s="14"/>
      <c r="J85" s="14"/>
      <c r="K85" s="14"/>
      <c r="L85" s="14"/>
      <c r="M85" s="14"/>
      <c r="N85" s="49">
        <v>60900</v>
      </c>
      <c r="O85" s="14">
        <v>86839.831999999995</v>
      </c>
      <c r="P85" s="14">
        <v>92552</v>
      </c>
      <c r="Q85" s="14">
        <f>P85*1.04</f>
        <v>96254.080000000002</v>
      </c>
      <c r="R85" s="14">
        <f>Q85*1.04</f>
        <v>100104.24320000001</v>
      </c>
    </row>
    <row r="86" spans="1:18" s="2" customFormat="1" ht="27.6" hidden="1" x14ac:dyDescent="0.25">
      <c r="A86" s="28">
        <v>31</v>
      </c>
      <c r="B86" s="42" t="s">
        <v>95</v>
      </c>
      <c r="C86" s="28" t="s">
        <v>14</v>
      </c>
      <c r="D86" s="49">
        <v>6500</v>
      </c>
      <c r="E86" s="14">
        <v>6500</v>
      </c>
      <c r="F86" s="14">
        <v>6500</v>
      </c>
      <c r="G86" s="14">
        <v>6500</v>
      </c>
      <c r="H86" s="14">
        <v>6500</v>
      </c>
      <c r="I86" s="14"/>
      <c r="J86" s="14"/>
      <c r="K86" s="14"/>
      <c r="L86" s="14"/>
      <c r="M86" s="14"/>
      <c r="N86" s="49">
        <v>810</v>
      </c>
      <c r="O86" s="14">
        <v>845</v>
      </c>
      <c r="P86" s="14">
        <v>878</v>
      </c>
      <c r="Q86" s="14">
        <v>910</v>
      </c>
      <c r="R86" s="14">
        <v>950</v>
      </c>
    </row>
    <row r="87" spans="1:18" s="2" customFormat="1" ht="110.45" hidden="1" x14ac:dyDescent="0.25">
      <c r="A87" s="28">
        <v>32</v>
      </c>
      <c r="B87" s="42" t="s">
        <v>96</v>
      </c>
      <c r="C87" s="28" t="s">
        <v>14</v>
      </c>
      <c r="D87" s="49">
        <f>54394+6579+4308</f>
        <v>65281</v>
      </c>
      <c r="E87" s="14">
        <v>61643</v>
      </c>
      <c r="F87" s="49">
        <v>64100</v>
      </c>
      <c r="G87" s="49">
        <v>64100</v>
      </c>
      <c r="H87" s="49">
        <v>64100</v>
      </c>
      <c r="I87" s="50"/>
      <c r="J87" s="14"/>
      <c r="K87" s="50"/>
      <c r="L87" s="50"/>
      <c r="M87" s="50"/>
      <c r="N87" s="49">
        <v>56300</v>
      </c>
      <c r="O87" s="14">
        <v>50239.044999999998</v>
      </c>
      <c r="P87" s="14">
        <v>58280.3</v>
      </c>
      <c r="Q87" s="14">
        <v>60611</v>
      </c>
      <c r="R87" s="14">
        <v>63040</v>
      </c>
    </row>
    <row r="88" spans="1:18" s="2" customFormat="1" ht="13.9" hidden="1" x14ac:dyDescent="0.25">
      <c r="A88" s="19"/>
      <c r="B88" s="20" t="s">
        <v>0</v>
      </c>
      <c r="C88" s="25"/>
      <c r="D88" s="21" t="s">
        <v>8</v>
      </c>
      <c r="E88" s="21" t="s">
        <v>8</v>
      </c>
      <c r="F88" s="21" t="s">
        <v>8</v>
      </c>
      <c r="G88" s="21" t="s">
        <v>8</v>
      </c>
      <c r="H88" s="21" t="s">
        <v>8</v>
      </c>
      <c r="I88" s="21" t="s">
        <v>8</v>
      </c>
      <c r="J88" s="21" t="s">
        <v>8</v>
      </c>
      <c r="K88" s="21" t="s">
        <v>8</v>
      </c>
      <c r="L88" s="21" t="s">
        <v>8</v>
      </c>
      <c r="M88" s="21" t="s">
        <v>8</v>
      </c>
      <c r="N88" s="51">
        <f>SUM(N56:N87)</f>
        <v>2930746.4792200006</v>
      </c>
      <c r="O88" s="51">
        <f>SUM(O56:O87)</f>
        <v>3168752.365819999</v>
      </c>
      <c r="P88" s="51">
        <f>SUM(P56:P87)</f>
        <v>3326073.4699999997</v>
      </c>
      <c r="Q88" s="51">
        <f>SUM(Q56:Q87)</f>
        <v>3658888.452</v>
      </c>
      <c r="R88" s="51">
        <f>SUM(R56:R87)</f>
        <v>3882809.6311999992</v>
      </c>
    </row>
    <row r="89" spans="1:18" s="2" customFormat="1" ht="13.9" hidden="1" x14ac:dyDescent="0.25">
      <c r="A89" s="163" t="s">
        <v>97</v>
      </c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</row>
    <row r="90" spans="1:18" s="2" customFormat="1" ht="82.9" hidden="1" x14ac:dyDescent="0.25">
      <c r="A90" s="1">
        <v>1</v>
      </c>
      <c r="B90" s="33" t="s">
        <v>98</v>
      </c>
      <c r="C90" s="1" t="s">
        <v>99</v>
      </c>
      <c r="D90" s="49">
        <v>146</v>
      </c>
      <c r="E90" s="49">
        <v>146</v>
      </c>
      <c r="F90" s="49">
        <v>146</v>
      </c>
      <c r="G90" s="49">
        <v>146</v>
      </c>
      <c r="H90" s="49">
        <v>146</v>
      </c>
      <c r="I90" s="49">
        <v>227120.08</v>
      </c>
      <c r="J90" s="49">
        <v>235649.67</v>
      </c>
      <c r="K90" s="49">
        <v>247190.11352226255</v>
      </c>
      <c r="L90" s="49">
        <v>260235.53966226257</v>
      </c>
      <c r="M90" s="49">
        <v>276125.46949572256</v>
      </c>
      <c r="N90" s="49">
        <v>33159.53168</v>
      </c>
      <c r="O90" s="49">
        <v>34185.851820000003</v>
      </c>
      <c r="P90" s="49">
        <v>35870.756059999992</v>
      </c>
      <c r="Q90" s="49">
        <v>35870.756059999992</v>
      </c>
      <c r="R90" s="49">
        <v>35870.756059999992</v>
      </c>
    </row>
    <row r="91" spans="1:18" s="2" customFormat="1" ht="82.9" hidden="1" x14ac:dyDescent="0.25">
      <c r="A91" s="1">
        <v>2</v>
      </c>
      <c r="B91" s="33" t="s">
        <v>100</v>
      </c>
      <c r="C91" s="1" t="s">
        <v>99</v>
      </c>
      <c r="D91" s="49">
        <v>65</v>
      </c>
      <c r="E91" s="49">
        <v>65</v>
      </c>
      <c r="F91" s="49">
        <v>65</v>
      </c>
      <c r="G91" s="49">
        <v>65</v>
      </c>
      <c r="H91" s="49">
        <v>65</v>
      </c>
      <c r="I91" s="49">
        <v>127884.25</v>
      </c>
      <c r="J91" s="49">
        <v>132651.85</v>
      </c>
      <c r="K91" s="49">
        <v>139083.5612580243</v>
      </c>
      <c r="L91" s="49">
        <v>146349.16483802433</v>
      </c>
      <c r="M91" s="49">
        <v>155193.84031964419</v>
      </c>
      <c r="N91" s="49">
        <v>8312.4762499999997</v>
      </c>
      <c r="O91" s="49">
        <v>8524.8702499999999</v>
      </c>
      <c r="P91" s="49">
        <v>8942.9320500000013</v>
      </c>
      <c r="Q91" s="49">
        <v>8942.9320500000013</v>
      </c>
      <c r="R91" s="49">
        <v>8942.9320500000013</v>
      </c>
    </row>
    <row r="92" spans="1:18" s="2" customFormat="1" ht="82.9" hidden="1" x14ac:dyDescent="0.25">
      <c r="A92" s="1">
        <v>3</v>
      </c>
      <c r="B92" s="33" t="s">
        <v>101</v>
      </c>
      <c r="C92" s="1" t="s">
        <v>99</v>
      </c>
      <c r="D92" s="49">
        <v>96</v>
      </c>
      <c r="E92" s="49">
        <v>96</v>
      </c>
      <c r="F92" s="49">
        <v>96</v>
      </c>
      <c r="G92" s="49">
        <v>96</v>
      </c>
      <c r="H92" s="49">
        <v>96</v>
      </c>
      <c r="I92" s="49">
        <v>85074.96</v>
      </c>
      <c r="J92" s="49">
        <v>88259.49</v>
      </c>
      <c r="K92" s="49">
        <v>92570.313863919844</v>
      </c>
      <c r="L92" s="49">
        <v>97443.897463919842</v>
      </c>
      <c r="M92" s="49">
        <v>103380.75167231984</v>
      </c>
      <c r="N92" s="49">
        <v>8167.1961600000004</v>
      </c>
      <c r="O92" s="49">
        <v>8424.9110400000009</v>
      </c>
      <c r="P92" s="49">
        <v>8838.75072</v>
      </c>
      <c r="Q92" s="49">
        <v>8838.75072</v>
      </c>
      <c r="R92" s="49">
        <v>8838.75072</v>
      </c>
    </row>
    <row r="93" spans="1:18" s="2" customFormat="1" ht="82.9" hidden="1" x14ac:dyDescent="0.25">
      <c r="A93" s="1">
        <v>4</v>
      </c>
      <c r="B93" s="33" t="s">
        <v>102</v>
      </c>
      <c r="C93" s="1" t="s">
        <v>99</v>
      </c>
      <c r="D93" s="49">
        <v>27</v>
      </c>
      <c r="E93" s="49">
        <v>27</v>
      </c>
      <c r="F93" s="49">
        <v>27</v>
      </c>
      <c r="G93" s="49">
        <v>27</v>
      </c>
      <c r="H93" s="49">
        <v>27</v>
      </c>
      <c r="I93" s="49">
        <v>401709.66</v>
      </c>
      <c r="J93" s="49">
        <v>416887.02</v>
      </c>
      <c r="K93" s="49">
        <v>437457.17037633917</v>
      </c>
      <c r="L93" s="49">
        <v>460719.06063633919</v>
      </c>
      <c r="M93" s="49">
        <v>489062.82904647908</v>
      </c>
      <c r="N93" s="49">
        <v>10846.160819999999</v>
      </c>
      <c r="O93" s="49">
        <v>11215.44954</v>
      </c>
      <c r="P93" s="49">
        <v>11770.843859999999</v>
      </c>
      <c r="Q93" s="49">
        <v>11770.843859999999</v>
      </c>
      <c r="R93" s="49">
        <v>11770.843859999999</v>
      </c>
    </row>
    <row r="94" spans="1:18" s="2" customFormat="1" ht="96.6" hidden="1" x14ac:dyDescent="0.25">
      <c r="A94" s="1">
        <v>5</v>
      </c>
      <c r="B94" s="33" t="s">
        <v>103</v>
      </c>
      <c r="C94" s="1" t="s">
        <v>99</v>
      </c>
      <c r="D94" s="49">
        <v>27</v>
      </c>
      <c r="E94" s="49">
        <v>27</v>
      </c>
      <c r="F94" s="49">
        <v>27</v>
      </c>
      <c r="G94" s="49">
        <v>27</v>
      </c>
      <c r="H94" s="49">
        <v>27</v>
      </c>
      <c r="I94" s="49">
        <v>517835.92</v>
      </c>
      <c r="J94" s="49">
        <v>537835.92000000004</v>
      </c>
      <c r="K94" s="49">
        <v>565125.44276007405</v>
      </c>
      <c r="L94" s="49">
        <v>595992.31380007404</v>
      </c>
      <c r="M94" s="49">
        <v>633609.21964107396</v>
      </c>
      <c r="N94" s="49">
        <v>13981.56984</v>
      </c>
      <c r="O94" s="49">
        <v>14481.069840000002</v>
      </c>
      <c r="P94" s="49">
        <v>15217.886879999998</v>
      </c>
      <c r="Q94" s="49">
        <v>15217.886879999998</v>
      </c>
      <c r="R94" s="49">
        <v>15217.886879999998</v>
      </c>
    </row>
    <row r="95" spans="1:18" s="2" customFormat="1" ht="96.6" hidden="1" x14ac:dyDescent="0.25">
      <c r="A95" s="1">
        <v>6</v>
      </c>
      <c r="B95" s="33" t="s">
        <v>104</v>
      </c>
      <c r="C95" s="1" t="s">
        <v>99</v>
      </c>
      <c r="D95" s="49">
        <v>67</v>
      </c>
      <c r="E95" s="49">
        <v>67</v>
      </c>
      <c r="F95" s="49">
        <v>67</v>
      </c>
      <c r="G95" s="49">
        <v>67</v>
      </c>
      <c r="H95" s="49">
        <v>67</v>
      </c>
      <c r="I95" s="49">
        <v>318148.90999999997</v>
      </c>
      <c r="J95" s="49">
        <v>330211.25</v>
      </c>
      <c r="K95" s="49">
        <v>271550.78655079613</v>
      </c>
      <c r="L95" s="49">
        <v>271550.78655079613</v>
      </c>
      <c r="M95" s="49">
        <v>271550.78655079607</v>
      </c>
      <c r="N95" s="49">
        <v>21315.97697</v>
      </c>
      <c r="O95" s="49">
        <v>21923.153750000001</v>
      </c>
      <c r="P95" s="49">
        <v>23018.000749999999</v>
      </c>
      <c r="Q95" s="49">
        <v>23018.000749999999</v>
      </c>
      <c r="R95" s="49">
        <v>23018.000749999999</v>
      </c>
    </row>
    <row r="96" spans="1:18" s="2" customFormat="1" ht="41.45" hidden="1" x14ac:dyDescent="0.25">
      <c r="A96" s="1">
        <v>7</v>
      </c>
      <c r="B96" s="33" t="s">
        <v>105</v>
      </c>
      <c r="C96" s="1" t="s">
        <v>99</v>
      </c>
      <c r="D96" s="49">
        <v>200</v>
      </c>
      <c r="E96" s="49">
        <v>200</v>
      </c>
      <c r="F96" s="49">
        <v>200</v>
      </c>
      <c r="G96" s="49">
        <v>200</v>
      </c>
      <c r="H96" s="49">
        <v>200</v>
      </c>
      <c r="I96" s="49">
        <v>576.29</v>
      </c>
      <c r="J96" s="49">
        <v>597.16999999999996</v>
      </c>
      <c r="K96" s="49">
        <v>625.31726438432952</v>
      </c>
      <c r="L96" s="49">
        <v>657.09456438432949</v>
      </c>
      <c r="M96" s="49">
        <v>695.75693328432942</v>
      </c>
      <c r="N96" s="49">
        <v>115.258</v>
      </c>
      <c r="O96" s="49">
        <v>119.43</v>
      </c>
      <c r="P96" s="49">
        <v>125.06</v>
      </c>
      <c r="Q96" s="49">
        <v>126.06</v>
      </c>
      <c r="R96" s="49">
        <v>125.06</v>
      </c>
    </row>
    <row r="97" spans="1:18" s="2" customFormat="1" ht="27.6" hidden="1" x14ac:dyDescent="0.25">
      <c r="A97" s="1">
        <v>8</v>
      </c>
      <c r="B97" s="33" t="s">
        <v>106</v>
      </c>
      <c r="C97" s="1" t="s">
        <v>99</v>
      </c>
      <c r="D97" s="49">
        <v>96558</v>
      </c>
      <c r="E97" s="49">
        <v>96558</v>
      </c>
      <c r="F97" s="49">
        <v>97758</v>
      </c>
      <c r="G97" s="49">
        <v>97758</v>
      </c>
      <c r="H97" s="49">
        <v>97758</v>
      </c>
      <c r="I97" s="49">
        <v>1285.74</v>
      </c>
      <c r="J97" s="49">
        <v>1313.72</v>
      </c>
      <c r="K97" s="49">
        <v>1351.66</v>
      </c>
      <c r="L97" s="49">
        <v>1394.5729498182372</v>
      </c>
      <c r="M97" s="49">
        <v>1446.8635521582371</v>
      </c>
      <c r="N97" s="49">
        <v>124148.48291999999</v>
      </c>
      <c r="O97" s="49">
        <v>89069.225760000001</v>
      </c>
      <c r="P97" s="49">
        <v>93874.62827999999</v>
      </c>
      <c r="Q97" s="49">
        <v>94813.374562799989</v>
      </c>
      <c r="R97" s="49">
        <v>100445.85225960001</v>
      </c>
    </row>
    <row r="98" spans="1:18" s="2" customFormat="1" ht="27.6" hidden="1" x14ac:dyDescent="0.25">
      <c r="A98" s="1">
        <v>9</v>
      </c>
      <c r="B98" s="33" t="s">
        <v>107</v>
      </c>
      <c r="C98" s="1" t="s">
        <v>99</v>
      </c>
      <c r="D98" s="49">
        <v>30100</v>
      </c>
      <c r="E98" s="49">
        <v>30100</v>
      </c>
      <c r="F98" s="49">
        <v>30250</v>
      </c>
      <c r="G98" s="49">
        <v>30250</v>
      </c>
      <c r="H98" s="49">
        <v>30250</v>
      </c>
      <c r="I98" s="49">
        <v>1159.3599999999999</v>
      </c>
      <c r="J98" s="49">
        <v>1232.3699999999999</v>
      </c>
      <c r="K98" s="49">
        <v>1269.97</v>
      </c>
      <c r="L98" s="49">
        <v>1312.3934397521973</v>
      </c>
      <c r="M98" s="49">
        <v>1363.9819397321971</v>
      </c>
      <c r="N98" s="49">
        <v>34896.735999999997</v>
      </c>
      <c r="O98" s="49">
        <v>28184.336999999992</v>
      </c>
      <c r="P98" s="49">
        <v>29461.592499999999</v>
      </c>
      <c r="Q98" s="49">
        <v>29756.208425000001</v>
      </c>
      <c r="R98" s="49">
        <v>31523.903975000001</v>
      </c>
    </row>
    <row r="99" spans="1:18" s="2" customFormat="1" ht="27.6" hidden="1" x14ac:dyDescent="0.25">
      <c r="A99" s="1">
        <v>10</v>
      </c>
      <c r="B99" s="33" t="s">
        <v>108</v>
      </c>
      <c r="C99" s="1" t="s">
        <v>99</v>
      </c>
      <c r="D99" s="49">
        <v>6224</v>
      </c>
      <c r="E99" s="49">
        <v>6224</v>
      </c>
      <c r="F99" s="49">
        <v>6374</v>
      </c>
      <c r="G99" s="49">
        <v>6374</v>
      </c>
      <c r="H99" s="49">
        <v>6374</v>
      </c>
      <c r="I99" s="49">
        <v>2128.9499999999998</v>
      </c>
      <c r="J99" s="49">
        <v>2302.12</v>
      </c>
      <c r="K99" s="49">
        <v>2353.56</v>
      </c>
      <c r="L99" s="49">
        <v>2411.6452822154929</v>
      </c>
      <c r="M99" s="49">
        <v>2482.321127995493</v>
      </c>
      <c r="N99" s="49">
        <v>13250.584799999999</v>
      </c>
      <c r="O99" s="49">
        <v>12661.194880000001</v>
      </c>
      <c r="P99" s="49">
        <v>13289.391439999999</v>
      </c>
      <c r="Q99" s="49">
        <v>13422.285354400003</v>
      </c>
      <c r="R99" s="49">
        <v>14219.6488408</v>
      </c>
    </row>
    <row r="100" spans="1:18" s="2" customFormat="1" ht="27.6" hidden="1" x14ac:dyDescent="0.25">
      <c r="A100" s="1">
        <v>11</v>
      </c>
      <c r="B100" s="33" t="s">
        <v>109</v>
      </c>
      <c r="C100" s="1" t="s">
        <v>99</v>
      </c>
      <c r="D100" s="49">
        <v>30050</v>
      </c>
      <c r="E100" s="49">
        <v>30050</v>
      </c>
      <c r="F100" s="49">
        <v>30300</v>
      </c>
      <c r="G100" s="49">
        <v>30300</v>
      </c>
      <c r="H100" s="49">
        <v>30300</v>
      </c>
      <c r="I100" s="49">
        <v>1240.74</v>
      </c>
      <c r="J100" s="49">
        <v>1313.72</v>
      </c>
      <c r="K100" s="49">
        <v>1351.66</v>
      </c>
      <c r="L100" s="49">
        <v>1394.572949818237</v>
      </c>
      <c r="M100" s="49">
        <v>1446.8635521582371</v>
      </c>
      <c r="N100" s="49">
        <v>37284.237000000001</v>
      </c>
      <c r="O100" s="49">
        <v>31824.786</v>
      </c>
      <c r="P100" s="49">
        <v>33227.797999999995</v>
      </c>
      <c r="Q100" s="49">
        <v>33560.075979999994</v>
      </c>
      <c r="R100" s="49">
        <v>35553.743860000002</v>
      </c>
    </row>
    <row r="101" spans="1:18" s="2" customFormat="1" ht="27.6" hidden="1" x14ac:dyDescent="0.25">
      <c r="A101" s="1">
        <v>12</v>
      </c>
      <c r="B101" s="33" t="s">
        <v>110</v>
      </c>
      <c r="C101" s="1" t="s">
        <v>99</v>
      </c>
      <c r="D101" s="49">
        <v>17376</v>
      </c>
      <c r="E101" s="49">
        <v>17376</v>
      </c>
      <c r="F101" s="49">
        <v>17426</v>
      </c>
      <c r="G101" s="49">
        <v>17426</v>
      </c>
      <c r="H101" s="49">
        <v>17426</v>
      </c>
      <c r="I101" s="49">
        <v>1159.3599999999999</v>
      </c>
      <c r="J101" s="49">
        <v>1232.3699999999999</v>
      </c>
      <c r="K101" s="49">
        <v>1269.97</v>
      </c>
      <c r="L101" s="49">
        <v>1312.3934397521973</v>
      </c>
      <c r="M101" s="49">
        <v>1363.9819397321971</v>
      </c>
      <c r="N101" s="49">
        <v>20145.039359999999</v>
      </c>
      <c r="O101" s="49">
        <v>18826.511119999996</v>
      </c>
      <c r="P101" s="49">
        <v>19535.847220000003</v>
      </c>
      <c r="Q101" s="49">
        <v>19731.205692200001</v>
      </c>
      <c r="R101" s="49">
        <v>20903.356525400002</v>
      </c>
    </row>
    <row r="102" spans="1:18" s="2" customFormat="1" ht="27.6" hidden="1" x14ac:dyDescent="0.25">
      <c r="A102" s="1">
        <v>13</v>
      </c>
      <c r="B102" s="33" t="s">
        <v>111</v>
      </c>
      <c r="C102" s="1" t="s">
        <v>99</v>
      </c>
      <c r="D102" s="49">
        <v>5343</v>
      </c>
      <c r="E102" s="49">
        <v>5343</v>
      </c>
      <c r="F102" s="49">
        <v>5443</v>
      </c>
      <c r="G102" s="49">
        <v>5443</v>
      </c>
      <c r="H102" s="49">
        <v>5443</v>
      </c>
      <c r="I102" s="49">
        <v>2128.92</v>
      </c>
      <c r="J102" s="49">
        <v>2302.12</v>
      </c>
      <c r="K102" s="49">
        <v>2353.56</v>
      </c>
      <c r="L102" s="49">
        <v>2413.7212822154929</v>
      </c>
      <c r="M102" s="49">
        <v>2484.4780919954933</v>
      </c>
      <c r="N102" s="49">
        <v>11374.81956</v>
      </c>
      <c r="O102" s="49">
        <v>11513.77716</v>
      </c>
      <c r="P102" s="49">
        <v>12008.977079999999</v>
      </c>
      <c r="Q102" s="49">
        <v>12129.0668508</v>
      </c>
      <c r="R102" s="49">
        <v>12849.605475599999</v>
      </c>
    </row>
    <row r="103" spans="1:18" s="2" customFormat="1" ht="27.6" hidden="1" x14ac:dyDescent="0.25">
      <c r="A103" s="1">
        <v>14</v>
      </c>
      <c r="B103" s="33" t="s">
        <v>112</v>
      </c>
      <c r="C103" s="1" t="s">
        <v>99</v>
      </c>
      <c r="D103" s="49">
        <v>45500</v>
      </c>
      <c r="E103" s="49">
        <v>45500</v>
      </c>
      <c r="F103" s="49">
        <v>45700</v>
      </c>
      <c r="G103" s="49">
        <v>45700</v>
      </c>
      <c r="H103" s="49">
        <v>45700</v>
      </c>
      <c r="I103" s="49">
        <v>825.15</v>
      </c>
      <c r="J103" s="49">
        <v>849.9</v>
      </c>
      <c r="K103" s="49">
        <v>883.44</v>
      </c>
      <c r="L103" s="49">
        <v>921.38116071860918</v>
      </c>
      <c r="M103" s="49">
        <v>967.61515527860911</v>
      </c>
      <c r="N103" s="49">
        <v>37544.324999999997</v>
      </c>
      <c r="O103" s="49">
        <v>25130.43</v>
      </c>
      <c r="P103" s="49">
        <v>26663.207999999999</v>
      </c>
      <c r="Q103" s="49">
        <v>26929.840079999998</v>
      </c>
      <c r="R103" s="49">
        <v>28529.632559999998</v>
      </c>
    </row>
    <row r="104" spans="1:18" s="2" customFormat="1" ht="27.6" hidden="1" x14ac:dyDescent="0.25">
      <c r="A104" s="1">
        <v>15</v>
      </c>
      <c r="B104" s="33" t="s">
        <v>113</v>
      </c>
      <c r="C104" s="1" t="s">
        <v>99</v>
      </c>
      <c r="D104" s="49">
        <v>23000</v>
      </c>
      <c r="E104" s="49">
        <v>23000</v>
      </c>
      <c r="F104" s="49">
        <v>23000</v>
      </c>
      <c r="G104" s="49">
        <v>23000</v>
      </c>
      <c r="H104" s="49">
        <v>23000</v>
      </c>
      <c r="I104" s="49">
        <v>1001.78</v>
      </c>
      <c r="J104" s="49">
        <v>1027.95</v>
      </c>
      <c r="K104" s="49">
        <v>1064.1400000000001</v>
      </c>
      <c r="L104" s="49">
        <v>1103.5610950265982</v>
      </c>
      <c r="M104" s="49">
        <v>1152.4712821865983</v>
      </c>
      <c r="N104" s="49">
        <v>23040.94</v>
      </c>
      <c r="O104" s="49">
        <v>20192.849999999999</v>
      </c>
      <c r="P104" s="49">
        <v>21025.220000000005</v>
      </c>
      <c r="Q104" s="49">
        <v>21235.472200000004</v>
      </c>
      <c r="R104" s="49">
        <v>22496.985400000005</v>
      </c>
    </row>
    <row r="105" spans="1:18" s="2" customFormat="1" ht="13.9" hidden="1" x14ac:dyDescent="0.25">
      <c r="A105" s="9"/>
      <c r="B105" s="10" t="s">
        <v>0</v>
      </c>
      <c r="C105" s="3"/>
      <c r="D105" s="11" t="s">
        <v>8</v>
      </c>
      <c r="E105" s="11" t="s">
        <v>8</v>
      </c>
      <c r="F105" s="11" t="s">
        <v>8</v>
      </c>
      <c r="G105" s="11" t="s">
        <v>8</v>
      </c>
      <c r="H105" s="11" t="s">
        <v>8</v>
      </c>
      <c r="I105" s="11" t="s">
        <v>8</v>
      </c>
      <c r="J105" s="11" t="s">
        <v>8</v>
      </c>
      <c r="K105" s="11" t="s">
        <v>8</v>
      </c>
      <c r="L105" s="11" t="s">
        <v>8</v>
      </c>
      <c r="M105" s="11" t="s">
        <v>8</v>
      </c>
      <c r="N105" s="50">
        <f>SUM(N90:N104)</f>
        <v>397583.33435999998</v>
      </c>
      <c r="O105" s="50">
        <f>SUM(O90:O104)</f>
        <v>336277.84815999994</v>
      </c>
      <c r="P105" s="50">
        <f>SUM(P90:P104)</f>
        <v>352870.89283999999</v>
      </c>
      <c r="Q105" s="50">
        <f>SUM(Q90:Q104)</f>
        <v>355362.75946520001</v>
      </c>
      <c r="R105" s="50">
        <f>SUM(R90:R104)</f>
        <v>370306.95921639999</v>
      </c>
    </row>
    <row r="106" spans="1:18" s="2" customFormat="1" ht="13.9" hidden="1" x14ac:dyDescent="0.25">
      <c r="A106" s="163" t="s">
        <v>264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</row>
    <row r="107" spans="1:18" s="2" customFormat="1" ht="27.6" hidden="1" x14ac:dyDescent="0.25">
      <c r="A107" s="1">
        <v>1</v>
      </c>
      <c r="B107" s="33" t="s">
        <v>114</v>
      </c>
      <c r="C107" s="1" t="s">
        <v>115</v>
      </c>
      <c r="D107" s="49">
        <v>200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49">
        <v>5200.92</v>
      </c>
      <c r="O107" s="49">
        <v>7600</v>
      </c>
      <c r="P107" s="49">
        <v>5600</v>
      </c>
      <c r="Q107" s="49">
        <v>5824</v>
      </c>
      <c r="R107" s="49">
        <v>6057</v>
      </c>
    </row>
    <row r="108" spans="1:18" s="2" customFormat="1" ht="27.6" hidden="1" x14ac:dyDescent="0.25">
      <c r="A108" s="1"/>
      <c r="B108" s="33"/>
      <c r="C108" s="1" t="s">
        <v>116</v>
      </c>
      <c r="D108" s="49"/>
      <c r="E108" s="49">
        <v>12</v>
      </c>
      <c r="F108" s="49">
        <v>10</v>
      </c>
      <c r="G108" s="49">
        <v>11</v>
      </c>
      <c r="H108" s="49">
        <v>11</v>
      </c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s="2" customFormat="1" ht="27.6" hidden="1" x14ac:dyDescent="0.25">
      <c r="A109" s="1">
        <v>2</v>
      </c>
      <c r="B109" s="33" t="s">
        <v>117</v>
      </c>
      <c r="C109" s="1" t="s">
        <v>115</v>
      </c>
      <c r="D109" s="49">
        <v>154</v>
      </c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s="2" customFormat="1" ht="27.6" hidden="1" x14ac:dyDescent="0.25">
      <c r="A110" s="1"/>
      <c r="B110" s="33"/>
      <c r="C110" s="1" t="s">
        <v>116</v>
      </c>
      <c r="D110" s="49"/>
      <c r="E110" s="49">
        <v>12</v>
      </c>
      <c r="F110" s="49">
        <v>10</v>
      </c>
      <c r="G110" s="49">
        <v>11</v>
      </c>
      <c r="H110" s="49">
        <v>11</v>
      </c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s="2" customFormat="1" ht="27.6" hidden="1" x14ac:dyDescent="0.25">
      <c r="A111" s="1">
        <v>3</v>
      </c>
      <c r="B111" s="33" t="s">
        <v>118</v>
      </c>
      <c r="C111" s="1" t="s">
        <v>119</v>
      </c>
      <c r="D111" s="49">
        <v>1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49">
        <v>500</v>
      </c>
      <c r="O111" s="49">
        <v>500</v>
      </c>
      <c r="P111" s="49">
        <v>500</v>
      </c>
      <c r="Q111" s="49">
        <v>520</v>
      </c>
      <c r="R111" s="49">
        <v>540.79999999999995</v>
      </c>
    </row>
    <row r="112" spans="1:18" s="2" customFormat="1" ht="41.45" hidden="1" x14ac:dyDescent="0.25">
      <c r="A112" s="1"/>
      <c r="B112" s="33"/>
      <c r="C112" s="1" t="s">
        <v>120</v>
      </c>
      <c r="D112" s="49"/>
      <c r="E112" s="49">
        <v>60000</v>
      </c>
      <c r="F112" s="49">
        <v>70000</v>
      </c>
      <c r="G112" s="49">
        <v>80000</v>
      </c>
      <c r="H112" s="49">
        <v>80000</v>
      </c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s="2" customFormat="1" ht="110.45" hidden="1" x14ac:dyDescent="0.25">
      <c r="A113" s="1">
        <v>4</v>
      </c>
      <c r="B113" s="33" t="s">
        <v>121</v>
      </c>
      <c r="C113" s="1" t="s">
        <v>122</v>
      </c>
      <c r="D113" s="49"/>
      <c r="E113" s="49">
        <v>7</v>
      </c>
      <c r="F113" s="49">
        <v>8</v>
      </c>
      <c r="G113" s="49">
        <v>8</v>
      </c>
      <c r="H113" s="49">
        <v>8</v>
      </c>
      <c r="I113" s="49"/>
      <c r="J113" s="49"/>
      <c r="K113" s="49"/>
      <c r="L113" s="49"/>
      <c r="M113" s="49"/>
      <c r="N113" s="49"/>
      <c r="O113" s="49">
        <v>40000</v>
      </c>
      <c r="P113" s="49">
        <v>35600</v>
      </c>
      <c r="Q113" s="49">
        <v>37024</v>
      </c>
      <c r="R113" s="49">
        <v>38505</v>
      </c>
    </row>
    <row r="114" spans="1:18" s="2" customFormat="1" ht="110.45" hidden="1" x14ac:dyDescent="0.25">
      <c r="A114" s="1">
        <v>5</v>
      </c>
      <c r="B114" s="33" t="s">
        <v>123</v>
      </c>
      <c r="C114" s="1" t="s">
        <v>122</v>
      </c>
      <c r="D114" s="49"/>
      <c r="E114" s="49">
        <v>15</v>
      </c>
      <c r="F114" s="49">
        <v>12</v>
      </c>
      <c r="G114" s="49">
        <v>12</v>
      </c>
      <c r="H114" s="49">
        <v>12</v>
      </c>
      <c r="I114" s="49"/>
      <c r="J114" s="49"/>
      <c r="K114" s="49"/>
      <c r="L114" s="49"/>
      <c r="M114" s="49"/>
      <c r="N114" s="49"/>
      <c r="O114" s="49">
        <v>13000</v>
      </c>
      <c r="P114" s="49">
        <v>13000</v>
      </c>
      <c r="Q114" s="49">
        <v>13520</v>
      </c>
      <c r="R114" s="49">
        <v>14060.8</v>
      </c>
    </row>
    <row r="115" spans="1:18" s="2" customFormat="1" ht="138" hidden="1" x14ac:dyDescent="0.25">
      <c r="A115" s="1">
        <v>6</v>
      </c>
      <c r="B115" s="33" t="s">
        <v>124</v>
      </c>
      <c r="C115" s="1" t="s">
        <v>125</v>
      </c>
      <c r="D115" s="49"/>
      <c r="E115" s="49">
        <v>4</v>
      </c>
      <c r="F115" s="49">
        <v>4</v>
      </c>
      <c r="G115" s="49">
        <v>4</v>
      </c>
      <c r="H115" s="49">
        <v>4</v>
      </c>
      <c r="I115" s="49"/>
      <c r="J115" s="49"/>
      <c r="K115" s="49"/>
      <c r="L115" s="49"/>
      <c r="M115" s="49"/>
      <c r="N115" s="49"/>
      <c r="O115" s="49">
        <v>12900</v>
      </c>
      <c r="P115" s="49">
        <v>12900</v>
      </c>
      <c r="Q115" s="49">
        <v>13416</v>
      </c>
      <c r="R115" s="49">
        <v>13952.6</v>
      </c>
    </row>
    <row r="116" spans="1:18" s="2" customFormat="1" ht="138" hidden="1" x14ac:dyDescent="0.25">
      <c r="A116" s="1">
        <v>7</v>
      </c>
      <c r="B116" s="33" t="s">
        <v>126</v>
      </c>
      <c r="C116" s="1" t="s">
        <v>127</v>
      </c>
      <c r="D116" s="49"/>
      <c r="E116" s="49">
        <v>20</v>
      </c>
      <c r="F116" s="49">
        <v>20</v>
      </c>
      <c r="G116" s="49">
        <v>20</v>
      </c>
      <c r="H116" s="49">
        <v>20</v>
      </c>
      <c r="I116" s="49"/>
      <c r="J116" s="49"/>
      <c r="K116" s="49"/>
      <c r="L116" s="49"/>
      <c r="M116" s="49"/>
      <c r="N116" s="49"/>
      <c r="O116" s="49">
        <v>7900</v>
      </c>
      <c r="P116" s="49">
        <v>7900</v>
      </c>
      <c r="Q116" s="49">
        <v>8216</v>
      </c>
      <c r="R116" s="49">
        <v>8544.6</v>
      </c>
    </row>
    <row r="117" spans="1:18" s="2" customFormat="1" ht="13.9" hidden="1" x14ac:dyDescent="0.25">
      <c r="A117" s="9"/>
      <c r="B117" s="10" t="s">
        <v>0</v>
      </c>
      <c r="C117" s="3"/>
      <c r="D117" s="11" t="s">
        <v>8</v>
      </c>
      <c r="E117" s="11" t="s">
        <v>8</v>
      </c>
      <c r="F117" s="11" t="s">
        <v>8</v>
      </c>
      <c r="G117" s="11" t="s">
        <v>8</v>
      </c>
      <c r="H117" s="11" t="s">
        <v>8</v>
      </c>
      <c r="I117" s="11" t="s">
        <v>8</v>
      </c>
      <c r="J117" s="11" t="s">
        <v>8</v>
      </c>
      <c r="K117" s="11" t="s">
        <v>8</v>
      </c>
      <c r="L117" s="11" t="s">
        <v>8</v>
      </c>
      <c r="M117" s="11" t="s">
        <v>8</v>
      </c>
      <c r="N117" s="50">
        <f>SUM(N107:N116)</f>
        <v>5700.92</v>
      </c>
      <c r="O117" s="50">
        <f>SUM(O107:O116)</f>
        <v>81900</v>
      </c>
      <c r="P117" s="50">
        <f>SUM(P107:P116)</f>
        <v>75500</v>
      </c>
      <c r="Q117" s="50">
        <f>SUM(Q107:Q116)</f>
        <v>78520</v>
      </c>
      <c r="R117" s="50">
        <f>SUM(R107:R116)</f>
        <v>81660.800000000017</v>
      </c>
    </row>
    <row r="118" spans="1:18" s="2" customFormat="1" ht="13.9" hidden="1" x14ac:dyDescent="0.25">
      <c r="A118" s="163" t="s">
        <v>265</v>
      </c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</row>
    <row r="119" spans="1:18" s="2" customFormat="1" ht="41.45" hidden="1" x14ac:dyDescent="0.25">
      <c r="A119" s="1">
        <v>1</v>
      </c>
      <c r="B119" s="8" t="s">
        <v>262</v>
      </c>
      <c r="C119" s="22" t="s">
        <v>128</v>
      </c>
      <c r="D119" s="49">
        <v>110710</v>
      </c>
      <c r="E119" s="49">
        <v>69830</v>
      </c>
      <c r="F119" s="49">
        <v>83900</v>
      </c>
      <c r="G119" s="49">
        <v>83900</v>
      </c>
      <c r="H119" s="49">
        <v>83900</v>
      </c>
      <c r="I119" s="49">
        <v>102.83</v>
      </c>
      <c r="J119" s="49">
        <v>227.83</v>
      </c>
      <c r="K119" s="49"/>
      <c r="L119" s="49"/>
      <c r="M119" s="49"/>
      <c r="N119" s="49">
        <v>11384.31</v>
      </c>
      <c r="O119" s="49">
        <v>15909.3</v>
      </c>
      <c r="P119" s="49">
        <v>14889.44</v>
      </c>
      <c r="Q119" s="49" t="s">
        <v>129</v>
      </c>
      <c r="R119" s="49">
        <v>15985.76</v>
      </c>
    </row>
    <row r="120" spans="1:18" s="2" customFormat="1" ht="41.45" hidden="1" x14ac:dyDescent="0.25">
      <c r="A120" s="1">
        <v>2</v>
      </c>
      <c r="B120" s="8" t="s">
        <v>130</v>
      </c>
      <c r="C120" s="22" t="s">
        <v>128</v>
      </c>
      <c r="D120" s="49">
        <v>13014</v>
      </c>
      <c r="E120" s="49">
        <v>6312</v>
      </c>
      <c r="F120" s="49">
        <v>18302</v>
      </c>
      <c r="G120" s="49">
        <v>18302</v>
      </c>
      <c r="H120" s="49">
        <v>18302</v>
      </c>
      <c r="I120" s="49">
        <v>100.68</v>
      </c>
      <c r="J120" s="49">
        <v>300.60000000000002</v>
      </c>
      <c r="K120" s="49"/>
      <c r="L120" s="49"/>
      <c r="M120" s="49"/>
      <c r="N120" s="49">
        <v>1310.25</v>
      </c>
      <c r="O120" s="49">
        <v>1897.3</v>
      </c>
      <c r="P120" s="49">
        <v>3622.03</v>
      </c>
      <c r="Q120" s="49">
        <v>3752.8</v>
      </c>
      <c r="R120" s="49">
        <v>3888.72</v>
      </c>
    </row>
    <row r="121" spans="1:18" s="2" customFormat="1" ht="69" hidden="1" x14ac:dyDescent="0.25">
      <c r="A121" s="1">
        <v>3</v>
      </c>
      <c r="B121" s="8" t="s">
        <v>263</v>
      </c>
      <c r="C121" s="22" t="s">
        <v>128</v>
      </c>
      <c r="D121" s="49">
        <v>115256</v>
      </c>
      <c r="E121" s="49">
        <v>4088</v>
      </c>
      <c r="F121" s="49">
        <v>1400</v>
      </c>
      <c r="G121" s="49">
        <v>1400</v>
      </c>
      <c r="H121" s="49">
        <v>1400</v>
      </c>
      <c r="I121" s="49">
        <v>101.53</v>
      </c>
      <c r="J121" s="49">
        <v>141.46</v>
      </c>
      <c r="K121" s="49"/>
      <c r="L121" s="49"/>
      <c r="M121" s="49"/>
      <c r="N121" s="49">
        <v>11701.94</v>
      </c>
      <c r="O121" s="49">
        <v>578.20000000000005</v>
      </c>
      <c r="P121" s="49">
        <v>245.72</v>
      </c>
      <c r="Q121" s="49">
        <v>254.6</v>
      </c>
      <c r="R121" s="49">
        <v>263.82</v>
      </c>
    </row>
    <row r="122" spans="1:18" s="2" customFormat="1" ht="13.9" hidden="1" x14ac:dyDescent="0.25">
      <c r="A122" s="9"/>
      <c r="B122" s="10" t="s">
        <v>0</v>
      </c>
      <c r="C122" s="3"/>
      <c r="D122" s="11" t="s">
        <v>8</v>
      </c>
      <c r="E122" s="11" t="s">
        <v>8</v>
      </c>
      <c r="F122" s="11" t="s">
        <v>8</v>
      </c>
      <c r="G122" s="11" t="s">
        <v>8</v>
      </c>
      <c r="H122" s="11" t="s">
        <v>8</v>
      </c>
      <c r="I122" s="11" t="s">
        <v>8</v>
      </c>
      <c r="J122" s="11" t="s">
        <v>8</v>
      </c>
      <c r="K122" s="11" t="s">
        <v>8</v>
      </c>
      <c r="L122" s="11" t="s">
        <v>8</v>
      </c>
      <c r="M122" s="11" t="s">
        <v>8</v>
      </c>
      <c r="N122" s="50">
        <v>24396.5</v>
      </c>
      <c r="O122" s="50">
        <v>21153.4</v>
      </c>
      <c r="P122" s="50">
        <v>21815.200000000001</v>
      </c>
      <c r="Q122" s="50">
        <v>22645.8</v>
      </c>
      <c r="R122" s="50">
        <v>23509.7</v>
      </c>
    </row>
    <row r="123" spans="1:18" s="2" customFormat="1" ht="13.9" hidden="1" x14ac:dyDescent="0.25">
      <c r="A123" s="163" t="s">
        <v>253</v>
      </c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</row>
    <row r="124" spans="1:18" s="2" customFormat="1" ht="55.15" hidden="1" x14ac:dyDescent="0.25">
      <c r="A124" s="12">
        <v>1</v>
      </c>
      <c r="B124" s="41" t="s">
        <v>131</v>
      </c>
      <c r="C124" s="12" t="s">
        <v>132</v>
      </c>
      <c r="D124" s="49">
        <v>4014205</v>
      </c>
      <c r="E124" s="49">
        <v>4045061</v>
      </c>
      <c r="F124" s="49">
        <v>4364432.0000124304</v>
      </c>
      <c r="G124" s="49">
        <v>4381889</v>
      </c>
      <c r="H124" s="49">
        <v>4399417</v>
      </c>
      <c r="I124" s="49">
        <v>308.93</v>
      </c>
      <c r="J124" s="49">
        <v>303.22641313067999</v>
      </c>
      <c r="K124" s="49">
        <v>294.33176823714427</v>
      </c>
      <c r="L124" s="49">
        <v>304.13274612974493</v>
      </c>
      <c r="M124" s="49">
        <v>315.13293711010385</v>
      </c>
      <c r="N124" s="49">
        <v>1090223.3</v>
      </c>
      <c r="O124" s="49">
        <v>1231650.8</v>
      </c>
      <c r="P124" s="49">
        <v>1290437.1000000001</v>
      </c>
      <c r="Q124" s="49">
        <v>1338521</v>
      </c>
      <c r="R124" s="49">
        <v>1392245.2</v>
      </c>
    </row>
    <row r="125" spans="1:18" s="2" customFormat="1" ht="13.9" hidden="1" x14ac:dyDescent="0.25">
      <c r="A125" s="9"/>
      <c r="B125" s="10" t="s">
        <v>0</v>
      </c>
      <c r="C125" s="3"/>
      <c r="D125" s="11" t="s">
        <v>8</v>
      </c>
      <c r="E125" s="11" t="s">
        <v>8</v>
      </c>
      <c r="F125" s="11" t="s">
        <v>8</v>
      </c>
      <c r="G125" s="11" t="s">
        <v>8</v>
      </c>
      <c r="H125" s="11" t="s">
        <v>8</v>
      </c>
      <c r="I125" s="11" t="s">
        <v>8</v>
      </c>
      <c r="J125" s="11" t="s">
        <v>8</v>
      </c>
      <c r="K125" s="11" t="s">
        <v>8</v>
      </c>
      <c r="L125" s="11" t="s">
        <v>8</v>
      </c>
      <c r="M125" s="11" t="s">
        <v>8</v>
      </c>
      <c r="N125" s="50">
        <v>1090223.3</v>
      </c>
      <c r="O125" s="50">
        <v>1231650.8</v>
      </c>
      <c r="P125" s="50">
        <v>1290437.1000000001</v>
      </c>
      <c r="Q125" s="50">
        <v>1338521</v>
      </c>
      <c r="R125" s="50">
        <v>1392245.2</v>
      </c>
    </row>
    <row r="126" spans="1:18" s="2" customFormat="1" ht="13.9" hidden="1" x14ac:dyDescent="0.25">
      <c r="A126" s="163" t="s">
        <v>266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</row>
    <row r="127" spans="1:18" s="2" customFormat="1" ht="41.45" hidden="1" x14ac:dyDescent="0.25">
      <c r="A127" s="1">
        <v>1</v>
      </c>
      <c r="B127" s="33" t="s">
        <v>133</v>
      </c>
      <c r="C127" s="1" t="s">
        <v>134</v>
      </c>
      <c r="D127" s="49">
        <v>36194</v>
      </c>
      <c r="E127" s="49">
        <v>35274</v>
      </c>
      <c r="F127" s="49">
        <v>35610</v>
      </c>
      <c r="G127" s="49">
        <v>35610</v>
      </c>
      <c r="H127" s="49">
        <v>35610</v>
      </c>
      <c r="I127" s="49">
        <f>N127/D127*1000</f>
        <v>2028.0654252085983</v>
      </c>
      <c r="J127" s="49">
        <v>2216.4</v>
      </c>
      <c r="K127" s="49">
        <f>P127/F127*1000</f>
        <v>2349.3990452120197</v>
      </c>
      <c r="L127" s="49">
        <f t="shared" ref="L127:M146" si="5">Q127/G127*1000</f>
        <v>2443.3755686604891</v>
      </c>
      <c r="M127" s="49">
        <f>R127/H127*1000</f>
        <v>2541.1105914069085</v>
      </c>
      <c r="N127" s="49">
        <v>73403.8</v>
      </c>
      <c r="O127" s="49">
        <v>78181.3</v>
      </c>
      <c r="P127" s="49">
        <v>83662.100000000006</v>
      </c>
      <c r="Q127" s="49">
        <f>P127*1.04+0.02</f>
        <v>87008.604000000007</v>
      </c>
      <c r="R127" s="49">
        <f t="shared" ref="Q127:R144" si="6">Q127*1.04</f>
        <v>90488.948160000014</v>
      </c>
    </row>
    <row r="128" spans="1:18" s="2" customFormat="1" ht="55.15" hidden="1" x14ac:dyDescent="0.25">
      <c r="A128" s="1">
        <f>A127+1</f>
        <v>2</v>
      </c>
      <c r="B128" s="33" t="s">
        <v>135</v>
      </c>
      <c r="C128" s="1" t="s">
        <v>134</v>
      </c>
      <c r="D128" s="49">
        <v>2479</v>
      </c>
      <c r="E128" s="49">
        <v>2470</v>
      </c>
      <c r="F128" s="49">
        <v>2470</v>
      </c>
      <c r="G128" s="49">
        <v>2470</v>
      </c>
      <c r="H128" s="49">
        <v>2470</v>
      </c>
      <c r="I128" s="49">
        <f>N128/D128*1000</f>
        <v>43207.745058491324</v>
      </c>
      <c r="J128" s="49">
        <v>43746.39</v>
      </c>
      <c r="K128" s="49">
        <f>P128/F128*1000</f>
        <v>46265.587044534412</v>
      </c>
      <c r="L128" s="49">
        <f t="shared" si="5"/>
        <v>48116.19433198381</v>
      </c>
      <c r="M128" s="49">
        <f t="shared" si="5"/>
        <v>50040.82995951418</v>
      </c>
      <c r="N128" s="49">
        <v>107112</v>
      </c>
      <c r="O128" s="49">
        <v>110035.2</v>
      </c>
      <c r="P128" s="49">
        <v>114276</v>
      </c>
      <c r="Q128" s="49">
        <f>P128*1.04-0.04</f>
        <v>118847.00000000001</v>
      </c>
      <c r="R128" s="49">
        <f>Q128*1.04-0.03</f>
        <v>123600.85000000002</v>
      </c>
    </row>
    <row r="129" spans="1:18" s="2" customFormat="1" ht="69" hidden="1" x14ac:dyDescent="0.25">
      <c r="A129" s="1">
        <f t="shared" ref="A129:A171" si="7">A128+1</f>
        <v>3</v>
      </c>
      <c r="B129" s="33" t="s">
        <v>136</v>
      </c>
      <c r="C129" s="1" t="s">
        <v>137</v>
      </c>
      <c r="D129" s="49">
        <f>103487+16766</f>
        <v>120253</v>
      </c>
      <c r="E129" s="49">
        <f>109592+17041</f>
        <v>126633</v>
      </c>
      <c r="F129" s="49">
        <f>109156+17041</f>
        <v>126197</v>
      </c>
      <c r="G129" s="49">
        <f>109156+17041</f>
        <v>126197</v>
      </c>
      <c r="H129" s="49">
        <f>109156+17041</f>
        <v>126197</v>
      </c>
      <c r="I129" s="49">
        <f>N129/D129*1000</f>
        <v>644.37560809293745</v>
      </c>
      <c r="J129" s="49">
        <v>426.78</v>
      </c>
      <c r="K129" s="49">
        <f t="shared" ref="K129:M171" si="8">P129/F129*1000</f>
        <v>701.06896360452299</v>
      </c>
      <c r="L129" s="49">
        <f t="shared" si="5"/>
        <v>729.11172214870385</v>
      </c>
      <c r="M129" s="49">
        <f t="shared" si="5"/>
        <v>758.27619103465202</v>
      </c>
      <c r="N129" s="49">
        <f>41239.5+36248.6</f>
        <v>77488.100000000006</v>
      </c>
      <c r="O129" s="49">
        <f>46771.7+39848.4</f>
        <v>86620.1</v>
      </c>
      <c r="P129" s="49">
        <f>39298.1+49174.7</f>
        <v>88472.799999999988</v>
      </c>
      <c r="Q129" s="49">
        <f t="shared" si="6"/>
        <v>92011.711999999985</v>
      </c>
      <c r="R129" s="49">
        <f t="shared" si="6"/>
        <v>95692.180479999981</v>
      </c>
    </row>
    <row r="130" spans="1:18" s="2" customFormat="1" ht="96.6" hidden="1" x14ac:dyDescent="0.25">
      <c r="A130" s="1">
        <f t="shared" si="7"/>
        <v>4</v>
      </c>
      <c r="B130" s="33" t="s">
        <v>138</v>
      </c>
      <c r="C130" s="1" t="s">
        <v>137</v>
      </c>
      <c r="D130" s="49">
        <v>13967</v>
      </c>
      <c r="E130" s="49">
        <v>9977</v>
      </c>
      <c r="F130" s="49">
        <v>15605</v>
      </c>
      <c r="G130" s="49">
        <v>15605</v>
      </c>
      <c r="H130" s="49">
        <v>15605</v>
      </c>
      <c r="I130" s="49">
        <f>N130/D130*1000</f>
        <v>295.98338941791366</v>
      </c>
      <c r="J130" s="49">
        <v>402.53</v>
      </c>
      <c r="K130" s="49">
        <f t="shared" si="8"/>
        <v>402.60173021467483</v>
      </c>
      <c r="L130" s="49">
        <f t="shared" si="5"/>
        <v>418.70579942326179</v>
      </c>
      <c r="M130" s="49">
        <f t="shared" si="5"/>
        <v>435.45403140019226</v>
      </c>
      <c r="N130" s="49">
        <v>4134</v>
      </c>
      <c r="O130" s="49">
        <v>4016</v>
      </c>
      <c r="P130" s="49">
        <v>6282.6</v>
      </c>
      <c r="Q130" s="49">
        <f t="shared" si="6"/>
        <v>6533.9040000000005</v>
      </c>
      <c r="R130" s="49">
        <f t="shared" si="6"/>
        <v>6795.2601600000007</v>
      </c>
    </row>
    <row r="131" spans="1:18" s="2" customFormat="1" ht="41.45" hidden="1" x14ac:dyDescent="0.25">
      <c r="A131" s="1">
        <f t="shared" si="7"/>
        <v>5</v>
      </c>
      <c r="B131" s="33" t="s">
        <v>139</v>
      </c>
      <c r="C131" s="1" t="s">
        <v>137</v>
      </c>
      <c r="D131" s="49">
        <f>161739+14887+28224</f>
        <v>204850</v>
      </c>
      <c r="E131" s="49">
        <f>162846+13998+28480</f>
        <v>205324</v>
      </c>
      <c r="F131" s="49">
        <f>162911+13998+28480</f>
        <v>205389</v>
      </c>
      <c r="G131" s="49">
        <f>162911+13998+28480</f>
        <v>205389</v>
      </c>
      <c r="H131" s="49">
        <f>162911+13998+28480</f>
        <v>205389</v>
      </c>
      <c r="I131" s="49">
        <f t="shared" ref="I131:I168" si="9">N131/D131*1000</f>
        <v>681.25506468147421</v>
      </c>
      <c r="J131" s="49">
        <v>469.3</v>
      </c>
      <c r="K131" s="49">
        <f t="shared" si="8"/>
        <v>616.93810281952778</v>
      </c>
      <c r="L131" s="49">
        <f t="shared" si="5"/>
        <v>641.61567562040807</v>
      </c>
      <c r="M131" s="49">
        <f t="shared" si="5"/>
        <v>667.28030264522454</v>
      </c>
      <c r="N131" s="49">
        <f>70857.8+49598.7+19098.6</f>
        <v>139555.1</v>
      </c>
      <c r="O131" s="49">
        <f>52037.6+19782.2+76423.6</f>
        <v>148243.40000000002</v>
      </c>
      <c r="P131" s="49">
        <f>29684.2+20574+53694+22760.1</f>
        <v>126712.29999999999</v>
      </c>
      <c r="Q131" s="49">
        <f>P131*1.04+0.01</f>
        <v>131780.802</v>
      </c>
      <c r="R131" s="49">
        <f t="shared" si="6"/>
        <v>137052.03408000001</v>
      </c>
    </row>
    <row r="132" spans="1:18" s="2" customFormat="1" ht="41.45" hidden="1" x14ac:dyDescent="0.25">
      <c r="A132" s="1">
        <f t="shared" si="7"/>
        <v>6</v>
      </c>
      <c r="B132" s="33" t="s">
        <v>140</v>
      </c>
      <c r="C132" s="1" t="s">
        <v>137</v>
      </c>
      <c r="D132" s="49">
        <v>252156</v>
      </c>
      <c r="E132" s="49">
        <v>235620</v>
      </c>
      <c r="F132" s="49">
        <v>236303</v>
      </c>
      <c r="G132" s="49">
        <v>236303</v>
      </c>
      <c r="H132" s="49">
        <v>236303</v>
      </c>
      <c r="I132" s="49">
        <f t="shared" si="9"/>
        <v>459.48619108805661</v>
      </c>
      <c r="J132" s="49">
        <v>506.86</v>
      </c>
      <c r="K132" s="49">
        <f t="shared" si="8"/>
        <v>527.12999834957657</v>
      </c>
      <c r="L132" s="49">
        <f t="shared" si="5"/>
        <v>548.21519828355974</v>
      </c>
      <c r="M132" s="49">
        <f t="shared" si="5"/>
        <v>570.14380621490204</v>
      </c>
      <c r="N132" s="49">
        <v>115862.2</v>
      </c>
      <c r="O132" s="49">
        <v>124967.4</v>
      </c>
      <c r="P132" s="49">
        <f>68067.8+56494.6</f>
        <v>124562.4</v>
      </c>
      <c r="Q132" s="49">
        <f t="shared" si="6"/>
        <v>129544.89599999999</v>
      </c>
      <c r="R132" s="49">
        <f t="shared" si="6"/>
        <v>134726.69183999998</v>
      </c>
    </row>
    <row r="133" spans="1:18" s="2" customFormat="1" ht="55.15" hidden="1" x14ac:dyDescent="0.25">
      <c r="A133" s="1">
        <f t="shared" si="7"/>
        <v>7</v>
      </c>
      <c r="B133" s="33" t="s">
        <v>141</v>
      </c>
      <c r="C133" s="1" t="s">
        <v>137</v>
      </c>
      <c r="D133" s="49">
        <v>69821</v>
      </c>
      <c r="E133" s="49">
        <v>64868</v>
      </c>
      <c r="F133" s="49">
        <v>65480</v>
      </c>
      <c r="G133" s="49">
        <v>65480</v>
      </c>
      <c r="H133" s="49">
        <v>65480</v>
      </c>
      <c r="I133" s="49">
        <f>N133/D133*1000</f>
        <v>704.38550006445053</v>
      </c>
      <c r="J133" s="49">
        <v>770.32</v>
      </c>
      <c r="K133" s="49">
        <f t="shared" si="8"/>
        <v>801.09957238851564</v>
      </c>
      <c r="L133" s="49">
        <f t="shared" si="5"/>
        <v>833.14355528405622</v>
      </c>
      <c r="M133" s="49">
        <f t="shared" si="5"/>
        <v>866.46929749541857</v>
      </c>
      <c r="N133" s="49">
        <v>49180.9</v>
      </c>
      <c r="O133" s="49">
        <v>58361.9</v>
      </c>
      <c r="P133" s="49">
        <f>29576.6+22879.4</f>
        <v>52456</v>
      </c>
      <c r="Q133" s="49">
        <f t="shared" si="6"/>
        <v>54554.240000000005</v>
      </c>
      <c r="R133" s="49">
        <f t="shared" si="6"/>
        <v>56736.409600000006</v>
      </c>
    </row>
    <row r="134" spans="1:18" s="2" customFormat="1" ht="41.45" hidden="1" x14ac:dyDescent="0.25">
      <c r="A134" s="1">
        <f t="shared" si="7"/>
        <v>8</v>
      </c>
      <c r="B134" s="33" t="s">
        <v>142</v>
      </c>
      <c r="C134" s="1" t="s">
        <v>137</v>
      </c>
      <c r="D134" s="49">
        <v>42286</v>
      </c>
      <c r="E134" s="49">
        <v>43412</v>
      </c>
      <c r="F134" s="49">
        <v>44297</v>
      </c>
      <c r="G134" s="49">
        <v>44297</v>
      </c>
      <c r="H134" s="49">
        <v>44297</v>
      </c>
      <c r="I134" s="49">
        <f>N134/D134*1000</f>
        <v>494.82334578820411</v>
      </c>
      <c r="J134" s="49">
        <v>536.11</v>
      </c>
      <c r="K134" s="49">
        <f t="shared" si="8"/>
        <v>536.20109713976115</v>
      </c>
      <c r="L134" s="49">
        <f t="shared" si="5"/>
        <v>557.6491410253517</v>
      </c>
      <c r="M134" s="49">
        <f t="shared" si="5"/>
        <v>579.95510666636574</v>
      </c>
      <c r="N134" s="49">
        <v>20924.099999999999</v>
      </c>
      <c r="O134" s="49">
        <v>23273.5</v>
      </c>
      <c r="P134" s="49">
        <v>23752.1</v>
      </c>
      <c r="Q134" s="49">
        <f t="shared" si="6"/>
        <v>24702.184000000001</v>
      </c>
      <c r="R134" s="49">
        <f t="shared" si="6"/>
        <v>25690.271360000002</v>
      </c>
    </row>
    <row r="135" spans="1:18" s="2" customFormat="1" ht="41.45" hidden="1" x14ac:dyDescent="0.25">
      <c r="A135" s="1">
        <f t="shared" si="7"/>
        <v>9</v>
      </c>
      <c r="B135" s="33" t="s">
        <v>143</v>
      </c>
      <c r="C135" s="1" t="s">
        <v>137</v>
      </c>
      <c r="D135" s="49"/>
      <c r="E135" s="49"/>
      <c r="F135" s="49">
        <v>2000</v>
      </c>
      <c r="G135" s="49">
        <v>2000</v>
      </c>
      <c r="H135" s="49">
        <v>2000</v>
      </c>
      <c r="I135" s="49"/>
      <c r="J135" s="49"/>
      <c r="K135" s="49">
        <f t="shared" si="8"/>
        <v>7013.8</v>
      </c>
      <c r="L135" s="49">
        <f t="shared" si="5"/>
        <v>7294.3520000000008</v>
      </c>
      <c r="M135" s="49">
        <f t="shared" si="5"/>
        <v>7586.1260800000009</v>
      </c>
      <c r="N135" s="49"/>
      <c r="O135" s="49"/>
      <c r="P135" s="49">
        <v>14027.6</v>
      </c>
      <c r="Q135" s="49">
        <f t="shared" si="6"/>
        <v>14588.704000000002</v>
      </c>
      <c r="R135" s="49">
        <f t="shared" si="6"/>
        <v>15172.252160000002</v>
      </c>
    </row>
    <row r="136" spans="1:18" s="2" customFormat="1" ht="27.6" hidden="1" x14ac:dyDescent="0.25">
      <c r="A136" s="1">
        <f t="shared" si="7"/>
        <v>10</v>
      </c>
      <c r="B136" s="33" t="s">
        <v>144</v>
      </c>
      <c r="C136" s="1" t="s">
        <v>137</v>
      </c>
      <c r="D136" s="49">
        <v>0</v>
      </c>
      <c r="E136" s="49">
        <v>20551</v>
      </c>
      <c r="F136" s="49">
        <v>20551</v>
      </c>
      <c r="G136" s="49">
        <v>20551</v>
      </c>
      <c r="H136" s="49">
        <v>20551</v>
      </c>
      <c r="I136" s="49">
        <v>0</v>
      </c>
      <c r="J136" s="49">
        <v>386.49</v>
      </c>
      <c r="K136" s="49">
        <f t="shared" si="8"/>
        <v>401.9999026811347</v>
      </c>
      <c r="L136" s="49">
        <f t="shared" si="5"/>
        <v>418.07989878838021</v>
      </c>
      <c r="M136" s="49">
        <f t="shared" si="5"/>
        <v>434.80114836261015</v>
      </c>
      <c r="N136" s="49">
        <v>0</v>
      </c>
      <c r="O136" s="49">
        <v>7942.7</v>
      </c>
      <c r="P136" s="49">
        <f>826.1+7435.4</f>
        <v>8261.5</v>
      </c>
      <c r="Q136" s="49">
        <f t="shared" si="6"/>
        <v>8591.9600000000009</v>
      </c>
      <c r="R136" s="49">
        <f>Q136*1.04-0.04</f>
        <v>8935.5984000000008</v>
      </c>
    </row>
    <row r="137" spans="1:18" s="2" customFormat="1" ht="27.6" hidden="1" x14ac:dyDescent="0.25">
      <c r="A137" s="1">
        <f t="shared" si="7"/>
        <v>11</v>
      </c>
      <c r="B137" s="33" t="s">
        <v>145</v>
      </c>
      <c r="C137" s="1" t="s">
        <v>137</v>
      </c>
      <c r="D137" s="49"/>
      <c r="E137" s="49"/>
      <c r="F137" s="49">
        <v>15000</v>
      </c>
      <c r="G137" s="49">
        <v>15000</v>
      </c>
      <c r="H137" s="49">
        <v>15000</v>
      </c>
      <c r="I137" s="49"/>
      <c r="J137" s="49"/>
      <c r="K137" s="49">
        <f t="shared" si="8"/>
        <v>1811.6000000000001</v>
      </c>
      <c r="L137" s="49">
        <f t="shared" si="5"/>
        <v>1884.0666666666671</v>
      </c>
      <c r="M137" s="49">
        <f t="shared" si="5"/>
        <v>1959.4266666666672</v>
      </c>
      <c r="N137" s="49"/>
      <c r="O137" s="49"/>
      <c r="P137" s="49">
        <v>27174</v>
      </c>
      <c r="Q137" s="49">
        <f>P137*1.04+0.04</f>
        <v>28261.000000000004</v>
      </c>
      <c r="R137" s="49">
        <f>Q137*1.04-0.04</f>
        <v>29391.400000000005</v>
      </c>
    </row>
    <row r="138" spans="1:18" s="2" customFormat="1" ht="55.15" hidden="1" x14ac:dyDescent="0.25">
      <c r="A138" s="1">
        <f t="shared" si="7"/>
        <v>12</v>
      </c>
      <c r="B138" s="33" t="s">
        <v>146</v>
      </c>
      <c r="C138" s="1" t="s">
        <v>137</v>
      </c>
      <c r="D138" s="49">
        <v>420</v>
      </c>
      <c r="E138" s="49">
        <v>1349</v>
      </c>
      <c r="F138" s="49">
        <v>1440</v>
      </c>
      <c r="G138" s="49">
        <v>1440</v>
      </c>
      <c r="H138" s="49">
        <v>1440</v>
      </c>
      <c r="I138" s="49">
        <f t="shared" si="9"/>
        <v>6972.8571428571422</v>
      </c>
      <c r="J138" s="49">
        <v>6977.76</v>
      </c>
      <c r="K138" s="49">
        <f>P138/F138*1000</f>
        <v>7256.875</v>
      </c>
      <c r="L138" s="49">
        <f t="shared" si="5"/>
        <v>7547.0805555555553</v>
      </c>
      <c r="M138" s="49">
        <f t="shared" si="5"/>
        <v>7848.9568333333336</v>
      </c>
      <c r="N138" s="49">
        <v>2928.6</v>
      </c>
      <c r="O138" s="49">
        <v>9413</v>
      </c>
      <c r="P138" s="49">
        <v>10449.9</v>
      </c>
      <c r="Q138" s="49">
        <f>P138*1.04-0.1</f>
        <v>10867.796</v>
      </c>
      <c r="R138" s="49">
        <f>Q138*1.04-0.01</f>
        <v>11302.49784</v>
      </c>
    </row>
    <row r="139" spans="1:18" s="2" customFormat="1" ht="55.15" hidden="1" x14ac:dyDescent="0.25">
      <c r="A139" s="1">
        <f t="shared" si="7"/>
        <v>13</v>
      </c>
      <c r="B139" s="33" t="s">
        <v>147</v>
      </c>
      <c r="C139" s="1" t="s">
        <v>137</v>
      </c>
      <c r="D139" s="49"/>
      <c r="E139" s="49"/>
      <c r="F139" s="49">
        <v>1347</v>
      </c>
      <c r="G139" s="49">
        <v>1347</v>
      </c>
      <c r="H139" s="49">
        <v>1347</v>
      </c>
      <c r="I139" s="49"/>
      <c r="J139" s="49"/>
      <c r="K139" s="49">
        <f>P139/F139*1000</f>
        <v>727.46844840386041</v>
      </c>
      <c r="L139" s="49">
        <f t="shared" si="5"/>
        <v>756.56718634001481</v>
      </c>
      <c r="M139" s="49">
        <f t="shared" si="5"/>
        <v>786.83729769858951</v>
      </c>
      <c r="N139" s="49"/>
      <c r="O139" s="49"/>
      <c r="P139" s="49">
        <v>979.9</v>
      </c>
      <c r="Q139" s="49">
        <f t="shared" si="6"/>
        <v>1019.096</v>
      </c>
      <c r="R139" s="49">
        <f>Q139*1.04+0.01</f>
        <v>1059.8698400000001</v>
      </c>
    </row>
    <row r="140" spans="1:18" s="2" customFormat="1" ht="27.6" hidden="1" x14ac:dyDescent="0.25">
      <c r="A140" s="1">
        <f t="shared" si="7"/>
        <v>14</v>
      </c>
      <c r="B140" s="33" t="s">
        <v>148</v>
      </c>
      <c r="C140" s="1" t="s">
        <v>137</v>
      </c>
      <c r="D140" s="49">
        <v>1236</v>
      </c>
      <c r="E140" s="49">
        <v>13759</v>
      </c>
      <c r="F140" s="49">
        <f>15793</f>
        <v>15793</v>
      </c>
      <c r="G140" s="49">
        <f>15793</f>
        <v>15793</v>
      </c>
      <c r="H140" s="49">
        <f>15793</f>
        <v>15793</v>
      </c>
      <c r="I140" s="49">
        <f t="shared" si="9"/>
        <v>523.54368932038847</v>
      </c>
      <c r="J140" s="49">
        <v>544.67999999999995</v>
      </c>
      <c r="K140" s="49">
        <f t="shared" si="8"/>
        <v>555.60058253656689</v>
      </c>
      <c r="L140" s="49">
        <f t="shared" si="5"/>
        <v>577.82587222187055</v>
      </c>
      <c r="M140" s="49">
        <f t="shared" si="5"/>
        <v>600.93890711074539</v>
      </c>
      <c r="N140" s="49">
        <v>647.1</v>
      </c>
      <c r="O140" s="49">
        <v>7494.3</v>
      </c>
      <c r="P140" s="49">
        <f>8774.6</f>
        <v>8774.6</v>
      </c>
      <c r="Q140" s="49">
        <f>P140*1.04+0.02</f>
        <v>9125.6040000000012</v>
      </c>
      <c r="R140" s="49">
        <f t="shared" si="6"/>
        <v>9490.628160000002</v>
      </c>
    </row>
    <row r="141" spans="1:18" s="2" customFormat="1" ht="55.15" hidden="1" x14ac:dyDescent="0.25">
      <c r="A141" s="1">
        <f t="shared" si="7"/>
        <v>15</v>
      </c>
      <c r="B141" s="33" t="s">
        <v>149</v>
      </c>
      <c r="C141" s="1" t="s">
        <v>150</v>
      </c>
      <c r="D141" s="49">
        <v>383</v>
      </c>
      <c r="E141" s="49">
        <v>390</v>
      </c>
      <c r="F141" s="49">
        <v>390</v>
      </c>
      <c r="G141" s="49">
        <v>390</v>
      </c>
      <c r="H141" s="49">
        <v>390</v>
      </c>
      <c r="I141" s="49">
        <f t="shared" si="9"/>
        <v>18156.135770234985</v>
      </c>
      <c r="J141" s="49">
        <v>19248.11</v>
      </c>
      <c r="K141" s="49">
        <f t="shared" si="8"/>
        <v>19697.179487179485</v>
      </c>
      <c r="L141" s="49">
        <f t="shared" si="5"/>
        <v>20485.066666666666</v>
      </c>
      <c r="M141" s="49">
        <f t="shared" si="5"/>
        <v>21304.469333333334</v>
      </c>
      <c r="N141" s="49">
        <v>6953.8</v>
      </c>
      <c r="O141" s="49">
        <v>7506.8</v>
      </c>
      <c r="P141" s="49">
        <v>7681.9</v>
      </c>
      <c r="Q141" s="49">
        <f t="shared" si="6"/>
        <v>7989.1759999999995</v>
      </c>
      <c r="R141" s="49">
        <f t="shared" si="6"/>
        <v>8308.7430399999994</v>
      </c>
    </row>
    <row r="142" spans="1:18" s="2" customFormat="1" ht="41.45" hidden="1" x14ac:dyDescent="0.25">
      <c r="A142" s="1">
        <f t="shared" si="7"/>
        <v>16</v>
      </c>
      <c r="B142" s="33" t="s">
        <v>151</v>
      </c>
      <c r="C142" s="1" t="s">
        <v>150</v>
      </c>
      <c r="D142" s="49">
        <v>322</v>
      </c>
      <c r="E142" s="49">
        <v>342</v>
      </c>
      <c r="F142" s="49">
        <v>502</v>
      </c>
      <c r="G142" s="49">
        <v>502</v>
      </c>
      <c r="H142" s="49">
        <v>502</v>
      </c>
      <c r="I142" s="49">
        <f t="shared" si="9"/>
        <v>16910.248447204973</v>
      </c>
      <c r="J142" s="49">
        <v>15986.55</v>
      </c>
      <c r="K142" s="49">
        <f t="shared" si="8"/>
        <v>16481.474103585657</v>
      </c>
      <c r="L142" s="49">
        <f t="shared" si="5"/>
        <v>17140.733067729088</v>
      </c>
      <c r="M142" s="49">
        <f t="shared" si="5"/>
        <v>17826.362390438248</v>
      </c>
      <c r="N142" s="49">
        <f>5462-16.9</f>
        <v>5445.1</v>
      </c>
      <c r="O142" s="49">
        <v>5467.4</v>
      </c>
      <c r="P142" s="49">
        <v>8273.7000000000007</v>
      </c>
      <c r="Q142" s="49">
        <f t="shared" si="6"/>
        <v>8604.648000000001</v>
      </c>
      <c r="R142" s="49">
        <f t="shared" si="6"/>
        <v>8948.8339200000009</v>
      </c>
    </row>
    <row r="143" spans="1:18" s="2" customFormat="1" ht="41.45" hidden="1" x14ac:dyDescent="0.25">
      <c r="A143" s="1">
        <f t="shared" si="7"/>
        <v>17</v>
      </c>
      <c r="B143" s="33" t="s">
        <v>152</v>
      </c>
      <c r="C143" s="1" t="s">
        <v>150</v>
      </c>
      <c r="D143" s="49">
        <v>676</v>
      </c>
      <c r="E143" s="49">
        <v>1030</v>
      </c>
      <c r="F143" s="49">
        <v>1030</v>
      </c>
      <c r="G143" s="49">
        <v>1030</v>
      </c>
      <c r="H143" s="49">
        <v>1030</v>
      </c>
      <c r="I143" s="49">
        <f t="shared" si="9"/>
        <v>11935.502958579882</v>
      </c>
      <c r="J143" s="49">
        <v>11043.32</v>
      </c>
      <c r="K143" s="49">
        <f t="shared" si="8"/>
        <v>11317.57281553398</v>
      </c>
      <c r="L143" s="49">
        <f t="shared" si="5"/>
        <v>11770.266019417475</v>
      </c>
      <c r="M143" s="49">
        <f t="shared" si="5"/>
        <v>12241.086368932039</v>
      </c>
      <c r="N143" s="49">
        <v>8068.4</v>
      </c>
      <c r="O143" s="49">
        <v>11374.6</v>
      </c>
      <c r="P143" s="49">
        <v>11657.1</v>
      </c>
      <c r="Q143" s="49">
        <f>P143*1.04-0.01</f>
        <v>12123.374</v>
      </c>
      <c r="R143" s="49">
        <f>Q143*1.04+0.01</f>
        <v>12608.318960000001</v>
      </c>
    </row>
    <row r="144" spans="1:18" s="2" customFormat="1" ht="55.15" hidden="1" x14ac:dyDescent="0.25">
      <c r="A144" s="1">
        <f t="shared" si="7"/>
        <v>18</v>
      </c>
      <c r="B144" s="33" t="s">
        <v>153</v>
      </c>
      <c r="C144" s="1" t="s">
        <v>154</v>
      </c>
      <c r="D144" s="49">
        <f>249+577</f>
        <v>826</v>
      </c>
      <c r="E144" s="49">
        <v>796</v>
      </c>
      <c r="F144" s="49">
        <f>547+261</f>
        <v>808</v>
      </c>
      <c r="G144" s="49">
        <f>547+261</f>
        <v>808</v>
      </c>
      <c r="H144" s="49">
        <f>547+261</f>
        <v>808</v>
      </c>
      <c r="I144" s="49">
        <f t="shared" si="9"/>
        <v>229586.56174334142</v>
      </c>
      <c r="J144" s="49">
        <v>148751</v>
      </c>
      <c r="K144" s="49">
        <f t="shared" si="8"/>
        <v>225177.72277227719</v>
      </c>
      <c r="L144" s="49">
        <f t="shared" si="5"/>
        <v>234184.83168316828</v>
      </c>
      <c r="M144" s="49">
        <f t="shared" si="5"/>
        <v>243552.22495049503</v>
      </c>
      <c r="N144" s="49">
        <f>37039+152599.5</f>
        <v>189638.5</v>
      </c>
      <c r="O144" s="49">
        <v>181704.4</v>
      </c>
      <c r="P144" s="49">
        <f>43064.8+138878.8</f>
        <v>181943.59999999998</v>
      </c>
      <c r="Q144" s="49">
        <f t="shared" si="6"/>
        <v>189221.34399999998</v>
      </c>
      <c r="R144" s="49">
        <f t="shared" si="6"/>
        <v>196790.19775999998</v>
      </c>
    </row>
    <row r="145" spans="1:18" s="2" customFormat="1" ht="55.15" hidden="1" x14ac:dyDescent="0.25">
      <c r="A145" s="1">
        <f t="shared" si="7"/>
        <v>19</v>
      </c>
      <c r="B145" s="33" t="s">
        <v>155</v>
      </c>
      <c r="C145" s="1" t="s">
        <v>154</v>
      </c>
      <c r="D145" s="49">
        <v>47</v>
      </c>
      <c r="E145" s="49">
        <v>47</v>
      </c>
      <c r="F145" s="49">
        <v>56</v>
      </c>
      <c r="G145" s="49">
        <v>56</v>
      </c>
      <c r="H145" s="49">
        <v>56</v>
      </c>
      <c r="I145" s="49">
        <f t="shared" si="9"/>
        <v>150234.04255319151</v>
      </c>
      <c r="J145" s="49">
        <v>150233.09</v>
      </c>
      <c r="K145" s="49">
        <f t="shared" si="8"/>
        <v>144223.21428571429</v>
      </c>
      <c r="L145" s="49">
        <f t="shared" si="5"/>
        <v>149992.14285714284</v>
      </c>
      <c r="M145" s="49">
        <f t="shared" si="5"/>
        <v>155991.82857142857</v>
      </c>
      <c r="N145" s="49">
        <v>7061</v>
      </c>
      <c r="O145" s="49">
        <v>7061</v>
      </c>
      <c r="P145" s="49">
        <v>8076.5</v>
      </c>
      <c r="Q145" s="49">
        <f t="shared" ref="Q145:R160" si="10">P145*1.04</f>
        <v>8399.56</v>
      </c>
      <c r="R145" s="49">
        <f t="shared" si="10"/>
        <v>8735.5424000000003</v>
      </c>
    </row>
    <row r="146" spans="1:18" s="2" customFormat="1" ht="55.15" hidden="1" x14ac:dyDescent="0.25">
      <c r="A146" s="1">
        <f t="shared" si="7"/>
        <v>20</v>
      </c>
      <c r="B146" s="33" t="s">
        <v>156</v>
      </c>
      <c r="C146" s="1" t="s">
        <v>154</v>
      </c>
      <c r="D146" s="49">
        <v>13</v>
      </c>
      <c r="E146" s="49">
        <v>13</v>
      </c>
      <c r="F146" s="49">
        <v>14</v>
      </c>
      <c r="G146" s="49">
        <v>14</v>
      </c>
      <c r="H146" s="49">
        <v>14</v>
      </c>
      <c r="I146" s="49">
        <f t="shared" si="9"/>
        <v>577792.30769230775</v>
      </c>
      <c r="J146" s="49">
        <v>577798.52</v>
      </c>
      <c r="K146" s="49">
        <f t="shared" si="8"/>
        <v>554685.71428571432</v>
      </c>
      <c r="L146" s="49">
        <f t="shared" si="5"/>
        <v>576873.14285714296</v>
      </c>
      <c r="M146" s="49">
        <f t="shared" si="5"/>
        <v>599948.06857142877</v>
      </c>
      <c r="N146" s="49">
        <v>7511.3</v>
      </c>
      <c r="O146" s="49">
        <v>7511.3</v>
      </c>
      <c r="P146" s="49">
        <v>7765.6</v>
      </c>
      <c r="Q146" s="49">
        <f t="shared" si="10"/>
        <v>8076.2240000000011</v>
      </c>
      <c r="R146" s="49">
        <f t="shared" si="10"/>
        <v>8399.2729600000021</v>
      </c>
    </row>
    <row r="147" spans="1:18" s="2" customFormat="1" ht="55.15" hidden="1" x14ac:dyDescent="0.25">
      <c r="A147" s="1">
        <f t="shared" si="7"/>
        <v>21</v>
      </c>
      <c r="B147" s="33" t="s">
        <v>157</v>
      </c>
      <c r="C147" s="1" t="s">
        <v>154</v>
      </c>
      <c r="D147" s="49">
        <v>34</v>
      </c>
      <c r="E147" s="49">
        <f>34</f>
        <v>34</v>
      </c>
      <c r="F147" s="49">
        <v>34</v>
      </c>
      <c r="G147" s="49">
        <v>34</v>
      </c>
      <c r="H147" s="49">
        <v>34</v>
      </c>
      <c r="I147" s="49">
        <f t="shared" si="9"/>
        <v>212423.5294117647</v>
      </c>
      <c r="J147" s="49">
        <v>212423</v>
      </c>
      <c r="K147" s="49">
        <f t="shared" si="8"/>
        <v>203926.4705882353</v>
      </c>
      <c r="L147" s="49">
        <f t="shared" si="8"/>
        <v>212083.52941176473</v>
      </c>
      <c r="M147" s="49">
        <f t="shared" si="8"/>
        <v>220566.8705882353</v>
      </c>
      <c r="N147" s="49">
        <v>7222.4</v>
      </c>
      <c r="O147" s="49">
        <v>7222.4</v>
      </c>
      <c r="P147" s="49">
        <v>6933.5</v>
      </c>
      <c r="Q147" s="49">
        <f t="shared" si="10"/>
        <v>7210.84</v>
      </c>
      <c r="R147" s="49">
        <f t="shared" si="10"/>
        <v>7499.2736000000004</v>
      </c>
    </row>
    <row r="148" spans="1:18" s="2" customFormat="1" ht="55.15" hidden="1" x14ac:dyDescent="0.25">
      <c r="A148" s="1">
        <f t="shared" si="7"/>
        <v>22</v>
      </c>
      <c r="B148" s="47" t="s">
        <v>158</v>
      </c>
      <c r="C148" s="1" t="s">
        <v>154</v>
      </c>
      <c r="D148" s="49">
        <f>325+52</f>
        <v>377</v>
      </c>
      <c r="E148" s="49">
        <f>325+49</f>
        <v>374</v>
      </c>
      <c r="F148" s="49">
        <f>325+49</f>
        <v>374</v>
      </c>
      <c r="G148" s="49">
        <f>325+49</f>
        <v>374</v>
      </c>
      <c r="H148" s="49">
        <f>325+49</f>
        <v>374</v>
      </c>
      <c r="I148" s="49">
        <f t="shared" si="9"/>
        <v>249932.36074270558</v>
      </c>
      <c r="J148" s="49">
        <v>267350.09999999998</v>
      </c>
      <c r="K148" s="49">
        <f t="shared" si="8"/>
        <v>242741.44385026739</v>
      </c>
      <c r="L148" s="49">
        <f t="shared" si="8"/>
        <v>252451.10160427808</v>
      </c>
      <c r="M148" s="49">
        <f t="shared" si="8"/>
        <v>262549.14566844923</v>
      </c>
      <c r="N148" s="49">
        <f>7335.7+86888.8</f>
        <v>94224.5</v>
      </c>
      <c r="O148" s="49">
        <f>86888.8+8294.7</f>
        <v>95183.5</v>
      </c>
      <c r="P148" s="49">
        <f>83413.2+7372.1</f>
        <v>90785.3</v>
      </c>
      <c r="Q148" s="49">
        <f t="shared" si="10"/>
        <v>94416.712</v>
      </c>
      <c r="R148" s="49">
        <f t="shared" si="10"/>
        <v>98193.380480000007</v>
      </c>
    </row>
    <row r="149" spans="1:18" s="2" customFormat="1" ht="55.15" hidden="1" x14ac:dyDescent="0.25">
      <c r="A149" s="1">
        <f t="shared" si="7"/>
        <v>23</v>
      </c>
      <c r="B149" s="33" t="s">
        <v>159</v>
      </c>
      <c r="C149" s="1" t="s">
        <v>154</v>
      </c>
      <c r="D149" s="49">
        <v>434</v>
      </c>
      <c r="E149" s="49">
        <v>434</v>
      </c>
      <c r="F149" s="49">
        <v>434</v>
      </c>
      <c r="G149" s="49">
        <v>434</v>
      </c>
      <c r="H149" s="49">
        <v>434</v>
      </c>
      <c r="I149" s="49">
        <f t="shared" si="9"/>
        <v>136350.46082949307</v>
      </c>
      <c r="J149" s="49">
        <v>136350.68</v>
      </c>
      <c r="K149" s="49">
        <f>P149/F149*1000</f>
        <v>130896.77419354836</v>
      </c>
      <c r="L149" s="49">
        <f t="shared" si="8"/>
        <v>136132.64516129033</v>
      </c>
      <c r="M149" s="49">
        <f t="shared" si="8"/>
        <v>141577.95096774196</v>
      </c>
      <c r="N149" s="49">
        <v>59176.1</v>
      </c>
      <c r="O149" s="49">
        <v>59176.2</v>
      </c>
      <c r="P149" s="49">
        <v>56809.2</v>
      </c>
      <c r="Q149" s="49">
        <f t="shared" si="10"/>
        <v>59081.567999999999</v>
      </c>
      <c r="R149" s="49">
        <f t="shared" si="10"/>
        <v>61444.830719999998</v>
      </c>
    </row>
    <row r="150" spans="1:18" s="2" customFormat="1" ht="55.15" hidden="1" x14ac:dyDescent="0.25">
      <c r="A150" s="1">
        <f t="shared" si="7"/>
        <v>24</v>
      </c>
      <c r="B150" s="33" t="s">
        <v>160</v>
      </c>
      <c r="C150" s="1" t="s">
        <v>154</v>
      </c>
      <c r="D150" s="49">
        <f>728+96</f>
        <v>824</v>
      </c>
      <c r="E150" s="49">
        <f>728+104</f>
        <v>832</v>
      </c>
      <c r="F150" s="49">
        <f>728+104</f>
        <v>832</v>
      </c>
      <c r="G150" s="49">
        <f>728+104</f>
        <v>832</v>
      </c>
      <c r="H150" s="49">
        <f>728+104</f>
        <v>832</v>
      </c>
      <c r="I150" s="49">
        <f t="shared" si="9"/>
        <v>297536.40776699031</v>
      </c>
      <c r="J150" s="49">
        <v>299790.51</v>
      </c>
      <c r="K150" s="49">
        <f t="shared" si="8"/>
        <v>287798.91826923081</v>
      </c>
      <c r="L150" s="49">
        <f t="shared" si="8"/>
        <v>299310.875</v>
      </c>
      <c r="M150" s="49">
        <f t="shared" si="8"/>
        <v>311283.31000000006</v>
      </c>
      <c r="N150" s="49">
        <f>26922.7+218247.3</f>
        <v>245170</v>
      </c>
      <c r="O150" s="49">
        <f>218247.5+29280.5</f>
        <v>247528</v>
      </c>
      <c r="P150" s="49">
        <f>29931.1+209517.6</f>
        <v>239448.7</v>
      </c>
      <c r="Q150" s="49">
        <f t="shared" si="10"/>
        <v>249026.64800000002</v>
      </c>
      <c r="R150" s="49">
        <f t="shared" si="10"/>
        <v>258987.71392000004</v>
      </c>
    </row>
    <row r="151" spans="1:18" s="2" customFormat="1" ht="55.15" hidden="1" x14ac:dyDescent="0.25">
      <c r="A151" s="1">
        <f t="shared" si="7"/>
        <v>25</v>
      </c>
      <c r="B151" s="33" t="s">
        <v>161</v>
      </c>
      <c r="C151" s="1" t="s">
        <v>154</v>
      </c>
      <c r="D151" s="49">
        <f>171+29</f>
        <v>200</v>
      </c>
      <c r="E151" s="49">
        <f>171+28</f>
        <v>199</v>
      </c>
      <c r="F151" s="49">
        <f>171+28</f>
        <v>199</v>
      </c>
      <c r="G151" s="49">
        <f>171+28</f>
        <v>199</v>
      </c>
      <c r="H151" s="49">
        <f>171+28</f>
        <v>199</v>
      </c>
      <c r="I151" s="49">
        <f t="shared" si="9"/>
        <v>224353.99999999997</v>
      </c>
      <c r="J151" s="49">
        <v>241726.2</v>
      </c>
      <c r="K151" s="49">
        <f t="shared" si="8"/>
        <v>212929.64824120601</v>
      </c>
      <c r="L151" s="49">
        <f t="shared" si="8"/>
        <v>221446.83417085427</v>
      </c>
      <c r="M151" s="49">
        <f t="shared" si="8"/>
        <v>230304.70753768843</v>
      </c>
      <c r="N151" s="49">
        <f>3535.6+41335.2</f>
        <v>44870.799999999996</v>
      </c>
      <c r="O151" s="49">
        <f>41335.2+2865.4</f>
        <v>44200.6</v>
      </c>
      <c r="P151" s="49">
        <f>39681.8+2691.2</f>
        <v>42373</v>
      </c>
      <c r="Q151" s="49">
        <f t="shared" si="10"/>
        <v>44067.92</v>
      </c>
      <c r="R151" s="49">
        <f t="shared" si="10"/>
        <v>45830.6368</v>
      </c>
    </row>
    <row r="152" spans="1:18" s="2" customFormat="1" ht="55.15" hidden="1" x14ac:dyDescent="0.25">
      <c r="A152" s="1">
        <f t="shared" si="7"/>
        <v>26</v>
      </c>
      <c r="B152" s="33" t="s">
        <v>162</v>
      </c>
      <c r="C152" s="1" t="s">
        <v>154</v>
      </c>
      <c r="D152" s="49">
        <v>20</v>
      </c>
      <c r="E152" s="49">
        <v>20</v>
      </c>
      <c r="F152" s="49">
        <v>20</v>
      </c>
      <c r="G152" s="49">
        <v>20</v>
      </c>
      <c r="H152" s="49">
        <v>20</v>
      </c>
      <c r="I152" s="49">
        <f t="shared" si="9"/>
        <v>1072207.25</v>
      </c>
      <c r="J152" s="49">
        <v>1072207.28</v>
      </c>
      <c r="K152" s="49">
        <f t="shared" si="8"/>
        <v>1029320.0000000001</v>
      </c>
      <c r="L152" s="49">
        <f t="shared" si="8"/>
        <v>1070492.8000000003</v>
      </c>
      <c r="M152" s="49">
        <f t="shared" si="8"/>
        <v>1113312.5120000001</v>
      </c>
      <c r="N152" s="49">
        <v>21444.145</v>
      </c>
      <c r="O152" s="49">
        <v>21444.1</v>
      </c>
      <c r="P152" s="49">
        <v>20586.400000000001</v>
      </c>
      <c r="Q152" s="49">
        <f t="shared" si="10"/>
        <v>21409.856000000003</v>
      </c>
      <c r="R152" s="49">
        <f t="shared" si="10"/>
        <v>22266.250240000005</v>
      </c>
    </row>
    <row r="153" spans="1:18" s="2" customFormat="1" ht="55.15" hidden="1" x14ac:dyDescent="0.25">
      <c r="A153" s="1">
        <f t="shared" si="7"/>
        <v>27</v>
      </c>
      <c r="B153" s="33" t="s">
        <v>163</v>
      </c>
      <c r="C153" s="1" t="s">
        <v>154</v>
      </c>
      <c r="D153" s="49">
        <v>28</v>
      </c>
      <c r="E153" s="49">
        <v>28</v>
      </c>
      <c r="F153" s="49">
        <v>29</v>
      </c>
      <c r="G153" s="49">
        <v>29</v>
      </c>
      <c r="H153" s="49">
        <v>29</v>
      </c>
      <c r="I153" s="49">
        <f t="shared" si="9"/>
        <v>157799.99999999997</v>
      </c>
      <c r="J153" s="49">
        <v>157800.35999999999</v>
      </c>
      <c r="K153" s="49">
        <f t="shared" si="8"/>
        <v>151489.6551724138</v>
      </c>
      <c r="L153" s="49">
        <f t="shared" si="8"/>
        <v>157549.24137931032</v>
      </c>
      <c r="M153" s="49">
        <f t="shared" si="8"/>
        <v>163851.21103448275</v>
      </c>
      <c r="N153" s="49">
        <v>4418.3999999999996</v>
      </c>
      <c r="O153" s="49">
        <v>4418.3999999999996</v>
      </c>
      <c r="P153" s="49">
        <v>4393.2</v>
      </c>
      <c r="Q153" s="49">
        <f t="shared" si="10"/>
        <v>4568.9279999999999</v>
      </c>
      <c r="R153" s="49">
        <f t="shared" si="10"/>
        <v>4751.6851200000001</v>
      </c>
    </row>
    <row r="154" spans="1:18" s="2" customFormat="1" ht="55.15" hidden="1" x14ac:dyDescent="0.25">
      <c r="A154" s="1">
        <f t="shared" si="7"/>
        <v>28</v>
      </c>
      <c r="B154" s="33" t="s">
        <v>164</v>
      </c>
      <c r="C154" s="1" t="s">
        <v>154</v>
      </c>
      <c r="D154" s="49">
        <v>0</v>
      </c>
      <c r="E154" s="49">
        <v>30</v>
      </c>
      <c r="F154" s="49">
        <v>20</v>
      </c>
      <c r="G154" s="49">
        <v>20</v>
      </c>
      <c r="H154" s="49">
        <v>20</v>
      </c>
      <c r="I154" s="49">
        <v>0</v>
      </c>
      <c r="J154" s="49">
        <v>208610.71</v>
      </c>
      <c r="K154" s="49">
        <f t="shared" si="8"/>
        <v>199484.99999999997</v>
      </c>
      <c r="L154" s="49">
        <f t="shared" si="8"/>
        <v>207464.4</v>
      </c>
      <c r="M154" s="49">
        <f t="shared" si="8"/>
        <v>215762.97599999997</v>
      </c>
      <c r="N154" s="49">
        <v>0</v>
      </c>
      <c r="O154" s="49">
        <v>6258.3</v>
      </c>
      <c r="P154" s="49">
        <v>3989.7</v>
      </c>
      <c r="Q154" s="49">
        <f t="shared" si="10"/>
        <v>4149.2879999999996</v>
      </c>
      <c r="R154" s="49">
        <f t="shared" si="10"/>
        <v>4315.2595199999996</v>
      </c>
    </row>
    <row r="155" spans="1:18" s="2" customFormat="1" ht="55.15" hidden="1" x14ac:dyDescent="0.25">
      <c r="A155" s="1">
        <f t="shared" si="7"/>
        <v>29</v>
      </c>
      <c r="B155" s="33" t="s">
        <v>165</v>
      </c>
      <c r="C155" s="1" t="s">
        <v>154</v>
      </c>
      <c r="D155" s="49">
        <v>103</v>
      </c>
      <c r="E155" s="49">
        <v>100</v>
      </c>
      <c r="F155" s="49">
        <v>100</v>
      </c>
      <c r="G155" s="49">
        <v>100</v>
      </c>
      <c r="H155" s="49">
        <v>100</v>
      </c>
      <c r="I155" s="49">
        <f t="shared" si="9"/>
        <v>92343.689320388352</v>
      </c>
      <c r="J155" s="49">
        <v>103330</v>
      </c>
      <c r="K155" s="49">
        <f t="shared" si="8"/>
        <v>127295</v>
      </c>
      <c r="L155" s="49">
        <f t="shared" si="8"/>
        <v>132386.79999999999</v>
      </c>
      <c r="M155" s="49">
        <f t="shared" si="8"/>
        <v>137682.272</v>
      </c>
      <c r="N155" s="49">
        <v>9511.4</v>
      </c>
      <c r="O155" s="49">
        <v>10333</v>
      </c>
      <c r="P155" s="49">
        <v>12729.5</v>
      </c>
      <c r="Q155" s="49">
        <f t="shared" si="10"/>
        <v>13238.68</v>
      </c>
      <c r="R155" s="49">
        <f t="shared" si="10"/>
        <v>13768.227200000001</v>
      </c>
    </row>
    <row r="156" spans="1:18" s="2" customFormat="1" ht="55.15" hidden="1" x14ac:dyDescent="0.25">
      <c r="A156" s="1">
        <f t="shared" si="7"/>
        <v>30</v>
      </c>
      <c r="B156" s="33" t="s">
        <v>166</v>
      </c>
      <c r="C156" s="1" t="s">
        <v>154</v>
      </c>
      <c r="D156" s="49">
        <v>30</v>
      </c>
      <c r="E156" s="49">
        <v>29</v>
      </c>
      <c r="F156" s="49">
        <v>29</v>
      </c>
      <c r="G156" s="49">
        <v>29</v>
      </c>
      <c r="H156" s="49">
        <v>29</v>
      </c>
      <c r="I156" s="49">
        <f t="shared" si="9"/>
        <v>131366.66666666669</v>
      </c>
      <c r="J156" s="49">
        <v>97609.5</v>
      </c>
      <c r="K156" s="49">
        <f t="shared" si="8"/>
        <v>78565.517241379304</v>
      </c>
      <c r="L156" s="49">
        <f t="shared" si="8"/>
        <v>81708.137931034493</v>
      </c>
      <c r="M156" s="49">
        <f t="shared" si="8"/>
        <v>84976.46344827587</v>
      </c>
      <c r="N156" s="49">
        <v>3941</v>
      </c>
      <c r="O156" s="49">
        <v>2830.7</v>
      </c>
      <c r="P156" s="49">
        <v>2278.4</v>
      </c>
      <c r="Q156" s="49">
        <f t="shared" si="10"/>
        <v>2369.5360000000001</v>
      </c>
      <c r="R156" s="49">
        <f t="shared" si="10"/>
        <v>2464.3174400000003</v>
      </c>
    </row>
    <row r="157" spans="1:18" s="2" customFormat="1" ht="82.9" hidden="1" x14ac:dyDescent="0.25">
      <c r="A157" s="1">
        <f t="shared" si="7"/>
        <v>31</v>
      </c>
      <c r="B157" s="33" t="s">
        <v>167</v>
      </c>
      <c r="C157" s="1" t="s">
        <v>154</v>
      </c>
      <c r="D157" s="49">
        <v>324</v>
      </c>
      <c r="E157" s="49">
        <v>325</v>
      </c>
      <c r="F157" s="49">
        <v>325</v>
      </c>
      <c r="G157" s="49">
        <v>325</v>
      </c>
      <c r="H157" s="49">
        <v>325</v>
      </c>
      <c r="I157" s="49">
        <f t="shared" si="9"/>
        <v>71430.555555555562</v>
      </c>
      <c r="J157" s="49">
        <v>78460.149999999994</v>
      </c>
      <c r="K157" s="49">
        <f t="shared" si="8"/>
        <v>79427.692307692312</v>
      </c>
      <c r="L157" s="49">
        <f t="shared" si="8"/>
        <v>82604.800000000003</v>
      </c>
      <c r="M157" s="49">
        <f t="shared" si="8"/>
        <v>85908.992000000013</v>
      </c>
      <c r="N157" s="49">
        <v>23143.5</v>
      </c>
      <c r="O157" s="49">
        <v>25499.599999999999</v>
      </c>
      <c r="P157" s="49">
        <v>25814</v>
      </c>
      <c r="Q157" s="49">
        <f t="shared" si="10"/>
        <v>26846.560000000001</v>
      </c>
      <c r="R157" s="49">
        <f t="shared" si="10"/>
        <v>27920.422400000003</v>
      </c>
    </row>
    <row r="158" spans="1:18" s="2" customFormat="1" ht="69" hidden="1" x14ac:dyDescent="0.25">
      <c r="A158" s="1">
        <f t="shared" si="7"/>
        <v>32</v>
      </c>
      <c r="B158" s="33" t="s">
        <v>168</v>
      </c>
      <c r="C158" s="1" t="s">
        <v>154</v>
      </c>
      <c r="D158" s="49">
        <v>468</v>
      </c>
      <c r="E158" s="49">
        <f>460</f>
        <v>460</v>
      </c>
      <c r="F158" s="49">
        <v>460</v>
      </c>
      <c r="G158" s="49">
        <v>460</v>
      </c>
      <c r="H158" s="49">
        <v>460</v>
      </c>
      <c r="I158" s="49">
        <f t="shared" si="9"/>
        <v>48420.085470085469</v>
      </c>
      <c r="J158" s="49">
        <v>77748</v>
      </c>
      <c r="K158" s="49">
        <f t="shared" si="8"/>
        <v>80857.934782608689</v>
      </c>
      <c r="L158" s="49">
        <f t="shared" si="8"/>
        <v>84092.252173913046</v>
      </c>
      <c r="M158" s="49">
        <f t="shared" si="8"/>
        <v>87455.985739130439</v>
      </c>
      <c r="N158" s="49">
        <v>22660.6</v>
      </c>
      <c r="O158" s="49">
        <f>36001.75+0.05</f>
        <v>36001.800000000003</v>
      </c>
      <c r="P158" s="49">
        <v>37194.65</v>
      </c>
      <c r="Q158" s="49">
        <f t="shared" si="10"/>
        <v>38682.436000000002</v>
      </c>
      <c r="R158" s="49">
        <f>Q158*1.04+0.02</f>
        <v>40229.75344</v>
      </c>
    </row>
    <row r="159" spans="1:18" s="2" customFormat="1" ht="69" hidden="1" x14ac:dyDescent="0.25">
      <c r="A159" s="1">
        <f t="shared" si="7"/>
        <v>33</v>
      </c>
      <c r="B159" s="33" t="s">
        <v>169</v>
      </c>
      <c r="C159" s="1" t="s">
        <v>154</v>
      </c>
      <c r="D159" s="49">
        <f>3190+2447</f>
        <v>5637</v>
      </c>
      <c r="E159" s="49">
        <f>3249+2122</f>
        <v>5371</v>
      </c>
      <c r="F159" s="49">
        <f>3249+2122</f>
        <v>5371</v>
      </c>
      <c r="G159" s="49">
        <f>3249+2122</f>
        <v>5371</v>
      </c>
      <c r="H159" s="49">
        <f>3249+2122</f>
        <v>5371</v>
      </c>
      <c r="I159" s="49">
        <f t="shared" si="9"/>
        <v>37724.552066702148</v>
      </c>
      <c r="J159" s="49">
        <v>31701.99</v>
      </c>
      <c r="K159" s="49">
        <f t="shared" si="8"/>
        <v>40858.257307763924</v>
      </c>
      <c r="L159" s="49">
        <f t="shared" si="8"/>
        <v>42492.580152671755</v>
      </c>
      <c r="M159" s="49">
        <f t="shared" si="8"/>
        <v>44192.28335877863</v>
      </c>
      <c r="N159" s="49">
        <v>212653.3</v>
      </c>
      <c r="O159" s="49">
        <f>67270.2+143790</f>
        <v>211060.2</v>
      </c>
      <c r="P159" s="49">
        <f>69908+149541.7</f>
        <v>219449.7</v>
      </c>
      <c r="Q159" s="49">
        <f>P159*1.04-0.04</f>
        <v>228227.64800000002</v>
      </c>
      <c r="R159" s="49">
        <f t="shared" si="10"/>
        <v>237356.75392000002</v>
      </c>
    </row>
    <row r="160" spans="1:18" s="2" customFormat="1" ht="69" hidden="1" x14ac:dyDescent="0.25">
      <c r="A160" s="1">
        <f t="shared" si="7"/>
        <v>34</v>
      </c>
      <c r="B160" s="33" t="s">
        <v>170</v>
      </c>
      <c r="C160" s="1" t="s">
        <v>154</v>
      </c>
      <c r="D160" s="49">
        <v>1685</v>
      </c>
      <c r="E160" s="49">
        <f>1693+353</f>
        <v>2046</v>
      </c>
      <c r="F160" s="49">
        <f>353+1693</f>
        <v>2046</v>
      </c>
      <c r="G160" s="49">
        <f>353+1693</f>
        <v>2046</v>
      </c>
      <c r="H160" s="49">
        <f>353+1693</f>
        <v>2046</v>
      </c>
      <c r="I160" s="49">
        <f t="shared" si="9"/>
        <v>39482.908011869433</v>
      </c>
      <c r="J160" s="49">
        <v>39790.58</v>
      </c>
      <c r="K160" s="49">
        <f t="shared" si="8"/>
        <v>36845.30791788856</v>
      </c>
      <c r="L160" s="49">
        <f t="shared" si="8"/>
        <v>38319.12023460411</v>
      </c>
      <c r="M160" s="49">
        <f t="shared" si="8"/>
        <v>39851.885043988266</v>
      </c>
      <c r="N160" s="49">
        <v>66528.7</v>
      </c>
      <c r="O160" s="49">
        <f>10108.2+68533.4</f>
        <v>78641.599999999991</v>
      </c>
      <c r="P160" s="49">
        <f>9200+66185.5</f>
        <v>75385.5</v>
      </c>
      <c r="Q160" s="49">
        <f t="shared" si="10"/>
        <v>78400.92</v>
      </c>
      <c r="R160" s="49">
        <f t="shared" si="10"/>
        <v>81536.9568</v>
      </c>
    </row>
    <row r="161" spans="1:18" s="2" customFormat="1" ht="55.15" hidden="1" x14ac:dyDescent="0.25">
      <c r="A161" s="1">
        <f t="shared" si="7"/>
        <v>35</v>
      </c>
      <c r="B161" s="33" t="s">
        <v>171</v>
      </c>
      <c r="C161" s="1" t="s">
        <v>154</v>
      </c>
      <c r="D161" s="49">
        <v>6211</v>
      </c>
      <c r="E161" s="49">
        <v>6634</v>
      </c>
      <c r="F161" s="49">
        <v>6458</v>
      </c>
      <c r="G161" s="49">
        <v>6458</v>
      </c>
      <c r="H161" s="49">
        <v>6458</v>
      </c>
      <c r="I161" s="49">
        <f t="shared" si="9"/>
        <v>13853.485751086781</v>
      </c>
      <c r="J161" s="49">
        <v>13043.16</v>
      </c>
      <c r="K161" s="49">
        <f t="shared" si="8"/>
        <v>13469.200991018892</v>
      </c>
      <c r="L161" s="49">
        <f t="shared" si="8"/>
        <v>14007.969030659648</v>
      </c>
      <c r="M161" s="49">
        <f t="shared" si="8"/>
        <v>14568.287791886034</v>
      </c>
      <c r="N161" s="49">
        <v>86044</v>
      </c>
      <c r="O161" s="49">
        <v>87465.4</v>
      </c>
      <c r="P161" s="49">
        <v>86984.1</v>
      </c>
      <c r="Q161" s="49">
        <f>P161*1.04</f>
        <v>90463.464000000007</v>
      </c>
      <c r="R161" s="49">
        <f>Q161*1.04</f>
        <v>94082.002560000008</v>
      </c>
    </row>
    <row r="162" spans="1:18" s="2" customFormat="1" ht="96.6" hidden="1" x14ac:dyDescent="0.25">
      <c r="A162" s="1">
        <f t="shared" si="7"/>
        <v>36</v>
      </c>
      <c r="B162" s="33" t="s">
        <v>172</v>
      </c>
      <c r="C162" s="1" t="s">
        <v>154</v>
      </c>
      <c r="D162" s="49">
        <v>0</v>
      </c>
      <c r="E162" s="49">
        <v>235</v>
      </c>
      <c r="F162" s="49">
        <v>270</v>
      </c>
      <c r="G162" s="49">
        <v>270</v>
      </c>
      <c r="H162" s="49">
        <v>270</v>
      </c>
      <c r="I162" s="49" t="e">
        <f>N162/D162*1000</f>
        <v>#DIV/0!</v>
      </c>
      <c r="J162" s="49">
        <v>45870.3</v>
      </c>
      <c r="K162" s="49">
        <f t="shared" si="8"/>
        <v>78617.777777777781</v>
      </c>
      <c r="L162" s="49">
        <f t="shared" si="8"/>
        <v>81762.488888888882</v>
      </c>
      <c r="M162" s="49">
        <f t="shared" si="8"/>
        <v>85032.988444444447</v>
      </c>
      <c r="N162" s="49">
        <v>0</v>
      </c>
      <c r="O162" s="49">
        <v>10779.5</v>
      </c>
      <c r="P162" s="49">
        <v>21226.799999999999</v>
      </c>
      <c r="Q162" s="49">
        <f>P162*1.04</f>
        <v>22075.871999999999</v>
      </c>
      <c r="R162" s="49">
        <f>Q162*1.04</f>
        <v>22958.906879999999</v>
      </c>
    </row>
    <row r="163" spans="1:18" s="2" customFormat="1" ht="27.6" hidden="1" x14ac:dyDescent="0.25">
      <c r="A163" s="1">
        <f t="shared" si="7"/>
        <v>37</v>
      </c>
      <c r="B163" s="33" t="s">
        <v>173</v>
      </c>
      <c r="C163" s="1" t="s">
        <v>174</v>
      </c>
      <c r="D163" s="49">
        <v>30035</v>
      </c>
      <c r="E163" s="49">
        <v>29750</v>
      </c>
      <c r="F163" s="49">
        <v>29750</v>
      </c>
      <c r="G163" s="49">
        <v>29750</v>
      </c>
      <c r="H163" s="49">
        <v>29750</v>
      </c>
      <c r="I163" s="49">
        <f t="shared" si="9"/>
        <v>2005.6667221574828</v>
      </c>
      <c r="J163" s="49">
        <v>2024.88</v>
      </c>
      <c r="K163" s="49">
        <f t="shared" si="8"/>
        <v>2107.4352941176467</v>
      </c>
      <c r="L163" s="49">
        <f t="shared" si="8"/>
        <v>2107.4352941176467</v>
      </c>
      <c r="M163" s="49">
        <f t="shared" si="8"/>
        <v>2107.4352941176467</v>
      </c>
      <c r="N163" s="49">
        <v>60240.2</v>
      </c>
      <c r="O163" s="49">
        <v>60284.9</v>
      </c>
      <c r="P163" s="49">
        <v>62696.2</v>
      </c>
      <c r="Q163" s="49">
        <v>62696.2</v>
      </c>
      <c r="R163" s="49">
        <v>62696.2</v>
      </c>
    </row>
    <row r="164" spans="1:18" s="2" customFormat="1" ht="27.6" hidden="1" x14ac:dyDescent="0.25">
      <c r="A164" s="1">
        <f t="shared" si="7"/>
        <v>38</v>
      </c>
      <c r="B164" s="33" t="s">
        <v>175</v>
      </c>
      <c r="C164" s="1" t="s">
        <v>174</v>
      </c>
      <c r="D164" s="49">
        <v>171737</v>
      </c>
      <c r="E164" s="49">
        <v>170680</v>
      </c>
      <c r="F164" s="49">
        <v>170680</v>
      </c>
      <c r="G164" s="49">
        <v>170680</v>
      </c>
      <c r="H164" s="49">
        <v>170680</v>
      </c>
      <c r="I164" s="49">
        <f t="shared" si="9"/>
        <v>1930.1338674834196</v>
      </c>
      <c r="J164" s="49">
        <v>2378.6</v>
      </c>
      <c r="K164" s="49">
        <f t="shared" si="8"/>
        <v>2589.4914459807828</v>
      </c>
      <c r="L164" s="49">
        <f t="shared" si="8"/>
        <v>2693.0712209983599</v>
      </c>
      <c r="M164" s="49">
        <f t="shared" si="8"/>
        <v>2800.7938940707763</v>
      </c>
      <c r="N164" s="49">
        <f>356984.9-25509.5</f>
        <v>331475.40000000002</v>
      </c>
      <c r="O164" s="49">
        <v>433516.7</v>
      </c>
      <c r="P164" s="49">
        <v>441974.4</v>
      </c>
      <c r="Q164" s="49">
        <f>P164*1.04+0.02</f>
        <v>459653.39600000007</v>
      </c>
      <c r="R164" s="49">
        <f>Q164*1.04-0.03</f>
        <v>478039.50184000004</v>
      </c>
    </row>
    <row r="165" spans="1:18" s="2" customFormat="1" ht="27.6" hidden="1" x14ac:dyDescent="0.25">
      <c r="A165" s="1">
        <f t="shared" si="7"/>
        <v>39</v>
      </c>
      <c r="B165" s="33" t="s">
        <v>176</v>
      </c>
      <c r="C165" s="1" t="s">
        <v>177</v>
      </c>
      <c r="D165" s="49">
        <v>853</v>
      </c>
      <c r="E165" s="49">
        <v>850</v>
      </c>
      <c r="F165" s="49">
        <v>850</v>
      </c>
      <c r="G165" s="49">
        <v>850</v>
      </c>
      <c r="H165" s="49">
        <v>850</v>
      </c>
      <c r="I165" s="49">
        <f t="shared" si="9"/>
        <v>18107.268464243843</v>
      </c>
      <c r="J165" s="49">
        <v>18807.169999999998</v>
      </c>
      <c r="K165" s="49">
        <f t="shared" si="8"/>
        <v>19559.529411764703</v>
      </c>
      <c r="L165" s="49">
        <f t="shared" si="8"/>
        <v>20341.910588235292</v>
      </c>
      <c r="M165" s="49">
        <f t="shared" si="8"/>
        <v>21155.587011764706</v>
      </c>
      <c r="N165" s="49">
        <v>15445.5</v>
      </c>
      <c r="O165" s="49">
        <v>15986.1</v>
      </c>
      <c r="P165" s="49">
        <v>16625.599999999999</v>
      </c>
      <c r="Q165" s="49">
        <f>P165*1.04</f>
        <v>17290.624</v>
      </c>
      <c r="R165" s="49">
        <f>Q165*1.04</f>
        <v>17982.248960000001</v>
      </c>
    </row>
    <row r="166" spans="1:18" s="2" customFormat="1" ht="41.45" hidden="1" x14ac:dyDescent="0.25">
      <c r="A166" s="1">
        <f t="shared" si="7"/>
        <v>40</v>
      </c>
      <c r="B166" s="33" t="s">
        <v>178</v>
      </c>
      <c r="C166" s="1" t="s">
        <v>179</v>
      </c>
      <c r="D166" s="49">
        <v>8</v>
      </c>
      <c r="E166" s="49">
        <v>11</v>
      </c>
      <c r="F166" s="49">
        <v>11</v>
      </c>
      <c r="G166" s="49">
        <v>11</v>
      </c>
      <c r="H166" s="49">
        <v>11</v>
      </c>
      <c r="I166" s="49">
        <f t="shared" si="9"/>
        <v>573300</v>
      </c>
      <c r="J166" s="49">
        <v>599526.67000000004</v>
      </c>
      <c r="K166" s="49">
        <f t="shared" si="8"/>
        <v>607372.72727272729</v>
      </c>
      <c r="L166" s="49">
        <f t="shared" si="8"/>
        <v>607372.72727272729</v>
      </c>
      <c r="M166" s="49">
        <f t="shared" si="8"/>
        <v>607372.72727272729</v>
      </c>
      <c r="N166" s="49">
        <v>4586.3999999999996</v>
      </c>
      <c r="O166" s="49">
        <f>4586.4+2094.7</f>
        <v>6681.0999999999995</v>
      </c>
      <c r="P166" s="49">
        <v>6681.1</v>
      </c>
      <c r="Q166" s="49">
        <v>6681.1</v>
      </c>
      <c r="R166" s="49">
        <v>6681.1</v>
      </c>
    </row>
    <row r="167" spans="1:18" s="2" customFormat="1" ht="69" hidden="1" x14ac:dyDescent="0.25">
      <c r="A167" s="1">
        <f t="shared" si="7"/>
        <v>41</v>
      </c>
      <c r="B167" s="33" t="s">
        <v>180</v>
      </c>
      <c r="C167" s="1" t="s">
        <v>181</v>
      </c>
      <c r="D167" s="49">
        <v>1499</v>
      </c>
      <c r="E167" s="49">
        <v>1500</v>
      </c>
      <c r="F167" s="49">
        <v>1452</v>
      </c>
      <c r="G167" s="49">
        <v>1452</v>
      </c>
      <c r="H167" s="49">
        <v>1452</v>
      </c>
      <c r="I167" s="49">
        <f t="shared" si="9"/>
        <v>102851.03402268181</v>
      </c>
      <c r="J167" s="49">
        <v>114243.48</v>
      </c>
      <c r="K167" s="49">
        <f t="shared" si="8"/>
        <v>114708.26446280991</v>
      </c>
      <c r="L167" s="49">
        <f t="shared" si="8"/>
        <v>119296.5564738292</v>
      </c>
      <c r="M167" s="49">
        <f t="shared" si="8"/>
        <v>124068.38842975206</v>
      </c>
      <c r="N167" s="49">
        <v>154173.70000000001</v>
      </c>
      <c r="O167" s="49">
        <v>160666.98000000001</v>
      </c>
      <c r="P167" s="49">
        <v>166556.4</v>
      </c>
      <c r="Q167" s="49">
        <v>173218.6</v>
      </c>
      <c r="R167" s="49">
        <v>180147.3</v>
      </c>
    </row>
    <row r="168" spans="1:18" s="2" customFormat="1" ht="41.45" hidden="1" x14ac:dyDescent="0.25">
      <c r="A168" s="1">
        <f t="shared" si="7"/>
        <v>42</v>
      </c>
      <c r="B168" s="33" t="s">
        <v>182</v>
      </c>
      <c r="C168" s="1" t="s">
        <v>181</v>
      </c>
      <c r="D168" s="49">
        <v>3336</v>
      </c>
      <c r="E168" s="49">
        <v>2790</v>
      </c>
      <c r="F168" s="49">
        <v>2473</v>
      </c>
      <c r="G168" s="49">
        <v>2473</v>
      </c>
      <c r="H168" s="49">
        <v>2473</v>
      </c>
      <c r="I168" s="49">
        <f t="shared" si="9"/>
        <v>9374.6103117505991</v>
      </c>
      <c r="J168" s="49">
        <v>8636.02</v>
      </c>
      <c r="K168" s="49">
        <f t="shared" si="8"/>
        <v>11954.872624342905</v>
      </c>
      <c r="L168" s="49">
        <f t="shared" si="8"/>
        <v>12433.036797412051</v>
      </c>
      <c r="M168" s="49">
        <f t="shared" si="8"/>
        <v>12930.367974120501</v>
      </c>
      <c r="N168" s="49">
        <v>31273.7</v>
      </c>
      <c r="O168" s="49">
        <v>28819.200000000001</v>
      </c>
      <c r="P168" s="49">
        <v>29564.400000000001</v>
      </c>
      <c r="Q168" s="49">
        <v>30746.9</v>
      </c>
      <c r="R168" s="49">
        <v>31976.799999999999</v>
      </c>
    </row>
    <row r="169" spans="1:18" s="2" customFormat="1" ht="13.9" hidden="1" x14ac:dyDescent="0.25">
      <c r="A169" s="1">
        <f t="shared" si="7"/>
        <v>43</v>
      </c>
      <c r="B169" s="33" t="s">
        <v>183</v>
      </c>
      <c r="C169" s="1" t="s">
        <v>132</v>
      </c>
      <c r="D169" s="49"/>
      <c r="E169" s="49"/>
      <c r="F169" s="49">
        <v>25550</v>
      </c>
      <c r="G169" s="49">
        <v>25550</v>
      </c>
      <c r="H169" s="49">
        <v>25550</v>
      </c>
      <c r="I169" s="49"/>
      <c r="J169" s="49"/>
      <c r="K169" s="49">
        <f t="shared" si="8"/>
        <v>110.0587084148728</v>
      </c>
      <c r="L169" s="49">
        <f t="shared" si="8"/>
        <v>114.46105675146771</v>
      </c>
      <c r="M169" s="49">
        <f t="shared" si="8"/>
        <v>119.0402818003914</v>
      </c>
      <c r="N169" s="49"/>
      <c r="O169" s="49"/>
      <c r="P169" s="49">
        <v>2812</v>
      </c>
      <c r="Q169" s="49">
        <f>P169*1.04</f>
        <v>2924.48</v>
      </c>
      <c r="R169" s="49">
        <f>Q169*1.04+0.02</f>
        <v>3041.4792000000002</v>
      </c>
    </row>
    <row r="170" spans="1:18" s="2" customFormat="1" ht="13.9" hidden="1" x14ac:dyDescent="0.25">
      <c r="A170" s="1">
        <f t="shared" si="7"/>
        <v>44</v>
      </c>
      <c r="B170" s="33" t="s">
        <v>184</v>
      </c>
      <c r="C170" s="1" t="s">
        <v>132</v>
      </c>
      <c r="D170" s="49"/>
      <c r="E170" s="49"/>
      <c r="F170" s="49">
        <v>179000</v>
      </c>
      <c r="G170" s="49">
        <v>179000</v>
      </c>
      <c r="H170" s="49">
        <v>179000</v>
      </c>
      <c r="I170" s="49"/>
      <c r="J170" s="49"/>
      <c r="K170" s="49">
        <f t="shared" si="8"/>
        <v>158.60000000000002</v>
      </c>
      <c r="L170" s="49">
        <f t="shared" si="8"/>
        <v>164.94411173184358</v>
      </c>
      <c r="M170" s="49">
        <f t="shared" si="8"/>
        <v>171.54187620111733</v>
      </c>
      <c r="N170" s="49"/>
      <c r="O170" s="49"/>
      <c r="P170" s="49">
        <v>28389.4</v>
      </c>
      <c r="Q170" s="49">
        <f>P170*1.04+0.02</f>
        <v>29524.996000000003</v>
      </c>
      <c r="R170" s="49">
        <f>Q170*1.04</f>
        <v>30705.995840000003</v>
      </c>
    </row>
    <row r="171" spans="1:18" s="2" customFormat="1" ht="13.9" hidden="1" x14ac:dyDescent="0.25">
      <c r="A171" s="1">
        <f t="shared" si="7"/>
        <v>45</v>
      </c>
      <c r="B171" s="33" t="s">
        <v>184</v>
      </c>
      <c r="C171" s="1" t="s">
        <v>132</v>
      </c>
      <c r="D171" s="49"/>
      <c r="E171" s="49"/>
      <c r="F171" s="49">
        <v>23500</v>
      </c>
      <c r="G171" s="49">
        <v>23500</v>
      </c>
      <c r="H171" s="49">
        <v>23500</v>
      </c>
      <c r="I171" s="49"/>
      <c r="J171" s="49"/>
      <c r="K171" s="49">
        <f t="shared" si="8"/>
        <v>737.28085106382969</v>
      </c>
      <c r="L171" s="49">
        <f t="shared" si="8"/>
        <v>766.77463829787246</v>
      </c>
      <c r="M171" s="49">
        <f t="shared" si="8"/>
        <v>797.44690042553191</v>
      </c>
      <c r="N171" s="49"/>
      <c r="O171" s="49"/>
      <c r="P171" s="49">
        <v>17326.099999999999</v>
      </c>
      <c r="Q171" s="49">
        <f>P171*1.04+0.06</f>
        <v>18019.204000000002</v>
      </c>
      <c r="R171" s="49">
        <f>Q171*1.04+0.03</f>
        <v>18740.00216</v>
      </c>
    </row>
    <row r="172" spans="1:18" s="2" customFormat="1" ht="13.9" hidden="1" x14ac:dyDescent="0.25">
      <c r="A172" s="9"/>
      <c r="B172" s="10" t="s">
        <v>0</v>
      </c>
      <c r="C172" s="3"/>
      <c r="D172" s="11" t="s">
        <v>8</v>
      </c>
      <c r="E172" s="11" t="s">
        <v>8</v>
      </c>
      <c r="F172" s="11" t="s">
        <v>8</v>
      </c>
      <c r="G172" s="11" t="s">
        <v>8</v>
      </c>
      <c r="H172" s="11" t="s">
        <v>8</v>
      </c>
      <c r="I172" s="11" t="s">
        <v>8</v>
      </c>
      <c r="J172" s="11" t="s">
        <v>8</v>
      </c>
      <c r="K172" s="11" t="s">
        <v>8</v>
      </c>
      <c r="L172" s="11" t="s">
        <v>8</v>
      </c>
      <c r="M172" s="11" t="s">
        <v>8</v>
      </c>
      <c r="N172" s="50">
        <f>SUM(N126:N171)</f>
        <v>2314117.7450000001</v>
      </c>
      <c r="O172" s="50">
        <f>SUM(O126:O171)</f>
        <v>2533172.5800000005</v>
      </c>
      <c r="P172" s="50">
        <f>SUM(P126:P171)</f>
        <v>2634249.4499999997</v>
      </c>
      <c r="Q172" s="50">
        <f>SUM(Q126:Q171)</f>
        <v>2736844.2039999994</v>
      </c>
      <c r="R172" s="50">
        <f>SUM(R126:R171)</f>
        <v>2843542.8001599996</v>
      </c>
    </row>
    <row r="173" spans="1:18" s="2" customFormat="1" ht="13.9" hidden="1" x14ac:dyDescent="0.25">
      <c r="A173" s="163" t="s">
        <v>203</v>
      </c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</row>
    <row r="174" spans="1:18" s="2" customFormat="1" ht="69" hidden="1" x14ac:dyDescent="0.25">
      <c r="A174" s="1">
        <v>1</v>
      </c>
      <c r="B174" s="33" t="s">
        <v>204</v>
      </c>
      <c r="C174" s="1" t="s">
        <v>205</v>
      </c>
      <c r="D174" s="49">
        <v>5</v>
      </c>
      <c r="E174" s="49">
        <v>4</v>
      </c>
      <c r="F174" s="49">
        <v>4</v>
      </c>
      <c r="G174" s="49">
        <v>4</v>
      </c>
      <c r="H174" s="49">
        <v>4</v>
      </c>
      <c r="I174" s="49">
        <f>N174/D174</f>
        <v>1979.2860000000001</v>
      </c>
      <c r="J174" s="49">
        <f t="shared" ref="J174:M177" si="11">O174/E174</f>
        <v>2497.5</v>
      </c>
      <c r="K174" s="49">
        <f t="shared" si="11"/>
        <v>2680.1325000000002</v>
      </c>
      <c r="L174" s="49">
        <f t="shared" si="11"/>
        <v>2750.3825000000002</v>
      </c>
      <c r="M174" s="49">
        <f t="shared" si="11"/>
        <v>2812.6125000000002</v>
      </c>
      <c r="N174" s="49">
        <v>9896.43</v>
      </c>
      <c r="O174" s="49">
        <v>9990</v>
      </c>
      <c r="P174" s="49">
        <v>10720.53</v>
      </c>
      <c r="Q174" s="49">
        <v>11001.53</v>
      </c>
      <c r="R174" s="49">
        <v>11250.45</v>
      </c>
    </row>
    <row r="175" spans="1:18" s="2" customFormat="1" ht="69" hidden="1" x14ac:dyDescent="0.25">
      <c r="A175" s="1">
        <v>2</v>
      </c>
      <c r="B175" s="33" t="s">
        <v>206</v>
      </c>
      <c r="C175" s="1" t="s">
        <v>205</v>
      </c>
      <c r="D175" s="49">
        <v>3</v>
      </c>
      <c r="E175" s="49">
        <v>3</v>
      </c>
      <c r="F175" s="49">
        <v>3</v>
      </c>
      <c r="G175" s="49">
        <v>3</v>
      </c>
      <c r="H175" s="49">
        <v>3</v>
      </c>
      <c r="I175" s="49">
        <f>N175/D175</f>
        <v>1965.6333333333332</v>
      </c>
      <c r="J175" s="49">
        <f t="shared" si="11"/>
        <v>2822.6666666666665</v>
      </c>
      <c r="K175" s="49">
        <f t="shared" si="11"/>
        <v>2891.6666666666665</v>
      </c>
      <c r="L175" s="49">
        <f t="shared" si="11"/>
        <v>2965</v>
      </c>
      <c r="M175" s="49">
        <f t="shared" si="11"/>
        <v>3065.6666666666665</v>
      </c>
      <c r="N175" s="49">
        <v>5896.9</v>
      </c>
      <c r="O175" s="49">
        <v>8468</v>
      </c>
      <c r="P175" s="49">
        <v>8675</v>
      </c>
      <c r="Q175" s="49">
        <v>8895</v>
      </c>
      <c r="R175" s="49">
        <v>9197</v>
      </c>
    </row>
    <row r="176" spans="1:18" s="2" customFormat="1" ht="13.9" hidden="1" x14ac:dyDescent="0.25">
      <c r="A176" s="1">
        <v>3</v>
      </c>
      <c r="B176" s="33" t="s">
        <v>270</v>
      </c>
      <c r="C176" s="1" t="s">
        <v>205</v>
      </c>
      <c r="D176" s="49">
        <v>6</v>
      </c>
      <c r="E176" s="49">
        <v>4</v>
      </c>
      <c r="F176" s="49">
        <v>4</v>
      </c>
      <c r="G176" s="49">
        <v>4</v>
      </c>
      <c r="H176" s="49">
        <v>4</v>
      </c>
      <c r="I176" s="49">
        <f>N176/D176</f>
        <v>492.90000000000003</v>
      </c>
      <c r="J176" s="49">
        <f t="shared" si="11"/>
        <v>703.5</v>
      </c>
      <c r="K176" s="49">
        <f t="shared" si="11"/>
        <v>762.5675</v>
      </c>
      <c r="L176" s="49">
        <f t="shared" si="11"/>
        <v>820.0675</v>
      </c>
      <c r="M176" s="49">
        <f t="shared" si="11"/>
        <v>887.5675</v>
      </c>
      <c r="N176" s="49">
        <f>1058.65+1898.75</f>
        <v>2957.4</v>
      </c>
      <c r="O176" s="49">
        <v>2814</v>
      </c>
      <c r="P176" s="49">
        <v>3050.27</v>
      </c>
      <c r="Q176" s="49">
        <v>3280.27</v>
      </c>
      <c r="R176" s="49">
        <v>3550.27</v>
      </c>
    </row>
    <row r="177" spans="1:18" s="2" customFormat="1" ht="110.45" hidden="1" x14ac:dyDescent="0.25">
      <c r="A177" s="1">
        <v>4</v>
      </c>
      <c r="B177" s="33" t="s">
        <v>207</v>
      </c>
      <c r="C177" s="1" t="s">
        <v>205</v>
      </c>
      <c r="D177" s="49">
        <v>2</v>
      </c>
      <c r="E177" s="49">
        <v>2</v>
      </c>
      <c r="F177" s="49">
        <v>2</v>
      </c>
      <c r="G177" s="49">
        <v>2</v>
      </c>
      <c r="H177" s="49">
        <v>2</v>
      </c>
      <c r="I177" s="49">
        <f>N177/D177</f>
        <v>1897.62</v>
      </c>
      <c r="J177" s="49">
        <f t="shared" si="11"/>
        <v>1899</v>
      </c>
      <c r="K177" s="49">
        <f t="shared" si="11"/>
        <v>2113.7849999999999</v>
      </c>
      <c r="L177" s="49">
        <f t="shared" si="11"/>
        <v>2193.7849999999999</v>
      </c>
      <c r="M177" s="49">
        <f t="shared" si="11"/>
        <v>2313.7849999999999</v>
      </c>
      <c r="N177" s="49">
        <v>3795.24</v>
      </c>
      <c r="O177" s="49">
        <v>3798</v>
      </c>
      <c r="P177" s="49">
        <v>4227.57</v>
      </c>
      <c r="Q177" s="49">
        <v>4387.57</v>
      </c>
      <c r="R177" s="49">
        <v>4627.57</v>
      </c>
    </row>
    <row r="178" spans="1:18" s="2" customFormat="1" ht="96.6" hidden="1" x14ac:dyDescent="0.25">
      <c r="A178" s="1">
        <v>5</v>
      </c>
      <c r="B178" s="33" t="s">
        <v>271</v>
      </c>
      <c r="C178" s="1" t="s">
        <v>205</v>
      </c>
      <c r="D178" s="49">
        <v>2</v>
      </c>
      <c r="E178" s="49">
        <v>1</v>
      </c>
      <c r="F178" s="49">
        <v>1</v>
      </c>
      <c r="G178" s="49">
        <v>1</v>
      </c>
      <c r="H178" s="49">
        <v>1</v>
      </c>
      <c r="I178" s="49">
        <f>N178/D178</f>
        <v>3043.625</v>
      </c>
      <c r="J178" s="49">
        <f>O178/E178</f>
        <v>2835.23</v>
      </c>
      <c r="K178" s="49">
        <f>P178/F178</f>
        <v>1985.62</v>
      </c>
      <c r="L178" s="49">
        <f>Q178/G178</f>
        <v>2085.62</v>
      </c>
      <c r="M178" s="49">
        <f>R178/H178</f>
        <v>2208.6999999999998</v>
      </c>
      <c r="N178" s="49">
        <f>4795.44+1291.81</f>
        <v>6087.25</v>
      </c>
      <c r="O178" s="49">
        <v>2835.23</v>
      </c>
      <c r="P178" s="49">
        <v>1985.62</v>
      </c>
      <c r="Q178" s="49">
        <v>2085.62</v>
      </c>
      <c r="R178" s="49">
        <v>2208.6999999999998</v>
      </c>
    </row>
    <row r="179" spans="1:18" s="2" customFormat="1" ht="13.9" hidden="1" x14ac:dyDescent="0.25">
      <c r="A179" s="9"/>
      <c r="B179" s="10" t="s">
        <v>0</v>
      </c>
      <c r="C179" s="26" t="s">
        <v>8</v>
      </c>
      <c r="D179" s="11" t="s">
        <v>8</v>
      </c>
      <c r="E179" s="11" t="s">
        <v>8</v>
      </c>
      <c r="F179" s="11" t="s">
        <v>8</v>
      </c>
      <c r="G179" s="11" t="s">
        <v>8</v>
      </c>
      <c r="H179" s="11" t="s">
        <v>8</v>
      </c>
      <c r="I179" s="11" t="s">
        <v>8</v>
      </c>
      <c r="J179" s="11" t="s">
        <v>8</v>
      </c>
      <c r="K179" s="11" t="s">
        <v>8</v>
      </c>
      <c r="L179" s="11" t="s">
        <v>8</v>
      </c>
      <c r="M179" s="11" t="s">
        <v>8</v>
      </c>
      <c r="N179" s="50">
        <f>SUM(N174:N178)</f>
        <v>28633.22</v>
      </c>
      <c r="O179" s="50">
        <f>O178+O177+O176+O175+O174</f>
        <v>27905.23</v>
      </c>
      <c r="P179" s="50">
        <f>P174+P175+P176+P177+P178</f>
        <v>28658.989999999998</v>
      </c>
      <c r="Q179" s="50">
        <f>Q174+Q175+Q176+Q177+Q178</f>
        <v>29649.989999999998</v>
      </c>
      <c r="R179" s="50">
        <f>R174+R175+R176+R177+R178</f>
        <v>30833.99</v>
      </c>
    </row>
    <row r="180" spans="1:18" s="2" customFormat="1" ht="13.9" hidden="1" x14ac:dyDescent="0.25">
      <c r="A180" s="163" t="s">
        <v>267</v>
      </c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</row>
    <row r="181" spans="1:18" s="2" customFormat="1" ht="55.15" hidden="1" x14ac:dyDescent="0.25">
      <c r="A181" s="1">
        <v>1</v>
      </c>
      <c r="B181" s="33" t="s">
        <v>254</v>
      </c>
      <c r="C181" s="1" t="s">
        <v>16</v>
      </c>
      <c r="D181" s="49">
        <v>252149</v>
      </c>
      <c r="E181" s="49">
        <v>255030</v>
      </c>
      <c r="F181" s="49">
        <v>257053</v>
      </c>
      <c r="G181" s="49">
        <v>257053</v>
      </c>
      <c r="H181" s="49">
        <v>257053</v>
      </c>
      <c r="I181" s="49">
        <v>123.409999</v>
      </c>
      <c r="J181" s="49">
        <v>128.34639799999999</v>
      </c>
      <c r="K181" s="49">
        <f>J181*1.04</f>
        <v>133.48025392</v>
      </c>
      <c r="L181" s="49">
        <f>K181*1.04</f>
        <v>138.81946407679999</v>
      </c>
      <c r="M181" s="49">
        <f>L181*1.04</f>
        <v>144.37224263987198</v>
      </c>
      <c r="N181" s="49">
        <f>D181*I181/1000</f>
        <v>31117.707837850998</v>
      </c>
      <c r="O181" s="49">
        <f>E181*J181/1000</f>
        <v>32732.18188194</v>
      </c>
      <c r="P181" s="49">
        <f t="shared" ref="P181:R191" si="12">F181*K181/1000</f>
        <v>34311.499710897755</v>
      </c>
      <c r="Q181" s="49">
        <f t="shared" si="12"/>
        <v>35683.959699333667</v>
      </c>
      <c r="R181" s="49">
        <f t="shared" si="12"/>
        <v>37111.318087307016</v>
      </c>
    </row>
    <row r="182" spans="1:18" s="2" customFormat="1" ht="55.15" hidden="1" x14ac:dyDescent="0.25">
      <c r="A182" s="1">
        <v>2</v>
      </c>
      <c r="B182" s="33" t="s">
        <v>255</v>
      </c>
      <c r="C182" s="1" t="s">
        <v>16</v>
      </c>
      <c r="D182" s="49">
        <v>357469</v>
      </c>
      <c r="E182" s="49">
        <v>380363</v>
      </c>
      <c r="F182" s="49">
        <v>371244</v>
      </c>
      <c r="G182" s="49">
        <v>371244</v>
      </c>
      <c r="H182" s="49">
        <v>371244</v>
      </c>
      <c r="I182" s="49">
        <v>184.33253999999999</v>
      </c>
      <c r="J182" s="49">
        <f>I182*1.0377146</f>
        <v>191.28456801308397</v>
      </c>
      <c r="K182" s="49">
        <v>201.52698799999999</v>
      </c>
      <c r="L182" s="49">
        <f t="shared" ref="L182:M192" si="13">K182*1.04</f>
        <v>209.58806751999998</v>
      </c>
      <c r="M182" s="49">
        <f t="shared" si="13"/>
        <v>217.97159022079998</v>
      </c>
      <c r="N182" s="49">
        <f>D182*I182/1000</f>
        <v>65893.16874126</v>
      </c>
      <c r="O182" s="49">
        <f t="shared" ref="O182:O191" si="14">E182*J182/1000</f>
        <v>72757.572143160651</v>
      </c>
      <c r="P182" s="49">
        <f t="shared" si="12"/>
        <v>74815.685133071995</v>
      </c>
      <c r="Q182" s="49">
        <f t="shared" si="12"/>
        <v>77808.312538394865</v>
      </c>
      <c r="R182" s="49">
        <f t="shared" si="12"/>
        <v>80920.645039930678</v>
      </c>
    </row>
    <row r="183" spans="1:18" s="2" customFormat="1" ht="69" hidden="1" x14ac:dyDescent="0.25">
      <c r="A183" s="1">
        <v>3</v>
      </c>
      <c r="B183" s="33" t="s">
        <v>256</v>
      </c>
      <c r="C183" s="1" t="s">
        <v>16</v>
      </c>
      <c r="D183" s="49">
        <v>621382</v>
      </c>
      <c r="E183" s="49">
        <v>688613</v>
      </c>
      <c r="F183" s="49">
        <v>710082</v>
      </c>
      <c r="G183" s="49">
        <v>710082</v>
      </c>
      <c r="H183" s="49">
        <v>710082</v>
      </c>
      <c r="I183" s="49">
        <v>179.20500100000001</v>
      </c>
      <c r="J183" s="49">
        <f>179.835245</f>
        <v>179.83524499999999</v>
      </c>
      <c r="K183" s="49">
        <v>194.641749</v>
      </c>
      <c r="L183" s="49">
        <f t="shared" si="13"/>
        <v>202.42741896000001</v>
      </c>
      <c r="M183" s="49">
        <f t="shared" si="13"/>
        <v>210.52451571840001</v>
      </c>
      <c r="N183" s="49">
        <f>D183*I183/1000</f>
        <v>111354.761931382</v>
      </c>
      <c r="O183" s="49">
        <f t="shared" si="14"/>
        <v>123836.887565185</v>
      </c>
      <c r="P183" s="49">
        <f t="shared" si="12"/>
        <v>138211.602413418</v>
      </c>
      <c r="Q183" s="49">
        <f t="shared" si="12"/>
        <v>143740.06650995472</v>
      </c>
      <c r="R183" s="49">
        <f t="shared" si="12"/>
        <v>149489.66917035289</v>
      </c>
    </row>
    <row r="184" spans="1:18" s="2" customFormat="1" ht="82.9" hidden="1" x14ac:dyDescent="0.25">
      <c r="A184" s="1">
        <v>4</v>
      </c>
      <c r="B184" s="33" t="s">
        <v>257</v>
      </c>
      <c r="C184" s="1" t="s">
        <v>16</v>
      </c>
      <c r="D184" s="49">
        <v>872984</v>
      </c>
      <c r="E184" s="49">
        <v>1292238</v>
      </c>
      <c r="F184" s="49">
        <v>1269562</v>
      </c>
      <c r="G184" s="49">
        <v>1269562</v>
      </c>
      <c r="H184" s="49">
        <v>1269562</v>
      </c>
      <c r="I184" s="49">
        <v>29.013407000000001</v>
      </c>
      <c r="J184" s="49">
        <v>25.7846805</v>
      </c>
      <c r="K184" s="49">
        <v>25.052566160000001</v>
      </c>
      <c r="L184" s="49">
        <f t="shared" si="13"/>
        <v>26.054668806400002</v>
      </c>
      <c r="M184" s="49">
        <f t="shared" si="13"/>
        <v>27.096855558656003</v>
      </c>
      <c r="N184" s="49">
        <f t="shared" ref="N184:N190" si="15">D184*I184/1000</f>
        <v>25328.240096488</v>
      </c>
      <c r="O184" s="49">
        <f t="shared" si="14"/>
        <v>33319.943959958997</v>
      </c>
      <c r="P184" s="49">
        <f t="shared" si="12"/>
        <v>31805.78599922192</v>
      </c>
      <c r="Q184" s="49">
        <f t="shared" si="12"/>
        <v>33078.0174391908</v>
      </c>
      <c r="R184" s="49">
        <f t="shared" si="12"/>
        <v>34401.138136758433</v>
      </c>
    </row>
    <row r="185" spans="1:18" s="2" customFormat="1" ht="55.15" hidden="1" x14ac:dyDescent="0.25">
      <c r="A185" s="1">
        <v>5</v>
      </c>
      <c r="B185" s="33" t="s">
        <v>258</v>
      </c>
      <c r="C185" s="1" t="s">
        <v>16</v>
      </c>
      <c r="D185" s="49">
        <v>1675</v>
      </c>
      <c r="E185" s="49">
        <v>1645</v>
      </c>
      <c r="F185" s="49">
        <v>1674</v>
      </c>
      <c r="G185" s="49">
        <v>1674</v>
      </c>
      <c r="H185" s="49">
        <v>1674</v>
      </c>
      <c r="I185" s="49">
        <v>13187.362388</v>
      </c>
      <c r="J185" s="49">
        <v>13599.101000000001</v>
      </c>
      <c r="K185" s="49">
        <v>11886.1212664</v>
      </c>
      <c r="L185" s="49">
        <f t="shared" si="13"/>
        <v>12361.566117056</v>
      </c>
      <c r="M185" s="49">
        <f t="shared" si="13"/>
        <v>12856.02876173824</v>
      </c>
      <c r="N185" s="49">
        <f t="shared" si="15"/>
        <v>22088.831999899998</v>
      </c>
      <c r="O185" s="49">
        <f t="shared" si="14"/>
        <v>22370.521144999999</v>
      </c>
      <c r="P185" s="49">
        <f t="shared" si="12"/>
        <v>19897.3669999536</v>
      </c>
      <c r="Q185" s="49">
        <f t="shared" si="12"/>
        <v>20693.261679951742</v>
      </c>
      <c r="R185" s="49">
        <f t="shared" si="12"/>
        <v>21520.992147149813</v>
      </c>
    </row>
    <row r="186" spans="1:18" s="2" customFormat="1" ht="27.6" hidden="1" x14ac:dyDescent="0.25">
      <c r="A186" s="1">
        <v>6</v>
      </c>
      <c r="B186" s="33" t="s">
        <v>208</v>
      </c>
      <c r="C186" s="1" t="s">
        <v>209</v>
      </c>
      <c r="D186" s="49">
        <v>1022644</v>
      </c>
      <c r="E186" s="49">
        <v>957496.1</v>
      </c>
      <c r="F186" s="49">
        <v>802955</v>
      </c>
      <c r="G186" s="49">
        <v>802955</v>
      </c>
      <c r="H186" s="49">
        <v>802955</v>
      </c>
      <c r="I186" s="49">
        <v>25.11</v>
      </c>
      <c r="J186" s="49">
        <f>I186*1.04</f>
        <v>26.1144</v>
      </c>
      <c r="K186" s="49">
        <f>I186*1.0816</f>
        <v>27.158975999999996</v>
      </c>
      <c r="L186" s="49">
        <f t="shared" si="13"/>
        <v>28.245335039999997</v>
      </c>
      <c r="M186" s="49">
        <f t="shared" si="13"/>
        <v>29.375148441599997</v>
      </c>
      <c r="N186" s="49">
        <f t="shared" si="15"/>
        <v>25678.590840000001</v>
      </c>
      <c r="O186" s="49">
        <f t="shared" si="14"/>
        <v>25004.436153839997</v>
      </c>
      <c r="P186" s="49">
        <f t="shared" si="12"/>
        <v>21807.435574079998</v>
      </c>
      <c r="Q186" s="49">
        <f t="shared" si="12"/>
        <v>22679.732997043197</v>
      </c>
      <c r="R186" s="49">
        <f t="shared" si="12"/>
        <v>23586.922316924927</v>
      </c>
    </row>
    <row r="187" spans="1:18" s="2" customFormat="1" ht="55.15" hidden="1" x14ac:dyDescent="0.25">
      <c r="A187" s="1">
        <v>7</v>
      </c>
      <c r="B187" s="33" t="s">
        <v>259</v>
      </c>
      <c r="C187" s="1" t="s">
        <v>16</v>
      </c>
      <c r="D187" s="49">
        <v>31931</v>
      </c>
      <c r="E187" s="49">
        <v>22565</v>
      </c>
      <c r="F187" s="49">
        <v>20871</v>
      </c>
      <c r="G187" s="49">
        <v>20871</v>
      </c>
      <c r="H187" s="49">
        <v>20871</v>
      </c>
      <c r="I187" s="49">
        <v>1926.8907400000001</v>
      </c>
      <c r="J187" s="49">
        <v>2051.0700000000002</v>
      </c>
      <c r="K187" s="49">
        <v>2147.2687700000001</v>
      </c>
      <c r="L187" s="49">
        <f t="shared" si="13"/>
        <v>2233.1595208000003</v>
      </c>
      <c r="M187" s="49">
        <f t="shared" si="13"/>
        <v>2322.4859016320006</v>
      </c>
      <c r="N187" s="49">
        <f t="shared" si="15"/>
        <v>61527.548218940006</v>
      </c>
      <c r="O187" s="49">
        <f t="shared" si="14"/>
        <v>46282.394550000005</v>
      </c>
      <c r="P187" s="49">
        <f t="shared" si="12"/>
        <v>44815.646498670001</v>
      </c>
      <c r="Q187" s="49">
        <f t="shared" si="12"/>
        <v>46608.272358616807</v>
      </c>
      <c r="R187" s="49">
        <f t="shared" si="12"/>
        <v>48472.603252961489</v>
      </c>
    </row>
    <row r="188" spans="1:18" s="2" customFormat="1" ht="27.6" hidden="1" x14ac:dyDescent="0.25">
      <c r="A188" s="1">
        <v>8</v>
      </c>
      <c r="B188" s="33" t="s">
        <v>210</v>
      </c>
      <c r="C188" s="1" t="s">
        <v>16</v>
      </c>
      <c r="D188" s="49">
        <v>2026544</v>
      </c>
      <c r="E188" s="49">
        <v>2186167</v>
      </c>
      <c r="F188" s="49">
        <v>2325032</v>
      </c>
      <c r="G188" s="49">
        <v>2325032</v>
      </c>
      <c r="H188" s="49">
        <v>2325032</v>
      </c>
      <c r="I188" s="49">
        <v>22.1</v>
      </c>
      <c r="J188" s="49">
        <f>I188*1.04</f>
        <v>22.984000000000002</v>
      </c>
      <c r="K188" s="49">
        <f>I188*1.0816</f>
        <v>23.903359999999999</v>
      </c>
      <c r="L188" s="49">
        <f t="shared" si="13"/>
        <v>24.859494399999999</v>
      </c>
      <c r="M188" s="49">
        <f t="shared" si="13"/>
        <v>25.853874176000001</v>
      </c>
      <c r="N188" s="49">
        <f t="shared" si="15"/>
        <v>44786.622400000007</v>
      </c>
      <c r="O188" s="49">
        <f t="shared" si="14"/>
        <v>50246.862328000003</v>
      </c>
      <c r="P188" s="49">
        <f t="shared" si="12"/>
        <v>55576.076907519993</v>
      </c>
      <c r="Q188" s="49">
        <f t="shared" si="12"/>
        <v>57799.119983820798</v>
      </c>
      <c r="R188" s="49">
        <f t="shared" si="12"/>
        <v>60111.084783173639</v>
      </c>
    </row>
    <row r="189" spans="1:18" s="2" customFormat="1" ht="82.9" hidden="1" x14ac:dyDescent="0.25">
      <c r="A189" s="1">
        <v>9</v>
      </c>
      <c r="B189" s="33" t="s">
        <v>260</v>
      </c>
      <c r="C189" s="1" t="s">
        <v>16</v>
      </c>
      <c r="D189" s="49">
        <v>6863</v>
      </c>
      <c r="E189" s="49">
        <v>7687</v>
      </c>
      <c r="F189" s="49">
        <v>8631</v>
      </c>
      <c r="G189" s="49">
        <v>8631</v>
      </c>
      <c r="H189" s="49">
        <v>8631</v>
      </c>
      <c r="I189" s="49">
        <v>4680.6400000000003</v>
      </c>
      <c r="J189" s="49">
        <v>4944.9509559999997</v>
      </c>
      <c r="K189" s="49">
        <v>5161.6731540000001</v>
      </c>
      <c r="L189" s="49">
        <f>K189*1.04</f>
        <v>5368.1400801600003</v>
      </c>
      <c r="M189" s="49">
        <f>L189*1.04</f>
        <v>5582.8656833664008</v>
      </c>
      <c r="N189" s="49">
        <f t="shared" si="15"/>
        <v>32123.232320000003</v>
      </c>
      <c r="O189" s="49">
        <f t="shared" si="14"/>
        <v>38011.837998771996</v>
      </c>
      <c r="P189" s="49">
        <f t="shared" si="12"/>
        <v>44550.400992174</v>
      </c>
      <c r="Q189" s="49">
        <f t="shared" si="12"/>
        <v>46332.417031860961</v>
      </c>
      <c r="R189" s="49">
        <f t="shared" si="12"/>
        <v>48185.713713135403</v>
      </c>
    </row>
    <row r="190" spans="1:18" s="2" customFormat="1" ht="69" hidden="1" x14ac:dyDescent="0.25">
      <c r="A190" s="1">
        <v>10</v>
      </c>
      <c r="B190" s="33" t="s">
        <v>261</v>
      </c>
      <c r="C190" s="1" t="s">
        <v>16</v>
      </c>
      <c r="D190" s="49">
        <v>6822</v>
      </c>
      <c r="E190" s="49">
        <v>7517</v>
      </c>
      <c r="F190" s="49">
        <v>8555</v>
      </c>
      <c r="G190" s="49">
        <v>8555</v>
      </c>
      <c r="H190" s="49">
        <v>8555</v>
      </c>
      <c r="I190" s="49">
        <v>477.67399499999999</v>
      </c>
      <c r="J190" s="49">
        <v>445.32659999999998</v>
      </c>
      <c r="K190" s="49">
        <v>458.12811219999998</v>
      </c>
      <c r="L190" s="49">
        <f t="shared" si="13"/>
        <v>476.453236688</v>
      </c>
      <c r="M190" s="49">
        <f t="shared" si="13"/>
        <v>495.51136615552002</v>
      </c>
      <c r="N190" s="49">
        <f t="shared" si="15"/>
        <v>3258.69199389</v>
      </c>
      <c r="O190" s="49">
        <f>E190*J190/1000</f>
        <v>3347.5200522</v>
      </c>
      <c r="P190" s="49">
        <f t="shared" si="12"/>
        <v>3919.2859998709996</v>
      </c>
      <c r="Q190" s="49">
        <f t="shared" si="12"/>
        <v>4076.05743986584</v>
      </c>
      <c r="R190" s="49">
        <f t="shared" si="12"/>
        <v>4239.099737460474</v>
      </c>
    </row>
    <row r="191" spans="1:18" s="2" customFormat="1" ht="27.6" hidden="1" x14ac:dyDescent="0.25">
      <c r="A191" s="1">
        <v>11</v>
      </c>
      <c r="B191" s="33" t="s">
        <v>211</v>
      </c>
      <c r="C191" s="1"/>
      <c r="D191" s="49"/>
      <c r="E191" s="49">
        <v>1</v>
      </c>
      <c r="F191" s="49">
        <v>1</v>
      </c>
      <c r="G191" s="49">
        <v>1</v>
      </c>
      <c r="H191" s="49">
        <v>1</v>
      </c>
      <c r="I191" s="49"/>
      <c r="J191" s="49">
        <v>3097485</v>
      </c>
      <c r="K191" s="49">
        <v>1081499</v>
      </c>
      <c r="L191" s="49">
        <f>K191*1.04+1</f>
        <v>1124759.96</v>
      </c>
      <c r="M191" s="49">
        <f t="shared" si="13"/>
        <v>1169750.3584</v>
      </c>
      <c r="N191" s="49">
        <f>D191*I191/1000</f>
        <v>0</v>
      </c>
      <c r="O191" s="49">
        <f t="shared" si="14"/>
        <v>3097.4850000000001</v>
      </c>
      <c r="P191" s="49">
        <f t="shared" si="12"/>
        <v>1081.499</v>
      </c>
      <c r="Q191" s="49">
        <f t="shared" si="12"/>
        <v>1124.7599599999999</v>
      </c>
      <c r="R191" s="49">
        <f t="shared" si="12"/>
        <v>1169.7503584000001</v>
      </c>
    </row>
    <row r="192" spans="1:18" s="2" customFormat="1" ht="69" hidden="1" x14ac:dyDescent="0.25">
      <c r="A192" s="1">
        <v>12</v>
      </c>
      <c r="B192" s="33" t="s">
        <v>212</v>
      </c>
      <c r="C192" s="1" t="s">
        <v>16</v>
      </c>
      <c r="D192" s="49">
        <v>3000</v>
      </c>
      <c r="E192" s="49"/>
      <c r="F192" s="49"/>
      <c r="G192" s="49"/>
      <c r="H192" s="49"/>
      <c r="I192" s="49"/>
      <c r="J192" s="49"/>
      <c r="K192" s="49"/>
      <c r="L192" s="49">
        <f t="shared" si="13"/>
        <v>0</v>
      </c>
      <c r="M192" s="49">
        <f t="shared" si="13"/>
        <v>0</v>
      </c>
      <c r="N192" s="49">
        <v>6000.0249999999996</v>
      </c>
      <c r="O192" s="49">
        <v>6000</v>
      </c>
      <c r="P192" s="49">
        <v>4495.6679999999997</v>
      </c>
      <c r="Q192" s="49">
        <f>P192*1.04</f>
        <v>4675.4947199999997</v>
      </c>
      <c r="R192" s="49">
        <f>Q192*1.04</f>
        <v>4862.5145087999999</v>
      </c>
    </row>
    <row r="193" spans="1:18" s="2" customFormat="1" ht="41.45" hidden="1" x14ac:dyDescent="0.25">
      <c r="A193" s="1">
        <v>13</v>
      </c>
      <c r="B193" s="33" t="s">
        <v>213</v>
      </c>
      <c r="C193" s="1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>
        <v>3767.136</v>
      </c>
      <c r="O193" s="49">
        <v>4137.15553</v>
      </c>
      <c r="P193" s="49">
        <v>4335.0469999999996</v>
      </c>
      <c r="Q193" s="49">
        <v>4501.5280000000002</v>
      </c>
      <c r="R193" s="49">
        <v>4674.549</v>
      </c>
    </row>
    <row r="194" spans="1:18" s="2" customFormat="1" ht="13.9" hidden="1" x14ac:dyDescent="0.25">
      <c r="A194" s="1"/>
      <c r="B194" s="10" t="s">
        <v>0</v>
      </c>
      <c r="C194" s="1"/>
      <c r="D194" s="23" t="s">
        <v>8</v>
      </c>
      <c r="E194" s="23" t="s">
        <v>8</v>
      </c>
      <c r="F194" s="23" t="s">
        <v>8</v>
      </c>
      <c r="G194" s="23" t="s">
        <v>8</v>
      </c>
      <c r="H194" s="23" t="s">
        <v>8</v>
      </c>
      <c r="I194" s="15"/>
      <c r="J194" s="15"/>
      <c r="K194" s="15"/>
      <c r="L194" s="15"/>
      <c r="M194" s="15"/>
      <c r="N194" s="50">
        <f>SUM(N181:N193)</f>
        <v>432924.55737971107</v>
      </c>
      <c r="O194" s="50">
        <f>SUM(O181:O193)</f>
        <v>461144.79830805666</v>
      </c>
      <c r="P194" s="50">
        <f>SUM(P181:P193)</f>
        <v>479623.00022887823</v>
      </c>
      <c r="Q194" s="50">
        <f>SUM(Q181:Q193)</f>
        <v>498801.0003580334</v>
      </c>
      <c r="R194" s="50">
        <f>SUM(R181:R193)</f>
        <v>518746.00025235472</v>
      </c>
    </row>
    <row r="195" spans="1:18" s="2" customFormat="1" ht="13.9" hidden="1" x14ac:dyDescent="0.25">
      <c r="A195" s="163" t="s">
        <v>214</v>
      </c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</row>
    <row r="196" spans="1:18" s="2" customFormat="1" ht="96.6" hidden="1" x14ac:dyDescent="0.25">
      <c r="A196" s="1">
        <v>1</v>
      </c>
      <c r="B196" s="33" t="s">
        <v>215</v>
      </c>
      <c r="C196" s="12" t="s">
        <v>216</v>
      </c>
      <c r="D196" s="49">
        <v>53</v>
      </c>
      <c r="E196" s="49">
        <v>50</v>
      </c>
      <c r="F196" s="49">
        <v>50</v>
      </c>
      <c r="G196" s="49">
        <v>50</v>
      </c>
      <c r="H196" s="49">
        <v>50</v>
      </c>
      <c r="I196" s="49"/>
      <c r="J196" s="49">
        <f>41943.99</f>
        <v>41943.99</v>
      </c>
      <c r="K196" s="49">
        <v>43621.749600000003</v>
      </c>
      <c r="L196" s="49">
        <v>45366.619584</v>
      </c>
      <c r="M196" s="49">
        <v>47181.28436736</v>
      </c>
      <c r="N196" s="49"/>
      <c r="O196" s="49">
        <v>2097.1999999999998</v>
      </c>
      <c r="P196" s="49">
        <v>2181.1</v>
      </c>
      <c r="Q196" s="49">
        <v>2268.4</v>
      </c>
      <c r="R196" s="49">
        <v>2359.3000000000002</v>
      </c>
    </row>
    <row r="197" spans="1:18" s="2" customFormat="1" ht="82.9" hidden="1" x14ac:dyDescent="0.25">
      <c r="A197" s="1">
        <v>2</v>
      </c>
      <c r="B197" s="33" t="s">
        <v>217</v>
      </c>
      <c r="C197" s="12" t="s">
        <v>218</v>
      </c>
      <c r="D197" s="49">
        <v>3</v>
      </c>
      <c r="E197" s="49">
        <v>4</v>
      </c>
      <c r="F197" s="49">
        <v>4</v>
      </c>
      <c r="G197" s="49">
        <v>4</v>
      </c>
      <c r="H197" s="49">
        <v>4</v>
      </c>
      <c r="I197" s="49"/>
      <c r="J197" s="49">
        <v>346642.81</v>
      </c>
      <c r="K197" s="49">
        <v>360508.52240000002</v>
      </c>
      <c r="L197" s="49">
        <v>374928.863296</v>
      </c>
      <c r="M197" s="49">
        <v>389926.01782784</v>
      </c>
      <c r="N197" s="49"/>
      <c r="O197" s="49">
        <v>1386.6</v>
      </c>
      <c r="P197" s="49">
        <v>1442</v>
      </c>
      <c r="Q197" s="49">
        <v>1499.7</v>
      </c>
      <c r="R197" s="49">
        <v>1559.7</v>
      </c>
    </row>
    <row r="198" spans="1:18" s="2" customFormat="1" ht="82.9" hidden="1" x14ac:dyDescent="0.25">
      <c r="A198" s="12">
        <v>3</v>
      </c>
      <c r="B198" s="41" t="s">
        <v>219</v>
      </c>
      <c r="C198" s="12" t="s">
        <v>218</v>
      </c>
      <c r="D198" s="49"/>
      <c r="E198" s="49">
        <v>10</v>
      </c>
      <c r="F198" s="49">
        <v>10</v>
      </c>
      <c r="G198" s="49">
        <v>10</v>
      </c>
      <c r="H198" s="49">
        <v>10</v>
      </c>
      <c r="I198" s="49"/>
      <c r="J198" s="49">
        <v>41617.79</v>
      </c>
      <c r="K198" s="49">
        <v>43282.501600000003</v>
      </c>
      <c r="L198" s="49">
        <v>45013.801663999999</v>
      </c>
      <c r="M198" s="49">
        <v>46814.353730559997</v>
      </c>
      <c r="N198" s="49"/>
      <c r="O198" s="49">
        <v>416.2</v>
      </c>
      <c r="P198" s="49">
        <v>432.8</v>
      </c>
      <c r="Q198" s="49">
        <v>450.1</v>
      </c>
      <c r="R198" s="49">
        <v>468.1</v>
      </c>
    </row>
    <row r="199" spans="1:18" s="2" customFormat="1" ht="82.9" hidden="1" x14ac:dyDescent="0.25">
      <c r="A199" s="12">
        <v>4</v>
      </c>
      <c r="B199" s="41" t="s">
        <v>220</v>
      </c>
      <c r="C199" s="12" t="s">
        <v>218</v>
      </c>
      <c r="D199" s="49"/>
      <c r="E199" s="49">
        <v>10</v>
      </c>
      <c r="F199" s="49">
        <v>10</v>
      </c>
      <c r="G199" s="49">
        <v>10</v>
      </c>
      <c r="H199" s="49">
        <v>10</v>
      </c>
      <c r="I199" s="49"/>
      <c r="J199" s="49">
        <v>13872.63</v>
      </c>
      <c r="K199" s="49">
        <v>14427.5352</v>
      </c>
      <c r="L199" s="49">
        <v>15004.636608000001</v>
      </c>
      <c r="M199" s="49">
        <v>15604.822072319999</v>
      </c>
      <c r="N199" s="49"/>
      <c r="O199" s="49">
        <v>138.69999999999999</v>
      </c>
      <c r="P199" s="49">
        <v>144.30000000000001</v>
      </c>
      <c r="Q199" s="49">
        <v>150</v>
      </c>
      <c r="R199" s="49">
        <v>156</v>
      </c>
    </row>
    <row r="200" spans="1:18" s="2" customFormat="1" ht="41.45" hidden="1" x14ac:dyDescent="0.25">
      <c r="A200" s="12">
        <v>5</v>
      </c>
      <c r="B200" s="41" t="s">
        <v>221</v>
      </c>
      <c r="C200" s="12" t="s">
        <v>218</v>
      </c>
      <c r="D200" s="49"/>
      <c r="E200" s="49">
        <v>500</v>
      </c>
      <c r="F200" s="49">
        <v>500</v>
      </c>
      <c r="G200" s="49">
        <v>500</v>
      </c>
      <c r="H200" s="49">
        <v>500</v>
      </c>
      <c r="I200" s="49"/>
      <c r="J200" s="49">
        <v>2794.01</v>
      </c>
      <c r="K200" s="49">
        <v>2905.7703999999999</v>
      </c>
      <c r="L200" s="49">
        <v>3022.0012160000001</v>
      </c>
      <c r="M200" s="49">
        <v>3142.8812646400002</v>
      </c>
      <c r="N200" s="49"/>
      <c r="O200" s="49">
        <v>1397</v>
      </c>
      <c r="P200" s="49">
        <v>1452.9</v>
      </c>
      <c r="Q200" s="49">
        <v>1511</v>
      </c>
      <c r="R200" s="49">
        <v>1571.4</v>
      </c>
    </row>
    <row r="201" spans="1:18" s="2" customFormat="1" ht="41.45" hidden="1" x14ac:dyDescent="0.25">
      <c r="A201" s="12">
        <v>6</v>
      </c>
      <c r="B201" s="41" t="s">
        <v>222</v>
      </c>
      <c r="C201" s="12" t="s">
        <v>218</v>
      </c>
      <c r="D201" s="49"/>
      <c r="E201" s="49">
        <v>1000</v>
      </c>
      <c r="F201" s="49">
        <v>1000</v>
      </c>
      <c r="G201" s="49">
        <v>1000</v>
      </c>
      <c r="H201" s="49">
        <v>1000</v>
      </c>
      <c r="I201" s="49"/>
      <c r="J201" s="49">
        <v>4190.8999999999996</v>
      </c>
      <c r="K201" s="49">
        <v>4358.5568000000003</v>
      </c>
      <c r="L201" s="49">
        <v>4532.8990720000002</v>
      </c>
      <c r="M201" s="49">
        <v>4714.2150348799996</v>
      </c>
      <c r="N201" s="49"/>
      <c r="O201" s="49">
        <v>4190.8999999999996</v>
      </c>
      <c r="P201" s="49">
        <v>4358.6000000000004</v>
      </c>
      <c r="Q201" s="49">
        <v>4532.8999999999996</v>
      </c>
      <c r="R201" s="49">
        <v>4714.2</v>
      </c>
    </row>
    <row r="202" spans="1:18" s="2" customFormat="1" ht="41.45" hidden="1" x14ac:dyDescent="0.25">
      <c r="A202" s="12">
        <v>7</v>
      </c>
      <c r="B202" s="41" t="s">
        <v>223</v>
      </c>
      <c r="C202" s="12" t="s">
        <v>218</v>
      </c>
      <c r="D202" s="49"/>
      <c r="E202" s="49">
        <v>250</v>
      </c>
      <c r="F202" s="49">
        <v>250</v>
      </c>
      <c r="G202" s="49">
        <v>250</v>
      </c>
      <c r="H202" s="49">
        <v>250</v>
      </c>
      <c r="I202" s="49"/>
      <c r="J202" s="49">
        <v>4159.62</v>
      </c>
      <c r="K202" s="49">
        <v>4326.0047999999997</v>
      </c>
      <c r="L202" s="49">
        <v>4499.0449920000001</v>
      </c>
      <c r="M202" s="49">
        <v>4679.0067916799999</v>
      </c>
      <c r="N202" s="49"/>
      <c r="O202" s="49">
        <v>1039.9000000000001</v>
      </c>
      <c r="P202" s="49">
        <v>1081.5</v>
      </c>
      <c r="Q202" s="49">
        <v>1124.8</v>
      </c>
      <c r="R202" s="49">
        <v>1169.8</v>
      </c>
    </row>
    <row r="203" spans="1:18" s="2" customFormat="1" ht="41.45" hidden="1" x14ac:dyDescent="0.25">
      <c r="A203" s="12">
        <v>8</v>
      </c>
      <c r="B203" s="41" t="s">
        <v>224</v>
      </c>
      <c r="C203" s="12" t="s">
        <v>218</v>
      </c>
      <c r="D203" s="49"/>
      <c r="E203" s="49">
        <v>500</v>
      </c>
      <c r="F203" s="49">
        <v>500</v>
      </c>
      <c r="G203" s="49">
        <v>500</v>
      </c>
      <c r="H203" s="49">
        <v>500</v>
      </c>
      <c r="I203" s="49"/>
      <c r="J203" s="49">
        <v>5546.25</v>
      </c>
      <c r="K203" s="49">
        <v>5768.1</v>
      </c>
      <c r="L203" s="49">
        <v>5998.8239999999996</v>
      </c>
      <c r="M203" s="49">
        <v>6238.7769600000001</v>
      </c>
      <c r="N203" s="49"/>
      <c r="O203" s="49">
        <v>2773.1</v>
      </c>
      <c r="P203" s="49">
        <v>2884.1</v>
      </c>
      <c r="Q203" s="49">
        <v>2999.4</v>
      </c>
      <c r="R203" s="49">
        <v>3119.4</v>
      </c>
    </row>
    <row r="204" spans="1:18" s="2" customFormat="1" ht="41.45" hidden="1" x14ac:dyDescent="0.25">
      <c r="A204" s="12">
        <v>9</v>
      </c>
      <c r="B204" s="41" t="s">
        <v>225</v>
      </c>
      <c r="C204" s="12" t="s">
        <v>218</v>
      </c>
      <c r="D204" s="49"/>
      <c r="E204" s="49">
        <v>200</v>
      </c>
      <c r="F204" s="49">
        <v>200</v>
      </c>
      <c r="G204" s="49">
        <v>200</v>
      </c>
      <c r="H204" s="49">
        <v>200</v>
      </c>
      <c r="I204" s="49"/>
      <c r="J204" s="49">
        <v>346.71</v>
      </c>
      <c r="K204" s="49">
        <v>360.57839999999999</v>
      </c>
      <c r="L204" s="49">
        <v>375.00153599999999</v>
      </c>
      <c r="M204" s="49">
        <v>390.00159744000001</v>
      </c>
      <c r="N204" s="49"/>
      <c r="O204" s="49">
        <v>69.3</v>
      </c>
      <c r="P204" s="49">
        <v>72.099999999999994</v>
      </c>
      <c r="Q204" s="49">
        <v>75</v>
      </c>
      <c r="R204" s="49">
        <v>78</v>
      </c>
    </row>
    <row r="205" spans="1:18" ht="41.45" hidden="1" x14ac:dyDescent="0.3">
      <c r="A205" s="12">
        <v>10</v>
      </c>
      <c r="B205" s="41" t="s">
        <v>226</v>
      </c>
      <c r="C205" s="12" t="s">
        <v>227</v>
      </c>
      <c r="D205" s="49"/>
      <c r="E205" s="49">
        <v>50</v>
      </c>
      <c r="F205" s="49">
        <v>50</v>
      </c>
      <c r="G205" s="49">
        <v>50</v>
      </c>
      <c r="H205" s="49">
        <v>50</v>
      </c>
      <c r="I205" s="49"/>
      <c r="J205" s="49">
        <v>1386.82</v>
      </c>
      <c r="K205" s="49">
        <v>1442.2927999999999</v>
      </c>
      <c r="L205" s="49">
        <v>1499.984512</v>
      </c>
      <c r="M205" s="49">
        <v>1559.9838924799999</v>
      </c>
      <c r="N205" s="49"/>
      <c r="O205" s="49">
        <v>69.3</v>
      </c>
      <c r="P205" s="49">
        <v>72.099999999999994</v>
      </c>
      <c r="Q205" s="49">
        <v>75</v>
      </c>
      <c r="R205" s="49">
        <v>78</v>
      </c>
    </row>
    <row r="206" spans="1:18" ht="41.45" hidden="1" x14ac:dyDescent="0.3">
      <c r="A206" s="12">
        <v>11</v>
      </c>
      <c r="B206" s="41" t="s">
        <v>228</v>
      </c>
      <c r="C206" s="12" t="s">
        <v>227</v>
      </c>
      <c r="D206" s="49">
        <v>503</v>
      </c>
      <c r="E206" s="49">
        <v>50</v>
      </c>
      <c r="F206" s="49">
        <v>50</v>
      </c>
      <c r="G206" s="49">
        <v>50</v>
      </c>
      <c r="H206" s="49">
        <v>50</v>
      </c>
      <c r="I206" s="49"/>
      <c r="J206" s="49">
        <v>1385.66</v>
      </c>
      <c r="K206" s="49">
        <v>1441.0863999999999</v>
      </c>
      <c r="L206" s="49">
        <v>1498.7298559999999</v>
      </c>
      <c r="M206" s="49">
        <v>1558.6790502399999</v>
      </c>
      <c r="N206" s="49"/>
      <c r="O206" s="49">
        <v>69.3</v>
      </c>
      <c r="P206" s="49">
        <v>72.099999999999994</v>
      </c>
      <c r="Q206" s="49">
        <v>74.900000000000006</v>
      </c>
      <c r="R206" s="49">
        <v>77.900000000000006</v>
      </c>
    </row>
    <row r="207" spans="1:18" ht="41.45" hidden="1" x14ac:dyDescent="0.3">
      <c r="A207" s="12">
        <v>12</v>
      </c>
      <c r="B207" s="41" t="s">
        <v>229</v>
      </c>
      <c r="C207" s="12" t="s">
        <v>230</v>
      </c>
      <c r="D207" s="49">
        <v>2058</v>
      </c>
      <c r="E207" s="49">
        <v>200</v>
      </c>
      <c r="F207" s="49">
        <v>200</v>
      </c>
      <c r="G207" s="49">
        <v>200</v>
      </c>
      <c r="H207" s="49">
        <v>200</v>
      </c>
      <c r="I207" s="49"/>
      <c r="J207" s="49">
        <v>346.36</v>
      </c>
      <c r="K207" s="49">
        <v>360.21440000000001</v>
      </c>
      <c r="L207" s="49">
        <v>374.62297599999999</v>
      </c>
      <c r="M207" s="49">
        <v>389.60789504000002</v>
      </c>
      <c r="N207" s="49"/>
      <c r="O207" s="49">
        <v>69.3</v>
      </c>
      <c r="P207" s="49">
        <v>72</v>
      </c>
      <c r="Q207" s="49">
        <v>74.900000000000006</v>
      </c>
      <c r="R207" s="49">
        <v>77.900000000000006</v>
      </c>
    </row>
    <row r="208" spans="1:18" s="2" customFormat="1" ht="69" hidden="1" x14ac:dyDescent="0.25">
      <c r="A208" s="12">
        <v>13</v>
      </c>
      <c r="B208" s="41" t="s">
        <v>231</v>
      </c>
      <c r="C208" s="12" t="s">
        <v>218</v>
      </c>
      <c r="D208" s="49"/>
      <c r="E208" s="49">
        <v>1269766</v>
      </c>
      <c r="F208" s="49">
        <v>20290</v>
      </c>
      <c r="G208" s="49">
        <v>20290</v>
      </c>
      <c r="H208" s="49">
        <v>20290</v>
      </c>
      <c r="I208" s="49"/>
      <c r="J208" s="49">
        <v>11.61</v>
      </c>
      <c r="K208" s="49">
        <v>12.07220248</v>
      </c>
      <c r="L208" s="49">
        <v>12.5550905792</v>
      </c>
      <c r="M208" s="49">
        <v>13.057294202368</v>
      </c>
      <c r="N208" s="49"/>
      <c r="O208" s="49">
        <v>14739.3</v>
      </c>
      <c r="P208" s="49">
        <v>244.9</v>
      </c>
      <c r="Q208" s="49">
        <v>254.7</v>
      </c>
      <c r="R208" s="49">
        <v>264.89999999999998</v>
      </c>
    </row>
    <row r="209" spans="1:18" ht="69" hidden="1" x14ac:dyDescent="0.3">
      <c r="A209" s="12">
        <v>14</v>
      </c>
      <c r="B209" s="41" t="s">
        <v>232</v>
      </c>
      <c r="C209" s="12" t="s">
        <v>218</v>
      </c>
      <c r="D209" s="49"/>
      <c r="E209" s="49">
        <v>1269766</v>
      </c>
      <c r="F209" s="49">
        <v>20290</v>
      </c>
      <c r="G209" s="49">
        <v>20290</v>
      </c>
      <c r="H209" s="49">
        <v>20290</v>
      </c>
      <c r="I209" s="49"/>
      <c r="J209" s="49">
        <v>11.61</v>
      </c>
      <c r="K209" s="49">
        <v>12.07220248</v>
      </c>
      <c r="L209" s="49">
        <v>12.5550905792</v>
      </c>
      <c r="M209" s="49">
        <v>13.057294202368</v>
      </c>
      <c r="N209" s="49"/>
      <c r="O209" s="49">
        <v>14739.3</v>
      </c>
      <c r="P209" s="49">
        <v>244.9</v>
      </c>
      <c r="Q209" s="49">
        <v>254.7</v>
      </c>
      <c r="R209" s="49">
        <v>264.89999999999998</v>
      </c>
    </row>
    <row r="210" spans="1:18" ht="41.45" hidden="1" x14ac:dyDescent="0.3">
      <c r="A210" s="12">
        <v>15</v>
      </c>
      <c r="B210" s="41" t="s">
        <v>233</v>
      </c>
      <c r="C210" s="12" t="s">
        <v>218</v>
      </c>
      <c r="D210" s="49">
        <v>1372975</v>
      </c>
      <c r="E210" s="49">
        <v>20290</v>
      </c>
      <c r="F210" s="49">
        <v>1650000</v>
      </c>
      <c r="G210" s="49">
        <v>1650000</v>
      </c>
      <c r="H210" s="49">
        <v>1650000</v>
      </c>
      <c r="I210" s="49"/>
      <c r="J210" s="49">
        <v>2.4500000000000002</v>
      </c>
      <c r="K210" s="49">
        <v>2.5471430399999999</v>
      </c>
      <c r="L210" s="49">
        <v>2.6490287615999999</v>
      </c>
      <c r="M210" s="49">
        <v>2.754989912064</v>
      </c>
      <c r="N210" s="49"/>
      <c r="O210" s="49">
        <v>49.7</v>
      </c>
      <c r="P210" s="49">
        <v>4202.8</v>
      </c>
      <c r="Q210" s="49">
        <v>4370.8999999999996</v>
      </c>
      <c r="R210" s="49">
        <v>4545.7</v>
      </c>
    </row>
    <row r="211" spans="1:18" ht="41.45" hidden="1" x14ac:dyDescent="0.3">
      <c r="A211" s="1">
        <v>16</v>
      </c>
      <c r="B211" s="33" t="s">
        <v>234</v>
      </c>
      <c r="C211" s="12" t="s">
        <v>227</v>
      </c>
      <c r="D211" s="49">
        <v>1024</v>
      </c>
      <c r="E211" s="49">
        <v>36.74</v>
      </c>
      <c r="F211" s="49">
        <v>35</v>
      </c>
      <c r="G211" s="49">
        <v>35</v>
      </c>
      <c r="H211" s="49">
        <v>35</v>
      </c>
      <c r="I211" s="49"/>
      <c r="J211" s="49">
        <v>111001.72</v>
      </c>
      <c r="K211" s="49">
        <v>115441.78464</v>
      </c>
      <c r="L211" s="49">
        <v>120059.4560256</v>
      </c>
      <c r="M211" s="49">
        <v>124861.83426662401</v>
      </c>
      <c r="N211" s="49"/>
      <c r="O211" s="49">
        <v>4078.2</v>
      </c>
      <c r="P211" s="49">
        <v>4040.5</v>
      </c>
      <c r="Q211" s="49">
        <v>4202.2</v>
      </c>
      <c r="R211" s="49">
        <v>4370.3</v>
      </c>
    </row>
    <row r="212" spans="1:18" ht="69" hidden="1" x14ac:dyDescent="0.3">
      <c r="A212" s="1">
        <v>17</v>
      </c>
      <c r="B212" s="33" t="s">
        <v>235</v>
      </c>
      <c r="C212" s="16"/>
      <c r="D212" s="49"/>
      <c r="E212" s="49"/>
      <c r="F212" s="49">
        <v>90000</v>
      </c>
      <c r="G212" s="49">
        <v>90000</v>
      </c>
      <c r="H212" s="49">
        <v>90000</v>
      </c>
      <c r="I212" s="49"/>
      <c r="J212" s="49"/>
      <c r="K212" s="49">
        <v>145.66399999999999</v>
      </c>
      <c r="L212" s="49">
        <v>151.49055999999999</v>
      </c>
      <c r="M212" s="49">
        <v>157.55018240000001</v>
      </c>
      <c r="N212" s="49"/>
      <c r="O212" s="49"/>
      <c r="P212" s="49">
        <v>13109.8</v>
      </c>
      <c r="Q212" s="49">
        <v>13634.2</v>
      </c>
      <c r="R212" s="49">
        <v>14179.5</v>
      </c>
    </row>
    <row r="213" spans="1:18" ht="69" hidden="1" x14ac:dyDescent="0.3">
      <c r="A213" s="1">
        <v>18</v>
      </c>
      <c r="B213" s="33" t="s">
        <v>236</v>
      </c>
      <c r="C213" s="16"/>
      <c r="D213" s="49"/>
      <c r="E213" s="49"/>
      <c r="F213" s="49">
        <v>90000</v>
      </c>
      <c r="G213" s="49">
        <v>90000</v>
      </c>
      <c r="H213" s="49">
        <v>90000</v>
      </c>
      <c r="I213" s="49"/>
      <c r="J213" s="49"/>
      <c r="K213" s="49">
        <v>145.66399999999999</v>
      </c>
      <c r="L213" s="49">
        <v>151.49055999999999</v>
      </c>
      <c r="M213" s="49">
        <v>157.55018240000001</v>
      </c>
      <c r="N213" s="49"/>
      <c r="O213" s="49"/>
      <c r="P213" s="49">
        <v>13109.8</v>
      </c>
      <c r="Q213" s="49">
        <v>13634.2</v>
      </c>
      <c r="R213" s="49">
        <v>14179.5</v>
      </c>
    </row>
    <row r="214" spans="1:18" ht="41.45" hidden="1" x14ac:dyDescent="0.3">
      <c r="A214" s="1">
        <v>19</v>
      </c>
      <c r="B214" s="33" t="s">
        <v>237</v>
      </c>
      <c r="C214" s="12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>
        <v>50.5</v>
      </c>
      <c r="P214" s="49">
        <v>50.5</v>
      </c>
      <c r="Q214" s="49">
        <v>50.5</v>
      </c>
      <c r="R214" s="49">
        <v>50.5</v>
      </c>
    </row>
    <row r="215" spans="1:18" ht="14.45" hidden="1" x14ac:dyDescent="0.3">
      <c r="A215" s="9"/>
      <c r="B215" s="10" t="s">
        <v>0</v>
      </c>
      <c r="C215" s="3"/>
      <c r="D215" s="17" t="s">
        <v>8</v>
      </c>
      <c r="E215" s="17" t="s">
        <v>8</v>
      </c>
      <c r="F215" s="17" t="s">
        <v>8</v>
      </c>
      <c r="G215" s="17" t="s">
        <v>8</v>
      </c>
      <c r="H215" s="17" t="s">
        <v>8</v>
      </c>
      <c r="I215" s="17" t="s">
        <v>8</v>
      </c>
      <c r="J215" s="17" t="s">
        <v>8</v>
      </c>
      <c r="K215" s="17" t="s">
        <v>8</v>
      </c>
      <c r="L215" s="17" t="s">
        <v>8</v>
      </c>
      <c r="M215" s="17" t="s">
        <v>8</v>
      </c>
      <c r="N215" s="50">
        <v>38189</v>
      </c>
      <c r="O215" s="50">
        <v>47373.8</v>
      </c>
      <c r="P215" s="50">
        <v>49268.800000000003</v>
      </c>
      <c r="Q215" s="50">
        <v>51237.5</v>
      </c>
      <c r="R215" s="50">
        <v>53285</v>
      </c>
    </row>
    <row r="216" spans="1:18" ht="14.45" hidden="1" x14ac:dyDescent="0.3">
      <c r="A216" s="163" t="s">
        <v>238</v>
      </c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</row>
    <row r="217" spans="1:18" ht="69" hidden="1" x14ac:dyDescent="0.3">
      <c r="A217" s="40"/>
      <c r="B217" s="33" t="s">
        <v>239</v>
      </c>
      <c r="C217" s="3"/>
      <c r="D217" s="49"/>
      <c r="E217" s="49"/>
      <c r="F217" s="49"/>
      <c r="G217" s="49"/>
      <c r="H217" s="49"/>
      <c r="I217" s="49" t="s">
        <v>58</v>
      </c>
      <c r="J217" s="49" t="s">
        <v>58</v>
      </c>
      <c r="K217" s="49" t="s">
        <v>58</v>
      </c>
      <c r="L217" s="49" t="s">
        <v>58</v>
      </c>
      <c r="M217" s="49" t="s">
        <v>58</v>
      </c>
      <c r="N217" s="49">
        <v>27047.4</v>
      </c>
      <c r="O217" s="49">
        <v>40554.9</v>
      </c>
      <c r="P217" s="49">
        <v>46303</v>
      </c>
      <c r="Q217" s="49">
        <v>48198.8</v>
      </c>
      <c r="R217" s="49">
        <v>50169</v>
      </c>
    </row>
    <row r="218" spans="1:18" ht="14.45" hidden="1" x14ac:dyDescent="0.3">
      <c r="A218" s="1">
        <v>1</v>
      </c>
      <c r="B218" s="39" t="s">
        <v>240</v>
      </c>
      <c r="C218" s="1" t="s">
        <v>57</v>
      </c>
      <c r="D218" s="49">
        <v>41109</v>
      </c>
      <c r="E218" s="49">
        <v>30000</v>
      </c>
      <c r="F218" s="49">
        <v>30000</v>
      </c>
      <c r="G218" s="49">
        <v>30000</v>
      </c>
      <c r="H218" s="49">
        <v>30000</v>
      </c>
      <c r="I218" s="49"/>
      <c r="J218" s="49"/>
      <c r="K218" s="49"/>
      <c r="L218" s="49"/>
      <c r="M218" s="49"/>
      <c r="N218" s="49"/>
      <c r="O218" s="49"/>
      <c r="P218" s="49"/>
      <c r="Q218" s="49"/>
      <c r="R218" s="49"/>
    </row>
    <row r="219" spans="1:18" ht="14.45" hidden="1" x14ac:dyDescent="0.3">
      <c r="A219" s="1">
        <v>2</v>
      </c>
      <c r="B219" s="39" t="s">
        <v>241</v>
      </c>
      <c r="C219" s="1" t="s">
        <v>57</v>
      </c>
      <c r="D219" s="49">
        <v>8</v>
      </c>
      <c r="E219" s="49">
        <v>8</v>
      </c>
      <c r="F219" s="49">
        <v>8</v>
      </c>
      <c r="G219" s="49">
        <v>8</v>
      </c>
      <c r="H219" s="49">
        <v>8</v>
      </c>
      <c r="I219" s="49"/>
      <c r="J219" s="49"/>
      <c r="K219" s="49"/>
      <c r="L219" s="49"/>
      <c r="M219" s="49"/>
      <c r="N219" s="49"/>
      <c r="O219" s="49"/>
      <c r="P219" s="49"/>
      <c r="Q219" s="49"/>
      <c r="R219" s="49"/>
    </row>
    <row r="220" spans="1:18" s="2" customFormat="1" ht="13.9" hidden="1" x14ac:dyDescent="0.25">
      <c r="A220" s="1">
        <v>3</v>
      </c>
      <c r="B220" s="39" t="s">
        <v>242</v>
      </c>
      <c r="C220" s="1" t="s">
        <v>57</v>
      </c>
      <c r="D220" s="49">
        <v>5</v>
      </c>
      <c r="E220" s="49">
        <v>5</v>
      </c>
      <c r="F220" s="49">
        <v>5</v>
      </c>
      <c r="G220" s="49">
        <v>5</v>
      </c>
      <c r="H220" s="49">
        <v>5</v>
      </c>
      <c r="I220" s="49"/>
      <c r="J220" s="49"/>
      <c r="K220" s="49"/>
      <c r="L220" s="49"/>
      <c r="M220" s="49"/>
      <c r="N220" s="49"/>
      <c r="O220" s="49"/>
      <c r="P220" s="49"/>
      <c r="Q220" s="49"/>
      <c r="R220" s="49"/>
    </row>
    <row r="221" spans="1:18" ht="14.45" hidden="1" x14ac:dyDescent="0.3">
      <c r="A221" s="9"/>
      <c r="B221" s="10" t="s">
        <v>0</v>
      </c>
      <c r="C221" s="3"/>
      <c r="D221" s="18" t="s">
        <v>8</v>
      </c>
      <c r="E221" s="18" t="s">
        <v>8</v>
      </c>
      <c r="F221" s="18" t="s">
        <v>8</v>
      </c>
      <c r="G221" s="18" t="s">
        <v>8</v>
      </c>
      <c r="H221" s="18" t="s">
        <v>8</v>
      </c>
      <c r="I221" s="18" t="s">
        <v>8</v>
      </c>
      <c r="J221" s="18" t="s">
        <v>8</v>
      </c>
      <c r="K221" s="18" t="s">
        <v>8</v>
      </c>
      <c r="L221" s="18" t="s">
        <v>8</v>
      </c>
      <c r="M221" s="18" t="s">
        <v>8</v>
      </c>
      <c r="N221" s="50">
        <v>27047.4</v>
      </c>
      <c r="O221" s="50">
        <v>40554.9</v>
      </c>
      <c r="P221" s="50">
        <v>46303</v>
      </c>
      <c r="Q221" s="50">
        <v>48198.8</v>
      </c>
      <c r="R221" s="50">
        <v>50169</v>
      </c>
    </row>
    <row r="222" spans="1:18" ht="14.45" hidden="1" x14ac:dyDescent="0.3">
      <c r="A222" s="163" t="s">
        <v>268</v>
      </c>
      <c r="B222" s="171"/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R222" s="172"/>
    </row>
    <row r="223" spans="1:18" ht="41.45" hidden="1" x14ac:dyDescent="0.3">
      <c r="A223" s="1">
        <v>1</v>
      </c>
      <c r="B223" s="34" t="s">
        <v>185</v>
      </c>
      <c r="C223" s="1" t="s">
        <v>14</v>
      </c>
      <c r="D223" s="49">
        <v>1311</v>
      </c>
      <c r="E223" s="49">
        <v>1357</v>
      </c>
      <c r="F223" s="49">
        <v>1244</v>
      </c>
      <c r="G223" s="49">
        <v>1244</v>
      </c>
      <c r="H223" s="49">
        <v>1244</v>
      </c>
      <c r="I223" s="49">
        <v>16394.689999999999</v>
      </c>
      <c r="J223" s="49">
        <v>17252.669999999998</v>
      </c>
      <c r="K223" s="49">
        <v>18459.34</v>
      </c>
      <c r="L223" s="49">
        <v>18459.34</v>
      </c>
      <c r="M223" s="49">
        <v>18459.34</v>
      </c>
      <c r="N223" s="49">
        <v>21436.487000000001</v>
      </c>
      <c r="O223" s="49">
        <f>23412.3+56</f>
        <v>23468.3</v>
      </c>
      <c r="P223" s="49">
        <v>22960.83</v>
      </c>
      <c r="Q223" s="49">
        <v>22960.83</v>
      </c>
      <c r="R223" s="49">
        <v>22960.83</v>
      </c>
    </row>
    <row r="224" spans="1:18" ht="41.45" hidden="1" x14ac:dyDescent="0.3">
      <c r="A224" s="1">
        <v>2</v>
      </c>
      <c r="B224" s="35" t="s">
        <v>186</v>
      </c>
      <c r="C224" s="1" t="s">
        <v>14</v>
      </c>
      <c r="D224" s="49">
        <v>190</v>
      </c>
      <c r="E224" s="49">
        <v>190</v>
      </c>
      <c r="F224" s="49">
        <v>214</v>
      </c>
      <c r="G224" s="49">
        <v>214</v>
      </c>
      <c r="H224" s="49">
        <v>214</v>
      </c>
      <c r="I224" s="49">
        <v>3696.04</v>
      </c>
      <c r="J224" s="49">
        <v>3696.04</v>
      </c>
      <c r="K224" s="49">
        <v>3281.66</v>
      </c>
      <c r="L224" s="49">
        <v>3281.66</v>
      </c>
      <c r="M224" s="49">
        <v>3281.66</v>
      </c>
      <c r="N224" s="49">
        <v>703.18</v>
      </c>
      <c r="O224" s="49">
        <v>703.18</v>
      </c>
      <c r="P224" s="49">
        <v>703.32</v>
      </c>
      <c r="Q224" s="49">
        <v>703.32</v>
      </c>
      <c r="R224" s="49">
        <v>703.32</v>
      </c>
    </row>
    <row r="225" spans="1:18" ht="55.15" hidden="1" x14ac:dyDescent="0.3">
      <c r="A225" s="1">
        <v>3</v>
      </c>
      <c r="B225" s="35" t="s">
        <v>187</v>
      </c>
      <c r="C225" s="1" t="s">
        <v>14</v>
      </c>
      <c r="D225" s="49" t="s">
        <v>58</v>
      </c>
      <c r="E225" s="49">
        <v>488</v>
      </c>
      <c r="F225" s="49">
        <v>413</v>
      </c>
      <c r="G225" s="49">
        <v>413</v>
      </c>
      <c r="H225" s="49">
        <v>413</v>
      </c>
      <c r="I225" s="49" t="s">
        <v>58</v>
      </c>
      <c r="J225" s="49">
        <v>41278.71</v>
      </c>
      <c r="K225" s="49">
        <v>43325.65</v>
      </c>
      <c r="L225" s="49">
        <v>43325.65</v>
      </c>
      <c r="M225" s="49">
        <v>43325.65</v>
      </c>
      <c r="N225" s="49" t="s">
        <v>58</v>
      </c>
      <c r="O225" s="49">
        <v>20154.07</v>
      </c>
      <c r="P225" s="49">
        <v>17890.52</v>
      </c>
      <c r="Q225" s="49">
        <v>17890.52</v>
      </c>
      <c r="R225" s="49">
        <v>17890.52</v>
      </c>
    </row>
    <row r="226" spans="1:18" ht="27.6" hidden="1" x14ac:dyDescent="0.3">
      <c r="A226" s="1">
        <v>4</v>
      </c>
      <c r="B226" s="35" t="s">
        <v>188</v>
      </c>
      <c r="C226" s="1" t="s">
        <v>189</v>
      </c>
      <c r="D226" s="49">
        <v>46289</v>
      </c>
      <c r="E226" s="49">
        <v>85240</v>
      </c>
      <c r="F226" s="49">
        <v>82707</v>
      </c>
      <c r="G226" s="49">
        <v>82707</v>
      </c>
      <c r="H226" s="49">
        <v>82707</v>
      </c>
      <c r="I226" s="49">
        <v>64.680000000000007</v>
      </c>
      <c r="J226" s="49">
        <v>68.069999999999993</v>
      </c>
      <c r="K226" s="49">
        <v>73.84</v>
      </c>
      <c r="L226" s="49">
        <v>73.84</v>
      </c>
      <c r="M226" s="49">
        <v>73.84</v>
      </c>
      <c r="N226" s="49">
        <v>1656.4</v>
      </c>
      <c r="O226" s="49">
        <v>5807.69</v>
      </c>
      <c r="P226" s="49">
        <v>6107.13</v>
      </c>
      <c r="Q226" s="49">
        <v>6107.13</v>
      </c>
      <c r="R226" s="49">
        <v>6107.13</v>
      </c>
    </row>
    <row r="227" spans="1:18" ht="110.45" hidden="1" x14ac:dyDescent="0.3">
      <c r="A227" s="1">
        <v>5</v>
      </c>
      <c r="B227" s="35" t="s">
        <v>190</v>
      </c>
      <c r="C227" s="1" t="s">
        <v>14</v>
      </c>
      <c r="D227" s="49">
        <v>14510</v>
      </c>
      <c r="E227" s="49">
        <v>13530</v>
      </c>
      <c r="F227" s="49">
        <v>13784</v>
      </c>
      <c r="G227" s="49">
        <v>13784</v>
      </c>
      <c r="H227" s="49">
        <v>13784</v>
      </c>
      <c r="I227" s="49">
        <v>1080</v>
      </c>
      <c r="J227" s="49">
        <v>1080</v>
      </c>
      <c r="K227" s="49">
        <v>1085.6099999999999</v>
      </c>
      <c r="L227" s="49">
        <v>1085.6099999999999</v>
      </c>
      <c r="M227" s="49">
        <v>1085.6099999999999</v>
      </c>
      <c r="N227" s="49">
        <v>15670</v>
      </c>
      <c r="O227" s="49">
        <v>14612.4</v>
      </c>
      <c r="P227" s="49">
        <v>14963.64</v>
      </c>
      <c r="Q227" s="49">
        <v>14963.64</v>
      </c>
      <c r="R227" s="49">
        <v>14963.64</v>
      </c>
    </row>
    <row r="228" spans="1:18" ht="96.6" hidden="1" x14ac:dyDescent="0.3">
      <c r="A228" s="1">
        <v>6</v>
      </c>
      <c r="B228" s="35" t="s">
        <v>191</v>
      </c>
      <c r="C228" s="1" t="s">
        <v>14</v>
      </c>
      <c r="D228" s="49">
        <v>670</v>
      </c>
      <c r="E228" s="49">
        <v>420</v>
      </c>
      <c r="F228" s="49">
        <v>685</v>
      </c>
      <c r="G228" s="49">
        <v>685</v>
      </c>
      <c r="H228" s="49">
        <v>685</v>
      </c>
      <c r="I228" s="49">
        <v>17333.330000000002</v>
      </c>
      <c r="J228" s="49">
        <v>17333.330000000002</v>
      </c>
      <c r="K228" s="49">
        <v>18459.34</v>
      </c>
      <c r="L228" s="49">
        <v>18459.34</v>
      </c>
      <c r="M228" s="49">
        <v>18459.34</v>
      </c>
      <c r="N228" s="49">
        <v>11613.331</v>
      </c>
      <c r="O228" s="49">
        <v>7293.6440000000002</v>
      </c>
      <c r="P228" s="49">
        <v>12641.31</v>
      </c>
      <c r="Q228" s="49">
        <v>12641.31</v>
      </c>
      <c r="R228" s="49">
        <v>12641.31</v>
      </c>
    </row>
    <row r="229" spans="1:18" ht="14.45" hidden="1" x14ac:dyDescent="0.3">
      <c r="A229" s="1">
        <v>7</v>
      </c>
      <c r="B229" s="35" t="s">
        <v>192</v>
      </c>
      <c r="C229" s="1" t="s">
        <v>14</v>
      </c>
      <c r="D229" s="49">
        <v>260</v>
      </c>
      <c r="E229" s="49">
        <v>180</v>
      </c>
      <c r="F229" s="49">
        <v>195</v>
      </c>
      <c r="G229" s="49">
        <v>195</v>
      </c>
      <c r="H229" s="49">
        <v>195</v>
      </c>
      <c r="I229" s="49">
        <v>5000</v>
      </c>
      <c r="J229" s="49">
        <v>5000</v>
      </c>
      <c r="K229" s="49">
        <v>5260.47</v>
      </c>
      <c r="L229" s="49">
        <v>5260.47</v>
      </c>
      <c r="M229" s="49">
        <v>5260.47</v>
      </c>
      <c r="N229" s="49">
        <v>1300</v>
      </c>
      <c r="O229" s="49">
        <v>900</v>
      </c>
      <c r="P229" s="49">
        <v>1026.44</v>
      </c>
      <c r="Q229" s="49">
        <v>1026.44</v>
      </c>
      <c r="R229" s="49">
        <v>1026.44</v>
      </c>
    </row>
    <row r="230" spans="1:18" ht="14.45" hidden="1" x14ac:dyDescent="0.3">
      <c r="A230" s="1">
        <v>8</v>
      </c>
      <c r="B230" s="36" t="s">
        <v>249</v>
      </c>
      <c r="C230" s="1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</row>
    <row r="231" spans="1:18" ht="55.15" hidden="1" x14ac:dyDescent="0.3">
      <c r="A231" s="24" t="s">
        <v>243</v>
      </c>
      <c r="B231" s="35" t="s">
        <v>193</v>
      </c>
      <c r="C231" s="1" t="s">
        <v>57</v>
      </c>
      <c r="D231" s="49">
        <v>24</v>
      </c>
      <c r="E231" s="49">
        <v>24</v>
      </c>
      <c r="F231" s="49">
        <v>24</v>
      </c>
      <c r="G231" s="49">
        <v>24</v>
      </c>
      <c r="H231" s="49">
        <v>24</v>
      </c>
      <c r="I231" s="49"/>
      <c r="J231" s="49"/>
      <c r="K231" s="49"/>
      <c r="L231" s="49"/>
      <c r="M231" s="49"/>
      <c r="N231" s="49">
        <v>1090.1400000000001</v>
      </c>
      <c r="O231" s="49">
        <v>1090</v>
      </c>
      <c r="P231" s="49">
        <v>1090</v>
      </c>
      <c r="Q231" s="49">
        <v>1090</v>
      </c>
      <c r="R231" s="49">
        <v>1090</v>
      </c>
    </row>
    <row r="232" spans="1:18" ht="27.6" hidden="1" x14ac:dyDescent="0.3">
      <c r="A232" s="13" t="s">
        <v>244</v>
      </c>
      <c r="B232" s="35" t="s">
        <v>194</v>
      </c>
      <c r="C232" s="1" t="s">
        <v>57</v>
      </c>
      <c r="D232" s="49">
        <v>1</v>
      </c>
      <c r="E232" s="49">
        <v>1</v>
      </c>
      <c r="F232" s="49">
        <v>1</v>
      </c>
      <c r="G232" s="49">
        <v>1</v>
      </c>
      <c r="H232" s="49">
        <v>1</v>
      </c>
      <c r="I232" s="49"/>
      <c r="J232" s="49"/>
      <c r="K232" s="49"/>
      <c r="L232" s="49"/>
      <c r="M232" s="49"/>
      <c r="N232" s="49">
        <v>800</v>
      </c>
      <c r="O232" s="49">
        <f>800+155.8</f>
        <v>955.8</v>
      </c>
      <c r="P232" s="49">
        <v>800</v>
      </c>
      <c r="Q232" s="49">
        <v>800</v>
      </c>
      <c r="R232" s="49">
        <v>800</v>
      </c>
    </row>
    <row r="233" spans="1:18" ht="82.9" hidden="1" x14ac:dyDescent="0.3">
      <c r="A233" s="13" t="s">
        <v>245</v>
      </c>
      <c r="B233" s="37" t="s">
        <v>195</v>
      </c>
      <c r="C233" s="1" t="s">
        <v>57</v>
      </c>
      <c r="D233" s="49">
        <v>18</v>
      </c>
      <c r="E233" s="49">
        <v>18</v>
      </c>
      <c r="F233" s="49">
        <v>18</v>
      </c>
      <c r="G233" s="49">
        <v>18</v>
      </c>
      <c r="H233" s="49">
        <v>18</v>
      </c>
      <c r="I233" s="49"/>
      <c r="J233" s="49"/>
      <c r="K233" s="49"/>
      <c r="L233" s="49"/>
      <c r="M233" s="49"/>
      <c r="N233" s="49">
        <v>1000</v>
      </c>
      <c r="O233" s="49">
        <v>1000</v>
      </c>
      <c r="P233" s="49">
        <v>1000</v>
      </c>
      <c r="Q233" s="49">
        <v>1000</v>
      </c>
      <c r="R233" s="49">
        <v>1000</v>
      </c>
    </row>
    <row r="234" spans="1:18" ht="55.15" hidden="1" x14ac:dyDescent="0.3">
      <c r="A234" s="13" t="s">
        <v>246</v>
      </c>
      <c r="B234" s="35" t="s">
        <v>196</v>
      </c>
      <c r="C234" s="1" t="s">
        <v>57</v>
      </c>
      <c r="D234" s="49">
        <v>1</v>
      </c>
      <c r="E234" s="49">
        <v>1</v>
      </c>
      <c r="F234" s="49">
        <v>1</v>
      </c>
      <c r="G234" s="49">
        <v>1</v>
      </c>
      <c r="H234" s="49">
        <v>1</v>
      </c>
      <c r="I234" s="49"/>
      <c r="J234" s="49"/>
      <c r="K234" s="49"/>
      <c r="L234" s="49"/>
      <c r="M234" s="49"/>
      <c r="N234" s="49">
        <v>100</v>
      </c>
      <c r="O234" s="49">
        <v>200</v>
      </c>
      <c r="P234" s="49">
        <v>200</v>
      </c>
      <c r="Q234" s="49">
        <v>200</v>
      </c>
      <c r="R234" s="49">
        <v>200</v>
      </c>
    </row>
    <row r="235" spans="1:18" ht="41.45" hidden="1" x14ac:dyDescent="0.3">
      <c r="A235" s="13" t="s">
        <v>247</v>
      </c>
      <c r="B235" s="35" t="s">
        <v>197</v>
      </c>
      <c r="C235" s="1" t="s">
        <v>57</v>
      </c>
      <c r="D235" s="49">
        <v>1</v>
      </c>
      <c r="E235" s="49">
        <v>1</v>
      </c>
      <c r="F235" s="49">
        <v>1</v>
      </c>
      <c r="G235" s="49">
        <v>1</v>
      </c>
      <c r="H235" s="49">
        <v>1</v>
      </c>
      <c r="I235" s="49"/>
      <c r="J235" s="49"/>
      <c r="K235" s="49"/>
      <c r="L235" s="49"/>
      <c r="M235" s="49"/>
      <c r="N235" s="49">
        <v>200</v>
      </c>
      <c r="O235" s="49">
        <v>200</v>
      </c>
      <c r="P235" s="49">
        <v>200</v>
      </c>
      <c r="Q235" s="49">
        <v>200</v>
      </c>
      <c r="R235" s="49">
        <v>200</v>
      </c>
    </row>
    <row r="236" spans="1:18" ht="27.6" hidden="1" x14ac:dyDescent="0.3">
      <c r="A236" s="13" t="s">
        <v>248</v>
      </c>
      <c r="B236" s="38" t="s">
        <v>198</v>
      </c>
      <c r="C236" s="1" t="s">
        <v>57</v>
      </c>
      <c r="D236" s="49">
        <v>1</v>
      </c>
      <c r="E236" s="49">
        <v>1</v>
      </c>
      <c r="F236" s="49">
        <v>1</v>
      </c>
      <c r="G236" s="49">
        <v>1</v>
      </c>
      <c r="H236" s="49">
        <v>1</v>
      </c>
      <c r="I236" s="49"/>
      <c r="J236" s="49"/>
      <c r="K236" s="49"/>
      <c r="L236" s="49"/>
      <c r="M236" s="49"/>
      <c r="N236" s="49">
        <v>200</v>
      </c>
      <c r="O236" s="49">
        <v>200</v>
      </c>
      <c r="P236" s="49">
        <v>200</v>
      </c>
      <c r="Q236" s="49">
        <v>200</v>
      </c>
      <c r="R236" s="49">
        <v>200</v>
      </c>
    </row>
    <row r="237" spans="1:18" ht="41.45" hidden="1" x14ac:dyDescent="0.3">
      <c r="A237" s="1">
        <v>9</v>
      </c>
      <c r="B237" s="35" t="s">
        <v>199</v>
      </c>
      <c r="C237" s="1" t="s">
        <v>200</v>
      </c>
      <c r="D237" s="49">
        <v>82</v>
      </c>
      <c r="E237" s="49">
        <v>1122</v>
      </c>
      <c r="F237" s="49">
        <v>2604</v>
      </c>
      <c r="G237" s="49">
        <v>2601</v>
      </c>
      <c r="H237" s="49">
        <v>2597</v>
      </c>
      <c r="I237" s="49"/>
      <c r="J237" s="49"/>
      <c r="K237" s="49"/>
      <c r="L237" s="49"/>
      <c r="M237" s="49"/>
      <c r="N237" s="49">
        <v>45.1</v>
      </c>
      <c r="O237" s="49">
        <f>1260+190</f>
        <v>1450</v>
      </c>
      <c r="P237" s="49">
        <f>3906+197</f>
        <v>4103</v>
      </c>
      <c r="Q237" s="49">
        <f>3901+202</f>
        <v>4103</v>
      </c>
      <c r="R237" s="49">
        <f>3896+207</f>
        <v>4103</v>
      </c>
    </row>
    <row r="238" spans="1:18" ht="41.45" hidden="1" x14ac:dyDescent="0.3">
      <c r="A238" s="1">
        <v>10</v>
      </c>
      <c r="B238" s="35" t="s">
        <v>201</v>
      </c>
      <c r="C238" s="1" t="s">
        <v>202</v>
      </c>
      <c r="D238" s="49">
        <v>17</v>
      </c>
      <c r="E238" s="49">
        <v>20</v>
      </c>
      <c r="F238" s="49">
        <v>270</v>
      </c>
      <c r="G238" s="49">
        <v>270</v>
      </c>
      <c r="H238" s="49">
        <v>270</v>
      </c>
      <c r="I238" s="49"/>
      <c r="J238" s="49"/>
      <c r="K238" s="49"/>
      <c r="L238" s="49"/>
      <c r="M238" s="49"/>
      <c r="N238" s="49">
        <v>54.4</v>
      </c>
      <c r="O238" s="49">
        <v>70</v>
      </c>
      <c r="P238" s="49">
        <v>945</v>
      </c>
      <c r="Q238" s="49">
        <v>945</v>
      </c>
      <c r="R238" s="49">
        <v>945</v>
      </c>
    </row>
    <row r="239" spans="1:18" s="2" customFormat="1" ht="13.9" hidden="1" x14ac:dyDescent="0.25">
      <c r="A239" s="9"/>
      <c r="B239" s="10" t="s">
        <v>0</v>
      </c>
      <c r="C239" s="3"/>
      <c r="D239" s="11" t="s">
        <v>8</v>
      </c>
      <c r="E239" s="11" t="s">
        <v>8</v>
      </c>
      <c r="F239" s="11" t="s">
        <v>8</v>
      </c>
      <c r="G239" s="11" t="s">
        <v>8</v>
      </c>
      <c r="H239" s="11" t="s">
        <v>8</v>
      </c>
      <c r="I239" s="11" t="s">
        <v>8</v>
      </c>
      <c r="J239" s="11" t="s">
        <v>8</v>
      </c>
      <c r="K239" s="11" t="s">
        <v>8</v>
      </c>
      <c r="L239" s="11" t="s">
        <v>8</v>
      </c>
      <c r="M239" s="11" t="s">
        <v>8</v>
      </c>
      <c r="N239" s="50">
        <f>SUM(N223:N238)</f>
        <v>55869.038</v>
      </c>
      <c r="O239" s="50">
        <f>SUM(O223:O238)</f>
        <v>78105.084000000017</v>
      </c>
      <c r="P239" s="50">
        <f>SUM(P223:P238)</f>
        <v>84831.19</v>
      </c>
      <c r="Q239" s="50">
        <f>SUM(Q223:Q238)</f>
        <v>84831.19</v>
      </c>
      <c r="R239" s="50">
        <f>SUM(R223:R238)</f>
        <v>84831.19</v>
      </c>
    </row>
    <row r="240" spans="1:18" s="2" customFormat="1" ht="15" customHeight="1" x14ac:dyDescent="0.25">
      <c r="A240" s="163" t="s">
        <v>250</v>
      </c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</row>
    <row r="241" spans="1:18" s="2" customFormat="1" ht="60" x14ac:dyDescent="0.25">
      <c r="A241" s="1">
        <v>1</v>
      </c>
      <c r="B241" s="32" t="s">
        <v>251</v>
      </c>
      <c r="C241" s="3" t="s">
        <v>14</v>
      </c>
      <c r="D241" s="49">
        <v>3804</v>
      </c>
      <c r="E241" s="49">
        <v>3735</v>
      </c>
      <c r="F241" s="49">
        <v>3725</v>
      </c>
      <c r="G241" s="49">
        <v>3745</v>
      </c>
      <c r="H241" s="49">
        <v>3745</v>
      </c>
      <c r="I241" s="49">
        <v>477251.91</v>
      </c>
      <c r="J241" s="49">
        <v>496341.99</v>
      </c>
      <c r="K241" s="49"/>
      <c r="L241" s="49"/>
      <c r="M241" s="49"/>
      <c r="N241" s="49">
        <v>1670437.08</v>
      </c>
      <c r="O241" s="49">
        <v>1747725.58</v>
      </c>
      <c r="P241" s="49">
        <v>1796815.69</v>
      </c>
      <c r="Q241" s="49">
        <v>1856367.49</v>
      </c>
      <c r="R241" s="49">
        <v>1909640.79</v>
      </c>
    </row>
    <row r="242" spans="1:18" s="2" customFormat="1" ht="105" x14ac:dyDescent="0.25">
      <c r="A242" s="1">
        <v>2</v>
      </c>
      <c r="B242" s="32" t="s">
        <v>252</v>
      </c>
      <c r="C242" s="1" t="s">
        <v>14</v>
      </c>
      <c r="D242" s="49">
        <v>11606</v>
      </c>
      <c r="E242" s="49">
        <v>9824</v>
      </c>
      <c r="F242" s="49">
        <v>9939</v>
      </c>
      <c r="G242" s="49">
        <v>9956</v>
      </c>
      <c r="H242" s="49">
        <v>9976</v>
      </c>
      <c r="I242" s="49">
        <v>778606.57</v>
      </c>
      <c r="J242" s="49">
        <v>814861.63</v>
      </c>
      <c r="K242" s="49"/>
      <c r="L242" s="49"/>
      <c r="M242" s="49"/>
      <c r="N242" s="49">
        <v>675699.31</v>
      </c>
      <c r="O242" s="49">
        <v>1279004.54</v>
      </c>
      <c r="P242" s="49">
        <v>1430170.75</v>
      </c>
      <c r="Q242" s="49">
        <v>1543026.67</v>
      </c>
      <c r="R242" s="49">
        <v>1624176.19</v>
      </c>
    </row>
    <row r="243" spans="1:18" s="2" customFormat="1" ht="15" customHeight="1" x14ac:dyDescent="0.25">
      <c r="A243" s="31"/>
      <c r="B243" s="31" t="s">
        <v>0</v>
      </c>
      <c r="C243" s="29" t="s">
        <v>8</v>
      </c>
      <c r="D243" s="29" t="s">
        <v>8</v>
      </c>
      <c r="E243" s="29" t="s">
        <v>8</v>
      </c>
      <c r="F243" s="29" t="s">
        <v>8</v>
      </c>
      <c r="G243" s="29" t="s">
        <v>8</v>
      </c>
      <c r="H243" s="29" t="s">
        <v>8</v>
      </c>
      <c r="I243" s="29" t="s">
        <v>8</v>
      </c>
      <c r="J243" s="29" t="s">
        <v>8</v>
      </c>
      <c r="K243" s="29" t="s">
        <v>8</v>
      </c>
      <c r="L243" s="29" t="s">
        <v>8</v>
      </c>
      <c r="M243" s="29" t="s">
        <v>8</v>
      </c>
      <c r="N243" s="50">
        <f>SUM(N241:N242)</f>
        <v>2346136.39</v>
      </c>
      <c r="O243" s="50">
        <f>SUM(O241:O242)</f>
        <v>3026730.12</v>
      </c>
      <c r="P243" s="50">
        <f>SUM(P241:P242)</f>
        <v>3226986.44</v>
      </c>
      <c r="Q243" s="50">
        <f>SUM(Q241:Q242)</f>
        <v>3399394.16</v>
      </c>
      <c r="R243" s="50">
        <f>SUM(R241:R242)</f>
        <v>3533816.98</v>
      </c>
    </row>
  </sheetData>
  <customSheetViews>
    <customSheetView guid="{15008CFB-90AE-4019-A345-B8744D25D0C3}" scale="90" showPageBreaks="1" fitToPage="1" hiddenRows="1" hiddenColumns="1" state="hidden">
      <pane ySplit="238" topLeftCell="A240" activePane="bottomLeft" state="frozen"/>
      <selection pane="bottomLeft" activeCell="N243" sqref="N243:R243"/>
      <pageMargins left="0.39370078740157483" right="0.39370078740157483" top="0.39370078740157483" bottom="0.39370078740157483" header="0" footer="0"/>
      <printOptions horizontalCentered="1"/>
      <pageSetup paperSize="9" scale="63" fitToHeight="0" orientation="landscape" r:id="rId1"/>
    </customSheetView>
    <customSheetView guid="{94FAEE46-67CD-4645-8F65-1FE6863655B3}" scale="90" fitToPage="1" hiddenRows="1" hiddenColumns="1" state="hidden">
      <pane ySplit="238" topLeftCell="A240" activePane="bottomLeft" state="frozen"/>
      <selection pane="bottomLeft" activeCell="N243" sqref="N243:R243"/>
      <pageMargins left="0.39370078740157483" right="0.39370078740157483" top="0.39370078740157483" bottom="0.39370078740157483" header="0" footer="0"/>
      <printOptions horizontalCentered="1"/>
      <pageSetup paperSize="9" scale="63" fitToHeight="0" orientation="landscape" r:id="rId2"/>
    </customSheetView>
    <customSheetView guid="{69868B4C-820B-4999-9363-14A229151CE0}" scale="90" showPageBreaks="1" fitToPage="1" hiddenRows="1" hiddenColumns="1" state="hidden">
      <pane ySplit="238" topLeftCell="A240" activePane="bottomLeft" state="frozen"/>
      <selection pane="bottomLeft" activeCell="N243" sqref="N243:R243"/>
      <pageMargins left="0.39370078740157483" right="0.39370078740157483" top="0.39370078740157483" bottom="0.39370078740157483" header="0" footer="0"/>
      <printOptions horizontalCentered="1"/>
      <pageSetup paperSize="9" scale="63" fitToHeight="0" orientation="landscape" r:id="rId3"/>
    </customSheetView>
    <customSheetView guid="{5B955171-6155-4477-93FE-98906395A697}" scale="90" fitToPage="1" hiddenRows="1" hiddenColumns="1" state="hidden">
      <pane ySplit="238" topLeftCell="A240" activePane="bottomLeft" state="frozen"/>
      <selection pane="bottomLeft" activeCell="N243" sqref="N243:R243"/>
      <pageMargins left="0.39370078740157483" right="0.39370078740157483" top="0.39370078740157483" bottom="0.39370078740157483" header="0" footer="0"/>
      <printOptions horizontalCentered="1"/>
      <pageSetup paperSize="9" scale="63" fitToHeight="0" orientation="landscape" r:id="rId4"/>
    </customSheetView>
    <customSheetView guid="{AC3D1D09-98ED-4CFD-8F29-C435F099150F}" scale="90" fitToPage="1" hiddenRows="1" hiddenColumns="1" state="hidden">
      <pane ySplit="238" topLeftCell="A240" activePane="bottomLeft" state="frozen"/>
      <selection pane="bottomLeft" activeCell="N243" sqref="N243:R243"/>
      <pageMargins left="0.39370078740157483" right="0.39370078740157483" top="0.39370078740157483" bottom="0.39370078740157483" header="0" footer="0"/>
      <printOptions horizontalCentered="1"/>
      <pageSetup paperSize="9" scale="63" fitToHeight="0" orientation="landscape" r:id="rId5"/>
    </customSheetView>
    <customSheetView guid="{765F1DBD-C068-444A-8B13-2916A4A9BA3F}" scale="90" fitToPage="1" hiddenRows="1" hiddenColumns="1" state="hidden">
      <pane ySplit="238" topLeftCell="A240" activePane="bottomLeft" state="frozen"/>
      <selection pane="bottomLeft" activeCell="N243" sqref="N243:R243"/>
      <pageMargins left="0.39370078740157483" right="0.39370078740157483" top="0.39370078740157483" bottom="0.39370078740157483" header="0" footer="0"/>
      <printOptions horizontalCentered="1"/>
      <pageSetup paperSize="9" scale="63" fitToHeight="0" orientation="landscape" r:id="rId6"/>
    </customSheetView>
    <customSheetView guid="{1237AFA1-68A6-41BB-9F1F-2BB33CF3BCCE}" scale="90" showPageBreaks="1" fitToPage="1" hiddenRows="1" hiddenColumns="1" state="hidden">
      <pane ySplit="238" topLeftCell="A240" activePane="bottomLeft" state="frozen"/>
      <selection pane="bottomLeft" activeCell="N243" sqref="N243:R243"/>
      <pageMargins left="0.39370078740157483" right="0.39370078740157483" top="0.39370078740157483" bottom="0.39370078740157483" header="0" footer="0"/>
      <printOptions horizontalCentered="1"/>
      <pageSetup paperSize="9" scale="63" fitToHeight="0" orientation="landscape" r:id="rId7"/>
    </customSheetView>
    <customSheetView guid="{4873CEAB-4E26-4DB7-8CA3-1027F54FA069}" scale="90" fitToPage="1" hiddenRows="1" hiddenColumns="1" state="hidden">
      <pane ySplit="238" topLeftCell="A240" activePane="bottomLeft" state="frozen"/>
      <selection pane="bottomLeft" activeCell="N243" sqref="N243:R243"/>
      <pageMargins left="0.39370078740157483" right="0.39370078740157483" top="0.39370078740157483" bottom="0.39370078740157483" header="0" footer="0"/>
      <printOptions horizontalCentered="1"/>
      <pageSetup paperSize="9" scale="63" fitToHeight="0" orientation="landscape" r:id="rId8"/>
    </customSheetView>
    <customSheetView guid="{E442A37A-C329-497A-93AF-778FC95E568D}" scale="90" fitToPage="1" hiddenRows="1" hiddenColumns="1" state="hidden">
      <pane ySplit="238" topLeftCell="A240" activePane="bottomLeft" state="frozen"/>
      <selection pane="bottomLeft" activeCell="N243" sqref="N243:R243"/>
      <pageMargins left="0.39370078740157483" right="0.39370078740157483" top="0.39370078740157483" bottom="0.39370078740157483" header="0" footer="0"/>
      <printOptions horizontalCentered="1"/>
      <pageSetup paperSize="9" scale="63" fitToHeight="0" orientation="landscape" r:id="rId9"/>
    </customSheetView>
    <customSheetView guid="{364080A9-4C50-4D56-AFFE-3F56BEE01D21}" scale="90" showPageBreaks="1" fitToPage="1" hiddenRows="1" hiddenColumns="1" state="hidden">
      <pane ySplit="238" topLeftCell="A240" activePane="bottomLeft" state="frozen"/>
      <selection pane="bottomLeft" activeCell="N243" sqref="N243:R243"/>
      <pageMargins left="0.39370078740157483" right="0.39370078740157483" top="0.39370078740157483" bottom="0.39370078740157483" header="0" footer="0"/>
      <printOptions horizontalCentered="1"/>
      <pageSetup paperSize="9" scale="63" fitToHeight="0" orientation="landscape" r:id="rId10"/>
    </customSheetView>
    <customSheetView guid="{E4E24A0D-4CE4-4533-9643-8904DCA0EAAD}" scale="90" showPageBreaks="1" fitToPage="1" hiddenRows="1" hiddenColumns="1" state="hidden">
      <pane ySplit="238" topLeftCell="A240" activePane="bottomLeft" state="frozen"/>
      <selection pane="bottomLeft" activeCell="N243" sqref="N243:R243"/>
      <pageMargins left="0.39370078740157483" right="0.39370078740157483" top="0.39370078740157483" bottom="0.39370078740157483" header="0" footer="0"/>
      <printOptions horizontalCentered="1"/>
      <pageSetup paperSize="9" scale="63" fitToHeight="0" orientation="landscape" r:id="rId11"/>
    </customSheetView>
  </customSheetViews>
  <mergeCells count="23">
    <mergeCell ref="A106:R106"/>
    <mergeCell ref="N2:R2"/>
    <mergeCell ref="A5:R5"/>
    <mergeCell ref="A49:R49"/>
    <mergeCell ref="A55:R55"/>
    <mergeCell ref="B44:B45"/>
    <mergeCell ref="A44:A45"/>
    <mergeCell ref="A240:R240"/>
    <mergeCell ref="A1:R1"/>
    <mergeCell ref="A2:A3"/>
    <mergeCell ref="B2:B3"/>
    <mergeCell ref="C2:C3"/>
    <mergeCell ref="I2:M2"/>
    <mergeCell ref="A89:R89"/>
    <mergeCell ref="A216:R216"/>
    <mergeCell ref="A123:R123"/>
    <mergeCell ref="A126:R126"/>
    <mergeCell ref="A173:R173"/>
    <mergeCell ref="A180:R180"/>
    <mergeCell ref="A222:R222"/>
    <mergeCell ref="A195:R195"/>
    <mergeCell ref="A118:R118"/>
    <mergeCell ref="D2:H2"/>
  </mergeCells>
  <printOptions horizontalCentered="1"/>
  <pageMargins left="0.39370078740157483" right="0.39370078740157483" top="0.39370078740157483" bottom="0.39370078740157483" header="0" footer="0"/>
  <pageSetup paperSize="9" scale="63" fitToHeight="0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13"/>
  <sheetViews>
    <sheetView tabSelected="1" zoomScale="90" zoomScaleNormal="90" zoomScaleSheetLayoutView="90" workbookViewId="0">
      <selection activeCell="F6" sqref="F6"/>
    </sheetView>
  </sheetViews>
  <sheetFormatPr defaultColWidth="9.140625" defaultRowHeight="15" x14ac:dyDescent="0.25"/>
  <cols>
    <col min="1" max="1" width="7.7109375" style="27" customWidth="1"/>
    <col min="2" max="2" width="51.140625" style="54" customWidth="1"/>
    <col min="3" max="3" width="19" style="27" bestFit="1" customWidth="1"/>
    <col min="4" max="4" width="17.5703125" style="4" customWidth="1"/>
    <col min="5" max="5" width="19.28515625" style="4" customWidth="1"/>
    <col min="6" max="6" width="22.5703125" style="4" bestFit="1" customWidth="1"/>
    <col min="7" max="8" width="20.5703125" style="4" customWidth="1"/>
    <col min="9" max="9" width="22.5703125" style="4" bestFit="1" customWidth="1"/>
    <col min="10" max="10" width="14" style="4" customWidth="1"/>
    <col min="11" max="11" width="28.140625" style="4" customWidth="1"/>
    <col min="12" max="12" width="19" style="4" customWidth="1"/>
    <col min="13" max="13" width="17.28515625" style="4" customWidth="1"/>
    <col min="14" max="14" width="11.85546875" style="4" customWidth="1"/>
    <col min="15" max="15" width="12.28515625" style="4" customWidth="1"/>
    <col min="16" max="16" width="12.7109375" style="4" customWidth="1"/>
    <col min="17" max="16384" width="9.140625" style="4"/>
  </cols>
  <sheetData>
    <row r="1" spans="1:9" ht="18.75" x14ac:dyDescent="0.3">
      <c r="I1" s="162" t="s">
        <v>504</v>
      </c>
    </row>
    <row r="2" spans="1:9" s="2" customFormat="1" ht="72.599999999999994" customHeight="1" x14ac:dyDescent="0.25">
      <c r="A2" s="199" t="s">
        <v>505</v>
      </c>
      <c r="B2" s="199"/>
      <c r="C2" s="199"/>
      <c r="D2" s="199"/>
      <c r="E2" s="199"/>
      <c r="F2" s="199"/>
      <c r="G2" s="199"/>
      <c r="H2" s="199"/>
      <c r="I2" s="199"/>
    </row>
    <row r="3" spans="1:9" s="2" customFormat="1" ht="15" customHeight="1" x14ac:dyDescent="0.25">
      <c r="A3" s="57"/>
      <c r="B3" s="59"/>
      <c r="C3" s="60"/>
      <c r="D3" s="60"/>
      <c r="E3" s="60"/>
      <c r="F3" s="60"/>
      <c r="G3" s="60"/>
      <c r="H3" s="60"/>
      <c r="I3" s="57"/>
    </row>
    <row r="4" spans="1:9" s="58" customFormat="1" ht="45.75" customHeight="1" x14ac:dyDescent="0.2">
      <c r="A4" s="200" t="s">
        <v>1</v>
      </c>
      <c r="B4" s="201" t="s">
        <v>2</v>
      </c>
      <c r="C4" s="200" t="s">
        <v>3</v>
      </c>
      <c r="D4" s="200" t="s">
        <v>4</v>
      </c>
      <c r="E4" s="200"/>
      <c r="F4" s="200"/>
      <c r="G4" s="200" t="s">
        <v>5</v>
      </c>
      <c r="H4" s="200"/>
      <c r="I4" s="200"/>
    </row>
    <row r="5" spans="1:9" s="58" customFormat="1" ht="67.5" customHeight="1" x14ac:dyDescent="0.2">
      <c r="A5" s="200"/>
      <c r="B5" s="202"/>
      <c r="C5" s="200"/>
      <c r="D5" s="62" t="s">
        <v>282</v>
      </c>
      <c r="E5" s="62" t="s">
        <v>283</v>
      </c>
      <c r="F5" s="62" t="s">
        <v>284</v>
      </c>
      <c r="G5" s="62" t="s">
        <v>282</v>
      </c>
      <c r="H5" s="62" t="s">
        <v>283</v>
      </c>
      <c r="I5" s="25" t="s">
        <v>285</v>
      </c>
    </row>
    <row r="6" spans="1:9" s="2" customFormat="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61">
        <v>7</v>
      </c>
      <c r="H6" s="61">
        <v>8</v>
      </c>
      <c r="I6" s="53">
        <v>9</v>
      </c>
    </row>
    <row r="7" spans="1:9" s="2" customFormat="1" ht="13.9" customHeight="1" x14ac:dyDescent="0.25">
      <c r="A7" s="205" t="s">
        <v>250</v>
      </c>
      <c r="B7" s="171"/>
      <c r="C7" s="171"/>
      <c r="D7" s="171"/>
      <c r="E7" s="171"/>
      <c r="F7" s="171"/>
      <c r="G7" s="171"/>
      <c r="H7" s="171"/>
      <c r="I7" s="172"/>
    </row>
    <row r="8" spans="1:9" s="2" customFormat="1" ht="60" x14ac:dyDescent="0.25">
      <c r="A8" s="150">
        <v>1</v>
      </c>
      <c r="B8" s="149" t="s">
        <v>251</v>
      </c>
      <c r="C8" s="148" t="s">
        <v>14</v>
      </c>
      <c r="D8" s="151">
        <v>3653</v>
      </c>
      <c r="E8" s="151">
        <v>3658</v>
      </c>
      <c r="F8" s="151">
        <v>3607</v>
      </c>
      <c r="G8" s="160">
        <v>2233289.35</v>
      </c>
      <c r="H8" s="155">
        <v>2332169.98</v>
      </c>
      <c r="I8" s="155">
        <v>2332169.98</v>
      </c>
    </row>
    <row r="9" spans="1:9" s="2" customFormat="1" ht="75" x14ac:dyDescent="0.25">
      <c r="A9" s="150">
        <v>2</v>
      </c>
      <c r="B9" s="149" t="s">
        <v>252</v>
      </c>
      <c r="C9" s="148" t="s">
        <v>14</v>
      </c>
      <c r="D9" s="151">
        <v>9559</v>
      </c>
      <c r="E9" s="151">
        <v>9517</v>
      </c>
      <c r="F9" s="151">
        <v>9677</v>
      </c>
      <c r="G9" s="160">
        <v>1508043.3</v>
      </c>
      <c r="H9" s="155">
        <v>1660382.42</v>
      </c>
      <c r="I9" s="155">
        <v>1660382.42</v>
      </c>
    </row>
    <row r="10" spans="1:9" s="2" customFormat="1" ht="45" x14ac:dyDescent="0.25">
      <c r="A10" s="147">
        <v>3</v>
      </c>
      <c r="B10" s="152" t="s">
        <v>79</v>
      </c>
      <c r="C10" s="148" t="s">
        <v>14</v>
      </c>
      <c r="D10" s="151">
        <v>427</v>
      </c>
      <c r="E10" s="151">
        <v>460</v>
      </c>
      <c r="F10" s="151">
        <v>513</v>
      </c>
      <c r="G10" s="160">
        <v>478381.5</v>
      </c>
      <c r="H10" s="155">
        <v>496849.1</v>
      </c>
      <c r="I10" s="155">
        <v>496849.1</v>
      </c>
    </row>
    <row r="11" spans="1:9" s="2" customFormat="1" ht="45" x14ac:dyDescent="0.25">
      <c r="A11" s="156">
        <v>4</v>
      </c>
      <c r="B11" s="157" t="s">
        <v>424</v>
      </c>
      <c r="C11" s="158" t="s">
        <v>425</v>
      </c>
      <c r="D11" s="159">
        <v>0</v>
      </c>
      <c r="E11" s="159">
        <v>21183</v>
      </c>
      <c r="F11" s="159">
        <v>22257</v>
      </c>
      <c r="G11" s="160">
        <v>0</v>
      </c>
      <c r="H11" s="160">
        <v>17370.46</v>
      </c>
      <c r="I11" s="160">
        <v>17370.46</v>
      </c>
    </row>
    <row r="12" spans="1:9" s="2" customFormat="1" ht="45" x14ac:dyDescent="0.25">
      <c r="A12" s="156">
        <v>5</v>
      </c>
      <c r="B12" s="157" t="s">
        <v>426</v>
      </c>
      <c r="C12" s="158" t="s">
        <v>92</v>
      </c>
      <c r="D12" s="159">
        <v>0</v>
      </c>
      <c r="E12" s="159">
        <v>4524</v>
      </c>
      <c r="F12" s="159">
        <v>4749</v>
      </c>
      <c r="G12" s="160">
        <v>0</v>
      </c>
      <c r="H12" s="160">
        <v>9697.41</v>
      </c>
      <c r="I12" s="160">
        <v>9697.41</v>
      </c>
    </row>
    <row r="13" spans="1:9" s="2" customFormat="1" ht="45" x14ac:dyDescent="0.25">
      <c r="A13" s="156">
        <v>6</v>
      </c>
      <c r="B13" s="157" t="s">
        <v>427</v>
      </c>
      <c r="C13" s="158" t="s">
        <v>428</v>
      </c>
      <c r="D13" s="159">
        <v>0</v>
      </c>
      <c r="E13" s="159">
        <v>210</v>
      </c>
      <c r="F13" s="159">
        <v>210</v>
      </c>
      <c r="G13" s="160">
        <v>0</v>
      </c>
      <c r="H13" s="160">
        <v>1346.63</v>
      </c>
      <c r="I13" s="160">
        <v>1346.63</v>
      </c>
    </row>
    <row r="14" spans="1:9" s="2" customFormat="1" ht="60" x14ac:dyDescent="0.25">
      <c r="A14" s="156">
        <v>7</v>
      </c>
      <c r="B14" s="157" t="s">
        <v>429</v>
      </c>
      <c r="C14" s="158" t="s">
        <v>428</v>
      </c>
      <c r="D14" s="159">
        <v>0</v>
      </c>
      <c r="E14" s="159">
        <v>189</v>
      </c>
      <c r="F14" s="159">
        <v>189</v>
      </c>
      <c r="G14" s="160">
        <v>0</v>
      </c>
      <c r="H14" s="160">
        <v>1239.95</v>
      </c>
      <c r="I14" s="160">
        <v>1239.95</v>
      </c>
    </row>
    <row r="15" spans="1:9" s="2" customFormat="1" ht="60" x14ac:dyDescent="0.25">
      <c r="A15" s="156">
        <v>8</v>
      </c>
      <c r="B15" s="157" t="s">
        <v>430</v>
      </c>
      <c r="C15" s="158" t="s">
        <v>428</v>
      </c>
      <c r="D15" s="159">
        <v>0</v>
      </c>
      <c r="E15" s="159">
        <v>189</v>
      </c>
      <c r="F15" s="159">
        <v>189</v>
      </c>
      <c r="G15" s="160">
        <v>0</v>
      </c>
      <c r="H15" s="160">
        <v>1239.95</v>
      </c>
      <c r="I15" s="160">
        <v>1239.95</v>
      </c>
    </row>
    <row r="16" spans="1:9" s="2" customFormat="1" ht="60" x14ac:dyDescent="0.25">
      <c r="A16" s="147">
        <v>9</v>
      </c>
      <c r="B16" s="153" t="s">
        <v>431</v>
      </c>
      <c r="C16" s="154" t="s">
        <v>14</v>
      </c>
      <c r="D16" s="151">
        <v>0</v>
      </c>
      <c r="E16" s="151">
        <v>17</v>
      </c>
      <c r="F16" s="151">
        <v>17</v>
      </c>
      <c r="G16" s="160">
        <v>0</v>
      </c>
      <c r="H16" s="155">
        <v>618.79999999999995</v>
      </c>
      <c r="I16" s="155">
        <v>618.79999999999995</v>
      </c>
    </row>
    <row r="17" spans="1:11" s="2" customFormat="1" ht="60" x14ac:dyDescent="0.25">
      <c r="A17" s="147">
        <v>10</v>
      </c>
      <c r="B17" s="153" t="s">
        <v>432</v>
      </c>
      <c r="C17" s="154" t="s">
        <v>92</v>
      </c>
      <c r="D17" s="151">
        <v>0</v>
      </c>
      <c r="E17" s="151">
        <v>4126</v>
      </c>
      <c r="F17" s="151">
        <v>4126</v>
      </c>
      <c r="G17" s="160">
        <v>0</v>
      </c>
      <c r="H17" s="155">
        <v>6659.62</v>
      </c>
      <c r="I17" s="155">
        <v>6659.62</v>
      </c>
    </row>
    <row r="18" spans="1:11" s="2" customFormat="1" x14ac:dyDescent="0.25">
      <c r="A18" s="64"/>
      <c r="B18" s="84" t="s">
        <v>0</v>
      </c>
      <c r="C18" s="65" t="s">
        <v>8</v>
      </c>
      <c r="D18" s="65"/>
      <c r="E18" s="65"/>
      <c r="F18" s="65" t="s">
        <v>8</v>
      </c>
      <c r="G18" s="90">
        <f>SUM(G8:G17)</f>
        <v>4219714.1500000004</v>
      </c>
      <c r="H18" s="90">
        <f t="shared" ref="H18:I18" si="0">SUM(H8:H17)</f>
        <v>4527574.32</v>
      </c>
      <c r="I18" s="90">
        <f t="shared" si="0"/>
        <v>4527574.32</v>
      </c>
    </row>
    <row r="19" spans="1:11" ht="14.45" customHeight="1" x14ac:dyDescent="0.25">
      <c r="A19" s="182" t="s">
        <v>265</v>
      </c>
      <c r="B19" s="183"/>
      <c r="C19" s="183"/>
      <c r="D19" s="183"/>
      <c r="E19" s="183"/>
      <c r="F19" s="183"/>
      <c r="G19" s="183"/>
      <c r="H19" s="183"/>
      <c r="I19" s="184"/>
    </row>
    <row r="20" spans="1:11" ht="47.25" x14ac:dyDescent="0.25">
      <c r="A20" s="82">
        <v>1</v>
      </c>
      <c r="B20" s="100" t="s">
        <v>301</v>
      </c>
      <c r="C20" s="67" t="s">
        <v>302</v>
      </c>
      <c r="D20" s="93">
        <v>118665</v>
      </c>
      <c r="E20" s="93">
        <v>119964</v>
      </c>
      <c r="F20" s="93">
        <v>119964</v>
      </c>
      <c r="G20" s="92">
        <v>19436.400000000001</v>
      </c>
      <c r="H20" s="92">
        <v>19463.400000000001</v>
      </c>
      <c r="I20" s="92">
        <v>19463.400000000001</v>
      </c>
    </row>
    <row r="21" spans="1:11" ht="31.5" x14ac:dyDescent="0.25">
      <c r="A21" s="82">
        <v>2</v>
      </c>
      <c r="B21" s="101" t="s">
        <v>303</v>
      </c>
      <c r="C21" s="67" t="s">
        <v>302</v>
      </c>
      <c r="D21" s="93">
        <v>59312</v>
      </c>
      <c r="E21" s="93">
        <v>59392</v>
      </c>
      <c r="F21" s="93">
        <v>59392</v>
      </c>
      <c r="G21" s="92">
        <v>9797.5</v>
      </c>
      <c r="H21" s="92">
        <v>9840.5</v>
      </c>
      <c r="I21" s="92">
        <v>9840.5</v>
      </c>
    </row>
    <row r="22" spans="1:11" ht="94.5" x14ac:dyDescent="0.25">
      <c r="A22" s="82">
        <v>3</v>
      </c>
      <c r="B22" s="101" t="s">
        <v>304</v>
      </c>
      <c r="C22" s="67" t="s">
        <v>302</v>
      </c>
      <c r="D22" s="93">
        <v>4160</v>
      </c>
      <c r="E22" s="93">
        <v>4160</v>
      </c>
      <c r="F22" s="93">
        <v>4160</v>
      </c>
      <c r="G22" s="92">
        <v>736.8</v>
      </c>
      <c r="H22" s="92">
        <v>736.8</v>
      </c>
      <c r="I22" s="92">
        <v>736.8</v>
      </c>
    </row>
    <row r="23" spans="1:11" x14ac:dyDescent="0.25">
      <c r="A23" s="68"/>
      <c r="B23" s="69" t="s">
        <v>0</v>
      </c>
      <c r="C23" s="68"/>
      <c r="D23" s="17"/>
      <c r="E23" s="17"/>
      <c r="F23" s="17" t="s">
        <v>8</v>
      </c>
      <c r="G23" s="90">
        <f>G20+G21+G22</f>
        <v>29970.7</v>
      </c>
      <c r="H23" s="90">
        <f t="shared" ref="H23:I23" si="1">H20+H21+H22</f>
        <v>30040.7</v>
      </c>
      <c r="I23" s="90">
        <f t="shared" si="1"/>
        <v>30040.7</v>
      </c>
    </row>
    <row r="24" spans="1:11" ht="14.45" customHeight="1" x14ac:dyDescent="0.25">
      <c r="A24" s="192" t="s">
        <v>238</v>
      </c>
      <c r="B24" s="192"/>
      <c r="C24" s="192"/>
      <c r="D24" s="192"/>
      <c r="E24" s="192"/>
      <c r="F24" s="192"/>
      <c r="G24" s="192"/>
      <c r="H24" s="192"/>
      <c r="I24" s="192"/>
    </row>
    <row r="25" spans="1:11" ht="75" x14ac:dyDescent="0.25">
      <c r="A25" s="102"/>
      <c r="B25" s="107" t="s">
        <v>319</v>
      </c>
      <c r="C25" s="108"/>
      <c r="D25" s="109"/>
      <c r="E25" s="109"/>
      <c r="F25" s="109"/>
      <c r="G25" s="206">
        <v>51382.5</v>
      </c>
      <c r="H25" s="206">
        <v>51382.5</v>
      </c>
      <c r="I25" s="206">
        <v>51382.5</v>
      </c>
    </row>
    <row r="26" spans="1:11" x14ac:dyDescent="0.25">
      <c r="A26" s="102">
        <v>1</v>
      </c>
      <c r="B26" s="107" t="s">
        <v>320</v>
      </c>
      <c r="C26" s="104" t="s">
        <v>57</v>
      </c>
      <c r="D26" s="110">
        <v>30000</v>
      </c>
      <c r="E26" s="110">
        <v>30000</v>
      </c>
      <c r="F26" s="110">
        <v>53159</v>
      </c>
      <c r="G26" s="206"/>
      <c r="H26" s="206"/>
      <c r="I26" s="206"/>
      <c r="J26" s="111"/>
      <c r="K26" s="111"/>
    </row>
    <row r="27" spans="1:11" x14ac:dyDescent="0.25">
      <c r="A27" s="102">
        <v>2</v>
      </c>
      <c r="B27" s="107" t="s">
        <v>321</v>
      </c>
      <c r="C27" s="104" t="s">
        <v>57</v>
      </c>
      <c r="D27" s="110">
        <v>8</v>
      </c>
      <c r="E27" s="110">
        <v>8</v>
      </c>
      <c r="F27" s="110">
        <v>9</v>
      </c>
      <c r="G27" s="206"/>
      <c r="H27" s="206"/>
      <c r="I27" s="206"/>
      <c r="J27" s="111"/>
      <c r="K27" s="111"/>
    </row>
    <row r="28" spans="1:11" x14ac:dyDescent="0.25">
      <c r="A28" s="102">
        <v>3</v>
      </c>
      <c r="B28" s="107" t="s">
        <v>322</v>
      </c>
      <c r="C28" s="104" t="s">
        <v>57</v>
      </c>
      <c r="D28" s="110">
        <v>5</v>
      </c>
      <c r="E28" s="110">
        <v>5</v>
      </c>
      <c r="F28" s="86">
        <v>5</v>
      </c>
      <c r="G28" s="206"/>
      <c r="H28" s="206"/>
      <c r="I28" s="206"/>
      <c r="J28" s="111"/>
      <c r="K28" s="111"/>
    </row>
    <row r="29" spans="1:11" ht="30" x14ac:dyDescent="0.25">
      <c r="A29" s="102">
        <v>4</v>
      </c>
      <c r="B29" s="107" t="s">
        <v>323</v>
      </c>
      <c r="C29" s="104" t="s">
        <v>57</v>
      </c>
      <c r="D29" s="110">
        <v>500</v>
      </c>
      <c r="E29" s="110">
        <v>500</v>
      </c>
      <c r="F29" s="110">
        <v>2946</v>
      </c>
      <c r="G29" s="206"/>
      <c r="H29" s="206"/>
      <c r="I29" s="206"/>
      <c r="J29" s="111"/>
      <c r="K29" s="111"/>
    </row>
    <row r="30" spans="1:11" x14ac:dyDescent="0.25">
      <c r="A30" s="68"/>
      <c r="B30" s="69" t="s">
        <v>0</v>
      </c>
      <c r="C30" s="68"/>
      <c r="D30" s="17"/>
      <c r="E30" s="17"/>
      <c r="F30" s="17" t="s">
        <v>8</v>
      </c>
      <c r="G30" s="90">
        <f>G25</f>
        <v>51382.5</v>
      </c>
      <c r="H30" s="90">
        <f t="shared" ref="H30:I30" si="2">H25</f>
        <v>51382.5</v>
      </c>
      <c r="I30" s="90">
        <f t="shared" si="2"/>
        <v>51382.5</v>
      </c>
    </row>
    <row r="31" spans="1:11" ht="14.45" customHeight="1" x14ac:dyDescent="0.25">
      <c r="A31" s="182" t="s">
        <v>203</v>
      </c>
      <c r="B31" s="183"/>
      <c r="C31" s="183"/>
      <c r="D31" s="183"/>
      <c r="E31" s="183"/>
      <c r="F31" s="183"/>
      <c r="G31" s="183"/>
      <c r="H31" s="183"/>
      <c r="I31" s="184"/>
    </row>
    <row r="32" spans="1:11" ht="189" x14ac:dyDescent="0.25">
      <c r="A32" s="82">
        <v>1</v>
      </c>
      <c r="B32" s="134" t="s">
        <v>499</v>
      </c>
      <c r="C32" s="63" t="s">
        <v>205</v>
      </c>
      <c r="D32" s="93">
        <v>1</v>
      </c>
      <c r="E32" s="93">
        <v>1</v>
      </c>
      <c r="F32" s="93">
        <v>1</v>
      </c>
      <c r="G32" s="92">
        <v>4595</v>
      </c>
      <c r="H32" s="92">
        <v>4595</v>
      </c>
      <c r="I32" s="92">
        <v>4595</v>
      </c>
    </row>
    <row r="33" spans="1:9" ht="94.5" x14ac:dyDescent="0.25">
      <c r="A33" s="82">
        <v>2</v>
      </c>
      <c r="B33" s="134" t="s">
        <v>500</v>
      </c>
      <c r="C33" s="63" t="s">
        <v>205</v>
      </c>
      <c r="D33" s="92" t="s">
        <v>433</v>
      </c>
      <c r="E33" s="92" t="s">
        <v>433</v>
      </c>
      <c r="F33" s="92" t="s">
        <v>433</v>
      </c>
      <c r="G33" s="92">
        <v>15205</v>
      </c>
      <c r="H33" s="92">
        <v>15205</v>
      </c>
      <c r="I33" s="92">
        <v>15205</v>
      </c>
    </row>
    <row r="34" spans="1:9" ht="78.75" x14ac:dyDescent="0.25">
      <c r="A34" s="82">
        <v>3</v>
      </c>
      <c r="B34" s="134" t="s">
        <v>501</v>
      </c>
      <c r="C34" s="63" t="s">
        <v>205</v>
      </c>
      <c r="D34" s="13" t="s">
        <v>433</v>
      </c>
      <c r="E34" s="13" t="s">
        <v>433</v>
      </c>
      <c r="F34" s="13" t="s">
        <v>433</v>
      </c>
      <c r="G34" s="92">
        <v>1945</v>
      </c>
      <c r="H34" s="92">
        <v>1945</v>
      </c>
      <c r="I34" s="92">
        <v>1945</v>
      </c>
    </row>
    <row r="35" spans="1:9" ht="94.5" x14ac:dyDescent="0.25">
      <c r="A35" s="82">
        <v>4</v>
      </c>
      <c r="B35" s="134" t="s">
        <v>502</v>
      </c>
      <c r="C35" s="63" t="s">
        <v>205</v>
      </c>
      <c r="D35" s="82">
        <v>1</v>
      </c>
      <c r="E35" s="82">
        <v>1</v>
      </c>
      <c r="F35" s="82">
        <v>1</v>
      </c>
      <c r="G35" s="63">
        <v>5657</v>
      </c>
      <c r="H35" s="63">
        <v>5657</v>
      </c>
      <c r="I35" s="63">
        <v>5657</v>
      </c>
    </row>
    <row r="36" spans="1:9" ht="78.75" x14ac:dyDescent="0.25">
      <c r="A36" s="82">
        <v>5</v>
      </c>
      <c r="B36" s="134" t="s">
        <v>503</v>
      </c>
      <c r="C36" s="63" t="s">
        <v>205</v>
      </c>
      <c r="D36" s="13" t="s">
        <v>433</v>
      </c>
      <c r="E36" s="13" t="s">
        <v>433</v>
      </c>
      <c r="F36" s="13" t="s">
        <v>433</v>
      </c>
      <c r="G36" s="63">
        <v>1104</v>
      </c>
      <c r="H36" s="63">
        <v>1104</v>
      </c>
      <c r="I36" s="63">
        <v>1104</v>
      </c>
    </row>
    <row r="37" spans="1:9" x14ac:dyDescent="0.25">
      <c r="A37" s="68"/>
      <c r="B37" s="69" t="s">
        <v>0</v>
      </c>
      <c r="C37" s="68" t="s">
        <v>8</v>
      </c>
      <c r="D37" s="17"/>
      <c r="E37" s="17"/>
      <c r="F37" s="17" t="s">
        <v>8</v>
      </c>
      <c r="G37" s="90">
        <f>SUM(G32:G36)</f>
        <v>28506</v>
      </c>
      <c r="H37" s="90">
        <f t="shared" ref="H37:I37" si="3">SUM(H32:H36)</f>
        <v>28506</v>
      </c>
      <c r="I37" s="90">
        <f t="shared" si="3"/>
        <v>28506</v>
      </c>
    </row>
    <row r="38" spans="1:9" ht="14.45" customHeight="1" x14ac:dyDescent="0.25">
      <c r="A38" s="182" t="s">
        <v>267</v>
      </c>
      <c r="B38" s="183"/>
      <c r="C38" s="183"/>
      <c r="D38" s="183"/>
      <c r="E38" s="183"/>
      <c r="F38" s="183"/>
      <c r="G38" s="183"/>
      <c r="H38" s="183"/>
      <c r="I38" s="184"/>
    </row>
    <row r="39" spans="1:9" ht="63" x14ac:dyDescent="0.25">
      <c r="A39" s="82">
        <v>1</v>
      </c>
      <c r="B39" s="112" t="s">
        <v>324</v>
      </c>
      <c r="C39" s="113" t="s">
        <v>16</v>
      </c>
      <c r="D39" s="114">
        <v>255760</v>
      </c>
      <c r="E39" s="114">
        <v>256243</v>
      </c>
      <c r="F39" s="114">
        <v>256243</v>
      </c>
      <c r="G39" s="114">
        <v>47215</v>
      </c>
      <c r="H39" s="115">
        <v>45178.95</v>
      </c>
      <c r="I39" s="115">
        <v>45178.95</v>
      </c>
    </row>
    <row r="40" spans="1:9" ht="63" x14ac:dyDescent="0.25">
      <c r="A40" s="82">
        <v>2</v>
      </c>
      <c r="B40" s="112" t="s">
        <v>325</v>
      </c>
      <c r="C40" s="113" t="s">
        <v>16</v>
      </c>
      <c r="D40" s="114">
        <v>418271</v>
      </c>
      <c r="E40" s="114">
        <v>428160</v>
      </c>
      <c r="F40" s="114">
        <v>428160</v>
      </c>
      <c r="G40" s="114">
        <v>83666</v>
      </c>
      <c r="H40" s="115">
        <v>86799.4</v>
      </c>
      <c r="I40" s="115">
        <v>86799.4</v>
      </c>
    </row>
    <row r="41" spans="1:9" ht="78.75" x14ac:dyDescent="0.25">
      <c r="A41" s="82">
        <v>3</v>
      </c>
      <c r="B41" s="112" t="s">
        <v>326</v>
      </c>
      <c r="C41" s="113" t="s">
        <v>16</v>
      </c>
      <c r="D41" s="114">
        <v>823312</v>
      </c>
      <c r="E41" s="114">
        <v>860614</v>
      </c>
      <c r="F41" s="114">
        <v>860614</v>
      </c>
      <c r="G41" s="114">
        <v>158076</v>
      </c>
      <c r="H41" s="115">
        <v>166456.962</v>
      </c>
      <c r="I41" s="115">
        <v>166456.962</v>
      </c>
    </row>
    <row r="42" spans="1:9" ht="63" x14ac:dyDescent="0.25">
      <c r="A42" s="82">
        <v>4</v>
      </c>
      <c r="B42" s="112" t="s">
        <v>327</v>
      </c>
      <c r="C42" s="113" t="s">
        <v>16</v>
      </c>
      <c r="D42" s="114">
        <v>1397339</v>
      </c>
      <c r="E42" s="114">
        <v>1250127</v>
      </c>
      <c r="F42" s="114">
        <v>1250127</v>
      </c>
      <c r="G42" s="114">
        <v>74990</v>
      </c>
      <c r="H42" s="115">
        <v>68829.2</v>
      </c>
      <c r="I42" s="115">
        <v>68829.2</v>
      </c>
    </row>
    <row r="43" spans="1:9" ht="63" x14ac:dyDescent="0.25">
      <c r="A43" s="82">
        <v>5</v>
      </c>
      <c r="B43" s="112" t="s">
        <v>328</v>
      </c>
      <c r="C43" s="113" t="s">
        <v>16</v>
      </c>
      <c r="D43" s="114">
        <v>1553</v>
      </c>
      <c r="E43" s="114">
        <v>1681</v>
      </c>
      <c r="F43" s="114">
        <v>1681</v>
      </c>
      <c r="G43" s="114">
        <v>26475.863000000001</v>
      </c>
      <c r="H43" s="115">
        <v>27424.7</v>
      </c>
      <c r="I43" s="115">
        <v>27424.7</v>
      </c>
    </row>
    <row r="44" spans="1:9" ht="31.5" x14ac:dyDescent="0.25">
      <c r="A44" s="82">
        <v>6</v>
      </c>
      <c r="B44" s="112" t="s">
        <v>208</v>
      </c>
      <c r="C44" s="113" t="s">
        <v>209</v>
      </c>
      <c r="D44" s="114">
        <v>925390</v>
      </c>
      <c r="E44" s="114">
        <v>821741.5</v>
      </c>
      <c r="F44" s="114">
        <v>821741.5</v>
      </c>
      <c r="G44" s="114">
        <v>15777.9</v>
      </c>
      <c r="H44" s="115">
        <v>14010.681</v>
      </c>
      <c r="I44" s="115">
        <v>14010.681</v>
      </c>
    </row>
    <row r="45" spans="1:9" ht="63" x14ac:dyDescent="0.25">
      <c r="A45" s="82">
        <v>7</v>
      </c>
      <c r="B45" s="112" t="s">
        <v>329</v>
      </c>
      <c r="C45" s="113" t="s">
        <v>16</v>
      </c>
      <c r="D45" s="114">
        <v>17775</v>
      </c>
      <c r="E45" s="114">
        <v>19225</v>
      </c>
      <c r="F45" s="114">
        <v>19225</v>
      </c>
      <c r="G45" s="114">
        <v>30267</v>
      </c>
      <c r="H45" s="115">
        <v>30581.654999999999</v>
      </c>
      <c r="I45" s="115">
        <v>30581.654999999999</v>
      </c>
    </row>
    <row r="46" spans="1:9" ht="31.5" x14ac:dyDescent="0.25">
      <c r="A46" s="82">
        <v>8</v>
      </c>
      <c r="B46" s="112" t="s">
        <v>210</v>
      </c>
      <c r="C46" s="113" t="s">
        <v>16</v>
      </c>
      <c r="D46" s="114">
        <v>877181</v>
      </c>
      <c r="E46" s="114">
        <v>902523</v>
      </c>
      <c r="F46" s="114">
        <v>902523</v>
      </c>
      <c r="G46" s="114">
        <v>54138.720000000001</v>
      </c>
      <c r="H46" s="115">
        <v>55703.7</v>
      </c>
      <c r="I46" s="115">
        <v>55703.7</v>
      </c>
    </row>
    <row r="47" spans="1:9" ht="94.5" x14ac:dyDescent="0.25">
      <c r="A47" s="82">
        <v>9</v>
      </c>
      <c r="B47" s="112" t="s">
        <v>330</v>
      </c>
      <c r="C47" s="113" t="s">
        <v>16</v>
      </c>
      <c r="D47" s="114">
        <v>8000</v>
      </c>
      <c r="E47" s="114">
        <v>7637</v>
      </c>
      <c r="F47" s="114">
        <v>7637</v>
      </c>
      <c r="G47" s="114">
        <v>25522</v>
      </c>
      <c r="H47" s="115">
        <v>24635.7</v>
      </c>
      <c r="I47" s="115">
        <v>24635.7</v>
      </c>
    </row>
    <row r="48" spans="1:9" ht="78.75" x14ac:dyDescent="0.25">
      <c r="A48" s="82">
        <v>10</v>
      </c>
      <c r="B48" s="112" t="s">
        <v>331</v>
      </c>
      <c r="C48" s="113" t="s">
        <v>16</v>
      </c>
      <c r="D48" s="114">
        <v>7681</v>
      </c>
      <c r="E48" s="114">
        <v>7501</v>
      </c>
      <c r="F48" s="114">
        <v>7501</v>
      </c>
      <c r="G48" s="114">
        <v>1928</v>
      </c>
      <c r="H48" s="116">
        <v>1870</v>
      </c>
      <c r="I48" s="116">
        <v>1870</v>
      </c>
    </row>
    <row r="49" spans="1:9" ht="31.5" x14ac:dyDescent="0.25">
      <c r="A49" s="82">
        <v>11</v>
      </c>
      <c r="B49" s="112" t="s">
        <v>211</v>
      </c>
      <c r="C49" s="113" t="s">
        <v>16</v>
      </c>
      <c r="D49" s="114">
        <v>2</v>
      </c>
      <c r="E49" s="114">
        <v>2</v>
      </c>
      <c r="F49" s="114">
        <v>2</v>
      </c>
      <c r="G49" s="114">
        <v>700</v>
      </c>
      <c r="H49" s="117">
        <v>700</v>
      </c>
      <c r="I49" s="117">
        <v>700</v>
      </c>
    </row>
    <row r="50" spans="1:9" ht="47.25" x14ac:dyDescent="0.25">
      <c r="A50" s="82">
        <v>12</v>
      </c>
      <c r="B50" s="112" t="s">
        <v>332</v>
      </c>
      <c r="C50" s="113" t="s">
        <v>16</v>
      </c>
      <c r="D50" s="114">
        <v>3000</v>
      </c>
      <c r="E50" s="114">
        <v>3000</v>
      </c>
      <c r="F50" s="114">
        <v>3000</v>
      </c>
      <c r="G50" s="114">
        <v>4283.8999999999996</v>
      </c>
      <c r="H50" s="115">
        <v>4283.8990000000003</v>
      </c>
      <c r="I50" s="115">
        <v>4283.8990000000003</v>
      </c>
    </row>
    <row r="51" spans="1:9" ht="47.25" x14ac:dyDescent="0.25">
      <c r="A51" s="82">
        <v>13</v>
      </c>
      <c r="B51" s="112" t="s">
        <v>333</v>
      </c>
      <c r="C51" s="113" t="s">
        <v>16</v>
      </c>
      <c r="D51" s="114">
        <v>0</v>
      </c>
      <c r="E51" s="114">
        <v>270</v>
      </c>
      <c r="F51" s="114">
        <v>270</v>
      </c>
      <c r="G51" s="114">
        <v>0</v>
      </c>
      <c r="H51" s="115">
        <v>1656.72</v>
      </c>
      <c r="I51" s="115">
        <v>1656.72</v>
      </c>
    </row>
    <row r="52" spans="1:9" ht="31.5" x14ac:dyDescent="0.25">
      <c r="A52" s="82">
        <v>14</v>
      </c>
      <c r="B52" s="112" t="s">
        <v>334</v>
      </c>
      <c r="C52" s="113" t="s">
        <v>16</v>
      </c>
      <c r="D52" s="114">
        <v>116</v>
      </c>
      <c r="E52" s="114">
        <v>115</v>
      </c>
      <c r="F52" s="114">
        <v>115</v>
      </c>
      <c r="G52" s="114">
        <v>20.183</v>
      </c>
      <c r="H52" s="118">
        <v>20.009</v>
      </c>
      <c r="I52" s="118">
        <v>20.009</v>
      </c>
    </row>
    <row r="53" spans="1:9" ht="31.5" x14ac:dyDescent="0.25">
      <c r="A53" s="82">
        <v>15</v>
      </c>
      <c r="B53" s="112" t="s">
        <v>335</v>
      </c>
      <c r="C53" s="113" t="s">
        <v>16</v>
      </c>
      <c r="D53" s="114">
        <v>101</v>
      </c>
      <c r="E53" s="114">
        <v>118</v>
      </c>
      <c r="F53" s="114">
        <v>118</v>
      </c>
      <c r="G53" s="114">
        <v>442.2</v>
      </c>
      <c r="H53" s="118">
        <v>516.63499999999999</v>
      </c>
      <c r="I53" s="118">
        <v>516.63499999999999</v>
      </c>
    </row>
    <row r="54" spans="1:9" ht="47.25" x14ac:dyDescent="0.25">
      <c r="A54" s="82">
        <v>16</v>
      </c>
      <c r="B54" s="112" t="s">
        <v>213</v>
      </c>
      <c r="C54" s="113"/>
      <c r="D54" s="119"/>
      <c r="E54" s="119"/>
      <c r="F54" s="119"/>
      <c r="G54" s="120">
        <v>7758.36</v>
      </c>
      <c r="H54" s="121">
        <v>7758.36</v>
      </c>
      <c r="I54" s="121">
        <v>7758.36</v>
      </c>
    </row>
    <row r="55" spans="1:9" x14ac:dyDescent="0.25">
      <c r="A55" s="63"/>
      <c r="B55" s="69" t="s">
        <v>0</v>
      </c>
      <c r="C55" s="63"/>
      <c r="D55" s="71"/>
      <c r="E55" s="71"/>
      <c r="F55" s="71" t="s">
        <v>8</v>
      </c>
      <c r="G55" s="90">
        <f>SUM(G39:G54)</f>
        <v>531261.12600000005</v>
      </c>
      <c r="H55" s="90">
        <f>SUM(H39:H54)</f>
        <v>536426.57099999988</v>
      </c>
      <c r="I55" s="90">
        <f>SUM(I39:I54)</f>
        <v>536426.57099999988</v>
      </c>
    </row>
    <row r="56" spans="1:9" ht="14.45" customHeight="1" x14ac:dyDescent="0.25">
      <c r="A56" s="182" t="s">
        <v>214</v>
      </c>
      <c r="B56" s="183"/>
      <c r="C56" s="183"/>
      <c r="D56" s="183"/>
      <c r="E56" s="183"/>
      <c r="F56" s="183"/>
      <c r="G56" s="183"/>
      <c r="H56" s="183"/>
      <c r="I56" s="184"/>
    </row>
    <row r="57" spans="1:9" ht="90" x14ac:dyDescent="0.25">
      <c r="A57" s="82">
        <v>1</v>
      </c>
      <c r="B57" s="70" t="s">
        <v>309</v>
      </c>
      <c r="C57" s="72" t="s">
        <v>310</v>
      </c>
      <c r="D57" s="93">
        <v>40</v>
      </c>
      <c r="E57" s="82">
        <v>40</v>
      </c>
      <c r="F57" s="82">
        <v>45</v>
      </c>
      <c r="G57" s="106">
        <v>1962.74</v>
      </c>
      <c r="H57" s="106">
        <v>1962.74</v>
      </c>
      <c r="I57" s="106">
        <v>1962.74</v>
      </c>
    </row>
    <row r="58" spans="1:9" ht="45" x14ac:dyDescent="0.25">
      <c r="A58" s="82">
        <v>2</v>
      </c>
      <c r="B58" s="73" t="s">
        <v>312</v>
      </c>
      <c r="C58" s="72" t="s">
        <v>311</v>
      </c>
      <c r="D58" s="93">
        <v>200</v>
      </c>
      <c r="E58" s="93">
        <v>200</v>
      </c>
      <c r="F58" s="93">
        <v>215</v>
      </c>
      <c r="G58" s="106">
        <v>653.72</v>
      </c>
      <c r="H58" s="106">
        <v>653.72</v>
      </c>
      <c r="I58" s="106">
        <v>653.72</v>
      </c>
    </row>
    <row r="59" spans="1:9" ht="45" x14ac:dyDescent="0.25">
      <c r="A59" s="150">
        <v>3</v>
      </c>
      <c r="B59" s="73" t="s">
        <v>313</v>
      </c>
      <c r="C59" s="72" t="s">
        <v>311</v>
      </c>
      <c r="D59" s="93">
        <v>150</v>
      </c>
      <c r="E59" s="93">
        <v>150</v>
      </c>
      <c r="F59" s="93">
        <v>153</v>
      </c>
      <c r="G59" s="106">
        <v>735.42</v>
      </c>
      <c r="H59" s="106">
        <v>735.42</v>
      </c>
      <c r="I59" s="106">
        <v>735.42</v>
      </c>
    </row>
    <row r="60" spans="1:9" ht="45" x14ac:dyDescent="0.25">
      <c r="A60" s="150">
        <v>4</v>
      </c>
      <c r="B60" s="73" t="s">
        <v>223</v>
      </c>
      <c r="C60" s="72" t="s">
        <v>311</v>
      </c>
      <c r="D60" s="93">
        <v>300</v>
      </c>
      <c r="E60" s="93">
        <v>300</v>
      </c>
      <c r="F60" s="93">
        <v>308</v>
      </c>
      <c r="G60" s="106">
        <v>1459.85</v>
      </c>
      <c r="H60" s="106">
        <v>1459.85</v>
      </c>
      <c r="I60" s="106">
        <v>1459.85</v>
      </c>
    </row>
    <row r="61" spans="1:9" ht="45" x14ac:dyDescent="0.25">
      <c r="A61" s="150">
        <v>5</v>
      </c>
      <c r="B61" s="73" t="s">
        <v>224</v>
      </c>
      <c r="C61" s="72" t="s">
        <v>311</v>
      </c>
      <c r="D61" s="93">
        <v>300</v>
      </c>
      <c r="E61" s="93">
        <v>300</v>
      </c>
      <c r="F61" s="93">
        <v>312</v>
      </c>
      <c r="G61" s="106">
        <v>1946.5</v>
      </c>
      <c r="H61" s="106">
        <v>1946.5</v>
      </c>
      <c r="I61" s="106">
        <v>1946.5</v>
      </c>
    </row>
    <row r="62" spans="1:9" ht="45" x14ac:dyDescent="0.25">
      <c r="A62" s="150">
        <v>6</v>
      </c>
      <c r="B62" s="73" t="s">
        <v>226</v>
      </c>
      <c r="C62" s="72" t="s">
        <v>315</v>
      </c>
      <c r="D62" s="93">
        <v>50</v>
      </c>
      <c r="E62" s="93">
        <v>51.98433</v>
      </c>
      <c r="F62" s="93">
        <v>53.4</v>
      </c>
      <c r="G62" s="106">
        <v>81.12</v>
      </c>
      <c r="H62" s="106">
        <v>84.34</v>
      </c>
      <c r="I62" s="106">
        <v>84.34</v>
      </c>
    </row>
    <row r="63" spans="1:9" ht="45" x14ac:dyDescent="0.25">
      <c r="A63" s="150">
        <v>7</v>
      </c>
      <c r="B63" s="73" t="s">
        <v>228</v>
      </c>
      <c r="C63" s="72" t="s">
        <v>315</v>
      </c>
      <c r="D63" s="93">
        <v>50</v>
      </c>
      <c r="E63" s="93">
        <v>51.984319999999997</v>
      </c>
      <c r="F63" s="93">
        <v>52.8</v>
      </c>
      <c r="G63" s="106">
        <v>81.05</v>
      </c>
      <c r="H63" s="106">
        <v>84.27</v>
      </c>
      <c r="I63" s="106">
        <v>84.27</v>
      </c>
    </row>
    <row r="64" spans="1:9" ht="45" x14ac:dyDescent="0.25">
      <c r="A64" s="150">
        <v>8</v>
      </c>
      <c r="B64" s="73" t="s">
        <v>229</v>
      </c>
      <c r="C64" s="72" t="s">
        <v>314</v>
      </c>
      <c r="D64" s="93">
        <v>200</v>
      </c>
      <c r="E64" s="93">
        <v>200</v>
      </c>
      <c r="F64" s="93">
        <v>205</v>
      </c>
      <c r="G64" s="106">
        <v>81.040000000000006</v>
      </c>
      <c r="H64" s="106">
        <v>81.040000000000006</v>
      </c>
      <c r="I64" s="106">
        <v>81.040000000000006</v>
      </c>
    </row>
    <row r="65" spans="1:9" ht="75" x14ac:dyDescent="0.25">
      <c r="A65" s="150">
        <v>9</v>
      </c>
      <c r="B65" s="73" t="s">
        <v>316</v>
      </c>
      <c r="C65" s="72" t="s">
        <v>311</v>
      </c>
      <c r="D65" s="93">
        <v>2003176</v>
      </c>
      <c r="E65" s="93">
        <v>2003176</v>
      </c>
      <c r="F65" s="93">
        <v>2143620</v>
      </c>
      <c r="G65" s="106">
        <v>20752.900000000001</v>
      </c>
      <c r="H65" s="106">
        <v>20752.900000000001</v>
      </c>
      <c r="I65" s="106">
        <v>20752.900000000001</v>
      </c>
    </row>
    <row r="66" spans="1:9" ht="45" x14ac:dyDescent="0.25">
      <c r="A66" s="150">
        <v>10</v>
      </c>
      <c r="B66" s="73" t="s">
        <v>234</v>
      </c>
      <c r="C66" s="72" t="s">
        <v>311</v>
      </c>
      <c r="D66" s="93">
        <v>91650</v>
      </c>
      <c r="E66" s="93">
        <v>91650</v>
      </c>
      <c r="F66" s="93">
        <v>110275</v>
      </c>
      <c r="G66" s="106">
        <v>263.04000000000002</v>
      </c>
      <c r="H66" s="106">
        <v>263.04000000000002</v>
      </c>
      <c r="I66" s="106">
        <v>263.04000000000002</v>
      </c>
    </row>
    <row r="67" spans="1:9" ht="45" x14ac:dyDescent="0.25">
      <c r="A67" s="150">
        <v>11</v>
      </c>
      <c r="B67" s="73" t="s">
        <v>234</v>
      </c>
      <c r="C67" s="72" t="s">
        <v>315</v>
      </c>
      <c r="D67" s="93">
        <v>30</v>
      </c>
      <c r="E67" s="93">
        <v>30</v>
      </c>
      <c r="F67" s="93">
        <v>30.9</v>
      </c>
      <c r="G67" s="106">
        <v>3895.69</v>
      </c>
      <c r="H67" s="106">
        <v>3895.69</v>
      </c>
      <c r="I67" s="106">
        <v>3895.69</v>
      </c>
    </row>
    <row r="68" spans="1:9" ht="75" x14ac:dyDescent="0.25">
      <c r="A68" s="150">
        <v>12</v>
      </c>
      <c r="B68" s="73" t="s">
        <v>236</v>
      </c>
      <c r="C68" s="72" t="s">
        <v>311</v>
      </c>
      <c r="D68" s="93">
        <v>90000</v>
      </c>
      <c r="E68" s="151">
        <v>96000</v>
      </c>
      <c r="F68" s="93">
        <v>95957</v>
      </c>
      <c r="G68" s="106">
        <v>14746.5</v>
      </c>
      <c r="H68" s="106">
        <v>15722.55</v>
      </c>
      <c r="I68" s="106">
        <v>15722.55</v>
      </c>
    </row>
    <row r="69" spans="1:9" ht="90" x14ac:dyDescent="0.25">
      <c r="A69" s="150">
        <v>13</v>
      </c>
      <c r="B69" s="73" t="s">
        <v>317</v>
      </c>
      <c r="C69" s="72" t="s">
        <v>311</v>
      </c>
      <c r="D69" s="93">
        <v>550</v>
      </c>
      <c r="E69" s="93">
        <v>1050</v>
      </c>
      <c r="F69" s="93">
        <v>1188</v>
      </c>
      <c r="G69" s="106">
        <v>3225.55</v>
      </c>
      <c r="H69" s="106">
        <v>6157.87</v>
      </c>
      <c r="I69" s="106">
        <v>6157.87</v>
      </c>
    </row>
    <row r="70" spans="1:9" ht="90" x14ac:dyDescent="0.25">
      <c r="A70" s="150">
        <v>14</v>
      </c>
      <c r="B70" s="73" t="s">
        <v>318</v>
      </c>
      <c r="C70" s="72" t="s">
        <v>311</v>
      </c>
      <c r="D70" s="93">
        <v>500</v>
      </c>
      <c r="E70" s="93">
        <v>0</v>
      </c>
      <c r="F70" s="93">
        <v>0</v>
      </c>
      <c r="G70" s="106">
        <v>2932.32</v>
      </c>
      <c r="H70" s="106">
        <v>0</v>
      </c>
      <c r="I70" s="106">
        <v>0</v>
      </c>
    </row>
    <row r="71" spans="1:9" ht="45" x14ac:dyDescent="0.25">
      <c r="A71" s="150">
        <v>15</v>
      </c>
      <c r="B71" s="73" t="s">
        <v>237</v>
      </c>
      <c r="C71" s="72"/>
      <c r="D71" s="93"/>
      <c r="E71" s="93"/>
      <c r="F71" s="93"/>
      <c r="G71" s="106">
        <v>4.8600000000000003</v>
      </c>
      <c r="H71" s="106">
        <v>4.8600000000000003</v>
      </c>
      <c r="I71" s="106">
        <v>4.8600000000000003</v>
      </c>
    </row>
    <row r="72" spans="1:9" x14ac:dyDescent="0.25">
      <c r="A72" s="68"/>
      <c r="B72" s="69" t="s">
        <v>0</v>
      </c>
      <c r="C72" s="68"/>
      <c r="D72" s="17"/>
      <c r="E72" s="17"/>
      <c r="F72" s="17" t="s">
        <v>8</v>
      </c>
      <c r="G72" s="90">
        <f>G71+G70+G69+G68+G67+G66+G65+G64+G63+G62+G61+G60+G59+G58+G57</f>
        <v>52822.3</v>
      </c>
      <c r="H72" s="90">
        <f t="shared" ref="H72:I72" si="4">H71+H70+H69+H68+H67+H66+H65+H64+H63+H62+H61+H60+H59+H58+H57</f>
        <v>53804.789999999994</v>
      </c>
      <c r="I72" s="90">
        <f t="shared" si="4"/>
        <v>53804.789999999994</v>
      </c>
    </row>
    <row r="73" spans="1:9" ht="14.45" customHeight="1" x14ac:dyDescent="0.25">
      <c r="A73" s="182" t="s">
        <v>12</v>
      </c>
      <c r="B73" s="183"/>
      <c r="C73" s="183"/>
      <c r="D73" s="183"/>
      <c r="E73" s="183"/>
      <c r="F73" s="183"/>
      <c r="G73" s="183"/>
      <c r="H73" s="183"/>
      <c r="I73" s="184"/>
    </row>
    <row r="74" spans="1:9" x14ac:dyDescent="0.25">
      <c r="A74" s="195">
        <v>1</v>
      </c>
      <c r="B74" s="197" t="s">
        <v>41</v>
      </c>
      <c r="C74" s="72" t="s">
        <v>14</v>
      </c>
      <c r="D74" s="93">
        <v>140</v>
      </c>
      <c r="E74" s="93">
        <v>140</v>
      </c>
      <c r="F74" s="93">
        <v>140</v>
      </c>
      <c r="G74" s="203">
        <v>744.09199999999998</v>
      </c>
      <c r="H74" s="203">
        <v>744.09199999999998</v>
      </c>
      <c r="I74" s="203">
        <v>744.09199999999998</v>
      </c>
    </row>
    <row r="75" spans="1:9" x14ac:dyDescent="0.25">
      <c r="A75" s="196"/>
      <c r="B75" s="198"/>
      <c r="C75" s="72" t="s">
        <v>57</v>
      </c>
      <c r="D75" s="93">
        <v>78</v>
      </c>
      <c r="E75" s="93">
        <v>78</v>
      </c>
      <c r="F75" s="93">
        <v>78</v>
      </c>
      <c r="G75" s="204"/>
      <c r="H75" s="204"/>
      <c r="I75" s="204"/>
    </row>
    <row r="76" spans="1:9" ht="30" x14ac:dyDescent="0.25">
      <c r="A76" s="82">
        <v>2</v>
      </c>
      <c r="B76" s="73" t="s">
        <v>394</v>
      </c>
      <c r="C76" s="72" t="s">
        <v>14</v>
      </c>
      <c r="D76" s="93">
        <v>250</v>
      </c>
      <c r="E76" s="93">
        <v>250</v>
      </c>
      <c r="F76" s="93">
        <v>250</v>
      </c>
      <c r="G76" s="106">
        <v>87851.145999999993</v>
      </c>
      <c r="H76" s="106">
        <v>100735.746</v>
      </c>
      <c r="I76" s="106">
        <v>100735.746</v>
      </c>
    </row>
    <row r="77" spans="1:9" ht="30" x14ac:dyDescent="0.25">
      <c r="A77" s="82">
        <v>3</v>
      </c>
      <c r="B77" s="73" t="s">
        <v>395</v>
      </c>
      <c r="C77" s="72" t="s">
        <v>14</v>
      </c>
      <c r="D77" s="93">
        <v>25</v>
      </c>
      <c r="E77" s="93">
        <v>25</v>
      </c>
      <c r="F77" s="93">
        <v>25</v>
      </c>
      <c r="G77" s="106">
        <v>6653.098</v>
      </c>
      <c r="H77" s="106">
        <v>7628.8680000000004</v>
      </c>
      <c r="I77" s="106">
        <v>7628.8680000000004</v>
      </c>
    </row>
    <row r="78" spans="1:9" ht="45" x14ac:dyDescent="0.25">
      <c r="A78" s="82">
        <v>4</v>
      </c>
      <c r="B78" s="73" t="s">
        <v>19</v>
      </c>
      <c r="C78" s="72" t="s">
        <v>314</v>
      </c>
      <c r="D78" s="93">
        <v>3</v>
      </c>
      <c r="E78" s="93">
        <v>3</v>
      </c>
      <c r="F78" s="93">
        <v>3</v>
      </c>
      <c r="G78" s="106">
        <v>300</v>
      </c>
      <c r="H78" s="106">
        <v>330.34500000000003</v>
      </c>
      <c r="I78" s="106">
        <v>330.34500000000003</v>
      </c>
    </row>
    <row r="79" spans="1:9" ht="45" x14ac:dyDescent="0.25">
      <c r="A79" s="82">
        <v>5</v>
      </c>
      <c r="B79" s="73" t="s">
        <v>45</v>
      </c>
      <c r="C79" s="72" t="s">
        <v>314</v>
      </c>
      <c r="D79" s="93">
        <v>1</v>
      </c>
      <c r="E79" s="93">
        <v>1</v>
      </c>
      <c r="F79" s="93">
        <v>1</v>
      </c>
      <c r="G79" s="106">
        <v>136.19499999999999</v>
      </c>
      <c r="H79" s="106">
        <v>105.85</v>
      </c>
      <c r="I79" s="106">
        <v>105.85</v>
      </c>
    </row>
    <row r="80" spans="1:9" ht="45" x14ac:dyDescent="0.25">
      <c r="A80" s="82">
        <v>6</v>
      </c>
      <c r="B80" s="73" t="s">
        <v>396</v>
      </c>
      <c r="C80" s="72" t="s">
        <v>314</v>
      </c>
      <c r="D80" s="93" t="s">
        <v>397</v>
      </c>
      <c r="E80" s="93" t="s">
        <v>398</v>
      </c>
      <c r="F80" s="93" t="s">
        <v>398</v>
      </c>
      <c r="G80" s="106">
        <v>1277.0999999999999</v>
      </c>
      <c r="H80" s="106">
        <v>1277.0999999999999</v>
      </c>
      <c r="I80" s="106">
        <v>1277.0999999999999</v>
      </c>
    </row>
    <row r="81" spans="1:9" x14ac:dyDescent="0.25">
      <c r="A81" s="82">
        <v>7</v>
      </c>
      <c r="B81" s="73" t="s">
        <v>378</v>
      </c>
      <c r="C81" s="72" t="s">
        <v>379</v>
      </c>
      <c r="D81" s="93">
        <v>170070.75</v>
      </c>
      <c r="E81" s="93">
        <v>138995.5</v>
      </c>
      <c r="F81" s="93">
        <v>138995.5</v>
      </c>
      <c r="G81" s="106">
        <v>240050.02</v>
      </c>
      <c r="H81" s="106">
        <v>242222.5</v>
      </c>
      <c r="I81" s="106">
        <v>242222.5</v>
      </c>
    </row>
    <row r="82" spans="1:9" ht="90" x14ac:dyDescent="0.25">
      <c r="A82" s="82">
        <v>8</v>
      </c>
      <c r="B82" s="73" t="s">
        <v>380</v>
      </c>
      <c r="C82" s="72" t="s">
        <v>314</v>
      </c>
      <c r="D82" s="93">
        <v>5</v>
      </c>
      <c r="E82" s="93">
        <v>5</v>
      </c>
      <c r="F82" s="93">
        <v>5</v>
      </c>
      <c r="G82" s="106">
        <v>458.07</v>
      </c>
      <c r="H82" s="106">
        <v>458.07</v>
      </c>
      <c r="I82" s="106">
        <v>458.07</v>
      </c>
    </row>
    <row r="83" spans="1:9" ht="90" x14ac:dyDescent="0.25">
      <c r="A83" s="82">
        <v>9</v>
      </c>
      <c r="B83" s="73" t="s">
        <v>381</v>
      </c>
      <c r="C83" s="72" t="s">
        <v>314</v>
      </c>
      <c r="D83" s="93">
        <v>5</v>
      </c>
      <c r="E83" s="93">
        <v>5</v>
      </c>
      <c r="F83" s="93">
        <v>5</v>
      </c>
      <c r="G83" s="106">
        <v>684</v>
      </c>
      <c r="H83" s="106">
        <v>384.01</v>
      </c>
      <c r="I83" s="106">
        <v>384.01</v>
      </c>
    </row>
    <row r="84" spans="1:9" ht="30" x14ac:dyDescent="0.25">
      <c r="A84" s="82">
        <v>10</v>
      </c>
      <c r="B84" s="73" t="s">
        <v>382</v>
      </c>
      <c r="C84" s="72" t="s">
        <v>314</v>
      </c>
      <c r="D84" s="93">
        <v>27</v>
      </c>
      <c r="E84" s="93">
        <v>27</v>
      </c>
      <c r="F84" s="93">
        <v>27</v>
      </c>
      <c r="G84" s="106">
        <v>833.88</v>
      </c>
      <c r="H84" s="106">
        <v>1133.8800000000001</v>
      </c>
      <c r="I84" s="106">
        <v>1133.8800000000001</v>
      </c>
    </row>
    <row r="85" spans="1:9" ht="60" x14ac:dyDescent="0.25">
      <c r="A85" s="82">
        <v>11</v>
      </c>
      <c r="B85" s="73" t="s">
        <v>383</v>
      </c>
      <c r="C85" s="72" t="s">
        <v>314</v>
      </c>
      <c r="D85" s="93">
        <v>37</v>
      </c>
      <c r="E85" s="93">
        <v>37</v>
      </c>
      <c r="F85" s="93">
        <v>37</v>
      </c>
      <c r="G85" s="106">
        <v>638.62</v>
      </c>
      <c r="H85" s="106">
        <v>638.62</v>
      </c>
      <c r="I85" s="106">
        <v>638.62</v>
      </c>
    </row>
    <row r="86" spans="1:9" ht="45" x14ac:dyDescent="0.25">
      <c r="A86" s="82">
        <v>12</v>
      </c>
      <c r="B86" s="73" t="s">
        <v>384</v>
      </c>
      <c r="C86" s="72" t="s">
        <v>314</v>
      </c>
      <c r="D86" s="93">
        <v>2186</v>
      </c>
      <c r="E86" s="93">
        <v>2080</v>
      </c>
      <c r="F86" s="93">
        <v>2080</v>
      </c>
      <c r="G86" s="106">
        <v>61355.9</v>
      </c>
      <c r="H86" s="106">
        <v>63241.1</v>
      </c>
      <c r="I86" s="106">
        <v>63241.1</v>
      </c>
    </row>
    <row r="87" spans="1:9" ht="45" x14ac:dyDescent="0.25">
      <c r="A87" s="82">
        <v>14</v>
      </c>
      <c r="B87" s="73" t="s">
        <v>385</v>
      </c>
      <c r="C87" s="72" t="s">
        <v>14</v>
      </c>
      <c r="D87" s="93">
        <v>380</v>
      </c>
      <c r="E87" s="93" t="s">
        <v>58</v>
      </c>
      <c r="F87" s="93">
        <v>380</v>
      </c>
      <c r="G87" s="106">
        <v>110548.20000000001</v>
      </c>
      <c r="H87" s="106">
        <v>140795.70000000001</v>
      </c>
      <c r="I87" s="106">
        <v>140795.70000000001</v>
      </c>
    </row>
    <row r="88" spans="1:9" ht="45" x14ac:dyDescent="0.25">
      <c r="A88" s="82">
        <v>15</v>
      </c>
      <c r="B88" s="73" t="s">
        <v>386</v>
      </c>
      <c r="C88" s="72" t="s">
        <v>16</v>
      </c>
      <c r="D88" s="93">
        <v>3</v>
      </c>
      <c r="E88" s="93">
        <v>4</v>
      </c>
      <c r="F88" s="93">
        <v>4</v>
      </c>
      <c r="G88" s="106">
        <v>383.91999999999996</v>
      </c>
      <c r="H88" s="106">
        <v>490.3</v>
      </c>
      <c r="I88" s="106">
        <v>490.3</v>
      </c>
    </row>
    <row r="89" spans="1:9" ht="45" x14ac:dyDescent="0.25">
      <c r="A89" s="82">
        <v>16</v>
      </c>
      <c r="B89" s="73" t="s">
        <v>386</v>
      </c>
      <c r="C89" s="72" t="s">
        <v>16</v>
      </c>
      <c r="D89" s="93">
        <v>32</v>
      </c>
      <c r="E89" s="93" t="s">
        <v>58</v>
      </c>
      <c r="F89" s="93">
        <v>32</v>
      </c>
      <c r="G89" s="106">
        <v>6412.6</v>
      </c>
      <c r="H89" s="106">
        <v>6329.8</v>
      </c>
      <c r="I89" s="106">
        <v>6329.8</v>
      </c>
    </row>
    <row r="90" spans="1:9" ht="30" x14ac:dyDescent="0.25">
      <c r="A90" s="82">
        <v>17</v>
      </c>
      <c r="B90" s="73" t="s">
        <v>387</v>
      </c>
      <c r="C90" s="72" t="s">
        <v>16</v>
      </c>
      <c r="D90" s="93">
        <v>26</v>
      </c>
      <c r="E90" s="93" t="s">
        <v>58</v>
      </c>
      <c r="F90" s="93">
        <v>26</v>
      </c>
      <c r="G90" s="106">
        <v>6531.7999999999993</v>
      </c>
      <c r="H90" s="106">
        <v>6508.2</v>
      </c>
      <c r="I90" s="106">
        <v>6508.2</v>
      </c>
    </row>
    <row r="91" spans="1:9" ht="90" x14ac:dyDescent="0.25">
      <c r="A91" s="82">
        <v>18</v>
      </c>
      <c r="B91" s="73" t="s">
        <v>388</v>
      </c>
      <c r="C91" s="72" t="s">
        <v>16</v>
      </c>
      <c r="D91" s="93">
        <v>2</v>
      </c>
      <c r="E91" s="93">
        <v>2</v>
      </c>
      <c r="F91" s="93">
        <v>2</v>
      </c>
      <c r="G91" s="106">
        <v>287.24</v>
      </c>
      <c r="H91" s="106">
        <v>287.24</v>
      </c>
      <c r="I91" s="106">
        <v>287.24</v>
      </c>
    </row>
    <row r="92" spans="1:9" ht="45" x14ac:dyDescent="0.25">
      <c r="A92" s="82">
        <v>19</v>
      </c>
      <c r="B92" s="73" t="s">
        <v>389</v>
      </c>
      <c r="C92" s="72" t="s">
        <v>16</v>
      </c>
      <c r="D92" s="93">
        <v>7</v>
      </c>
      <c r="E92" s="93">
        <v>7</v>
      </c>
      <c r="F92" s="93">
        <v>7</v>
      </c>
      <c r="G92" s="106">
        <v>775.77800000000002</v>
      </c>
      <c r="H92" s="106">
        <v>659.5</v>
      </c>
      <c r="I92" s="106">
        <v>659.51900000000001</v>
      </c>
    </row>
    <row r="93" spans="1:9" ht="45" x14ac:dyDescent="0.25">
      <c r="A93" s="82">
        <v>20</v>
      </c>
      <c r="B93" s="73" t="s">
        <v>390</v>
      </c>
      <c r="C93" s="72" t="s">
        <v>16</v>
      </c>
      <c r="D93" s="93">
        <v>3</v>
      </c>
      <c r="E93" s="93">
        <v>3</v>
      </c>
      <c r="F93" s="93">
        <v>3</v>
      </c>
      <c r="G93" s="106">
        <v>917.05700000000002</v>
      </c>
      <c r="H93" s="106">
        <v>919.4</v>
      </c>
      <c r="I93" s="106">
        <v>919.375</v>
      </c>
    </row>
    <row r="94" spans="1:9" ht="45" x14ac:dyDescent="0.25">
      <c r="A94" s="82">
        <v>21</v>
      </c>
      <c r="B94" s="73" t="s">
        <v>391</v>
      </c>
      <c r="C94" s="72" t="s">
        <v>16</v>
      </c>
      <c r="D94" s="93">
        <v>14</v>
      </c>
      <c r="E94" s="93">
        <v>14</v>
      </c>
      <c r="F94" s="93">
        <v>14</v>
      </c>
      <c r="G94" s="106">
        <v>1796.788</v>
      </c>
      <c r="H94" s="106">
        <v>1910.7</v>
      </c>
      <c r="I94" s="106">
        <v>1910.73</v>
      </c>
    </row>
    <row r="95" spans="1:9" ht="60" x14ac:dyDescent="0.25">
      <c r="A95" s="82">
        <v>22</v>
      </c>
      <c r="B95" s="73" t="s">
        <v>392</v>
      </c>
      <c r="C95" s="72" t="s">
        <v>16</v>
      </c>
      <c r="D95" s="93">
        <v>95</v>
      </c>
      <c r="E95" s="93">
        <v>95</v>
      </c>
      <c r="F95" s="93">
        <v>95</v>
      </c>
      <c r="G95" s="106">
        <v>50241.2</v>
      </c>
      <c r="H95" s="106">
        <v>51853.135999999999</v>
      </c>
      <c r="I95" s="106">
        <v>51853.135999999999</v>
      </c>
    </row>
    <row r="96" spans="1:9" ht="45" x14ac:dyDescent="0.25">
      <c r="A96" s="82">
        <v>23</v>
      </c>
      <c r="B96" s="73" t="s">
        <v>17</v>
      </c>
      <c r="C96" s="72" t="s">
        <v>16</v>
      </c>
      <c r="D96" s="93">
        <v>44</v>
      </c>
      <c r="E96" s="93">
        <v>40</v>
      </c>
      <c r="F96" s="93">
        <v>40</v>
      </c>
      <c r="G96" s="106">
        <v>26916.55</v>
      </c>
      <c r="H96" s="106">
        <v>25312.7</v>
      </c>
      <c r="I96" s="106">
        <v>25312.654999999999</v>
      </c>
    </row>
    <row r="97" spans="1:9" ht="45" x14ac:dyDescent="0.25">
      <c r="A97" s="82">
        <v>24</v>
      </c>
      <c r="B97" s="73" t="s">
        <v>42</v>
      </c>
      <c r="C97" s="72" t="s">
        <v>16</v>
      </c>
      <c r="D97" s="93">
        <v>0</v>
      </c>
      <c r="E97" s="93">
        <v>2</v>
      </c>
      <c r="F97" s="93">
        <v>2</v>
      </c>
      <c r="G97" s="106">
        <v>0</v>
      </c>
      <c r="H97" s="106">
        <v>69.372</v>
      </c>
      <c r="I97" s="106">
        <v>69.372</v>
      </c>
    </row>
    <row r="98" spans="1:9" ht="45" x14ac:dyDescent="0.25">
      <c r="A98" s="82">
        <v>25</v>
      </c>
      <c r="B98" s="73" t="s">
        <v>18</v>
      </c>
      <c r="C98" s="72" t="s">
        <v>16</v>
      </c>
      <c r="D98" s="93">
        <v>6</v>
      </c>
      <c r="E98" s="93">
        <v>6</v>
      </c>
      <c r="F98" s="93">
        <v>6</v>
      </c>
      <c r="G98" s="106">
        <v>3606.63</v>
      </c>
      <c r="H98" s="106">
        <v>3573.7579999999998</v>
      </c>
      <c r="I98" s="106">
        <v>3573.8</v>
      </c>
    </row>
    <row r="99" spans="1:9" ht="30" x14ac:dyDescent="0.25">
      <c r="A99" s="82">
        <v>26</v>
      </c>
      <c r="B99" s="73" t="s">
        <v>46</v>
      </c>
      <c r="C99" s="72" t="s">
        <v>16</v>
      </c>
      <c r="D99" s="93">
        <v>11</v>
      </c>
      <c r="E99" s="93">
        <v>13</v>
      </c>
      <c r="F99" s="93">
        <v>13</v>
      </c>
      <c r="G99" s="106">
        <v>1627.3</v>
      </c>
      <c r="H99" s="106">
        <v>2707.81</v>
      </c>
      <c r="I99" s="106">
        <v>2707.81</v>
      </c>
    </row>
    <row r="100" spans="1:9" ht="30" x14ac:dyDescent="0.25">
      <c r="A100" s="82">
        <v>27</v>
      </c>
      <c r="B100" s="73" t="s">
        <v>49</v>
      </c>
      <c r="C100" s="72" t="s">
        <v>16</v>
      </c>
      <c r="D100" s="93">
        <v>15</v>
      </c>
      <c r="E100" s="93">
        <v>14</v>
      </c>
      <c r="F100" s="93">
        <v>14</v>
      </c>
      <c r="G100" s="106">
        <v>3696.07</v>
      </c>
      <c r="H100" s="106">
        <v>3965.45</v>
      </c>
      <c r="I100" s="106">
        <v>3965.45</v>
      </c>
    </row>
    <row r="101" spans="1:9" ht="60" x14ac:dyDescent="0.25">
      <c r="A101" s="82">
        <v>28</v>
      </c>
      <c r="B101" s="73" t="s">
        <v>48</v>
      </c>
      <c r="C101" s="72" t="s">
        <v>16</v>
      </c>
      <c r="D101" s="93">
        <v>47</v>
      </c>
      <c r="E101" s="93">
        <v>48</v>
      </c>
      <c r="F101" s="93">
        <v>48</v>
      </c>
      <c r="G101" s="106">
        <v>10012.9</v>
      </c>
      <c r="H101" s="106">
        <v>9901.7000000000007</v>
      </c>
      <c r="I101" s="106">
        <v>9901.7000000000007</v>
      </c>
    </row>
    <row r="102" spans="1:9" ht="60" x14ac:dyDescent="0.25">
      <c r="A102" s="82">
        <v>29</v>
      </c>
      <c r="B102" s="73" t="s">
        <v>34</v>
      </c>
      <c r="C102" s="72" t="s">
        <v>16</v>
      </c>
      <c r="D102" s="93">
        <v>14</v>
      </c>
      <c r="E102" s="93">
        <v>14</v>
      </c>
      <c r="F102" s="93">
        <v>14</v>
      </c>
      <c r="G102" s="106">
        <v>1558.5</v>
      </c>
      <c r="H102" s="106">
        <v>1505.6</v>
      </c>
      <c r="I102" s="106">
        <v>1505.6</v>
      </c>
    </row>
    <row r="103" spans="1:9" ht="45" x14ac:dyDescent="0.25">
      <c r="A103" s="82">
        <v>30</v>
      </c>
      <c r="B103" s="73" t="s">
        <v>17</v>
      </c>
      <c r="C103" s="72" t="s">
        <v>16</v>
      </c>
      <c r="D103" s="93">
        <v>371</v>
      </c>
      <c r="E103" s="93">
        <v>368</v>
      </c>
      <c r="F103" s="93">
        <v>368</v>
      </c>
      <c r="G103" s="106">
        <v>57512.19</v>
      </c>
      <c r="H103" s="106">
        <v>56019.38</v>
      </c>
      <c r="I103" s="106">
        <v>56019.38</v>
      </c>
    </row>
    <row r="104" spans="1:9" ht="45" x14ac:dyDescent="0.25">
      <c r="A104" s="82">
        <v>31</v>
      </c>
      <c r="B104" s="73" t="s">
        <v>42</v>
      </c>
      <c r="C104" s="72" t="s">
        <v>16</v>
      </c>
      <c r="D104" s="93">
        <v>20</v>
      </c>
      <c r="E104" s="93">
        <v>26</v>
      </c>
      <c r="F104" s="93">
        <v>26</v>
      </c>
      <c r="G104" s="106">
        <v>4642.5</v>
      </c>
      <c r="H104" s="106">
        <v>5283.5</v>
      </c>
      <c r="I104" s="106">
        <v>5283.5</v>
      </c>
    </row>
    <row r="105" spans="1:9" ht="45" x14ac:dyDescent="0.25">
      <c r="A105" s="82">
        <v>32</v>
      </c>
      <c r="B105" s="73" t="s">
        <v>18</v>
      </c>
      <c r="C105" s="72" t="s">
        <v>16</v>
      </c>
      <c r="D105" s="93">
        <v>77</v>
      </c>
      <c r="E105" s="93">
        <v>73</v>
      </c>
      <c r="F105" s="93">
        <v>73</v>
      </c>
      <c r="G105" s="106">
        <v>11681.5</v>
      </c>
      <c r="H105" s="106">
        <v>12239.74</v>
      </c>
      <c r="I105" s="106">
        <v>12239.74</v>
      </c>
    </row>
    <row r="106" spans="1:9" ht="30" x14ac:dyDescent="0.25">
      <c r="A106" s="82">
        <v>33</v>
      </c>
      <c r="B106" s="73" t="s">
        <v>43</v>
      </c>
      <c r="C106" s="72" t="s">
        <v>16</v>
      </c>
      <c r="D106" s="93">
        <v>3</v>
      </c>
      <c r="E106" s="93">
        <v>4</v>
      </c>
      <c r="F106" s="93">
        <v>4</v>
      </c>
      <c r="G106" s="106">
        <v>778.36</v>
      </c>
      <c r="H106" s="106">
        <v>1017.6</v>
      </c>
      <c r="I106" s="106">
        <v>1017.6</v>
      </c>
    </row>
    <row r="107" spans="1:9" ht="30" x14ac:dyDescent="0.25">
      <c r="A107" s="82">
        <v>34</v>
      </c>
      <c r="B107" s="73" t="s">
        <v>22</v>
      </c>
      <c r="C107" s="72" t="s">
        <v>16</v>
      </c>
      <c r="D107" s="93">
        <v>218</v>
      </c>
      <c r="E107" s="93">
        <v>317</v>
      </c>
      <c r="F107" s="93">
        <v>317</v>
      </c>
      <c r="G107" s="106">
        <v>21995.59</v>
      </c>
      <c r="H107" s="106">
        <v>33874.75</v>
      </c>
      <c r="I107" s="106">
        <v>33874.75</v>
      </c>
    </row>
    <row r="108" spans="1:9" ht="30" x14ac:dyDescent="0.25">
      <c r="A108" s="82">
        <v>35</v>
      </c>
      <c r="B108" s="73" t="s">
        <v>21</v>
      </c>
      <c r="C108" s="72" t="s">
        <v>16</v>
      </c>
      <c r="D108" s="93">
        <v>28</v>
      </c>
      <c r="E108" s="93">
        <v>29</v>
      </c>
      <c r="F108" s="93">
        <v>29</v>
      </c>
      <c r="G108" s="106">
        <v>4608.8</v>
      </c>
      <c r="H108" s="106">
        <v>3549.8</v>
      </c>
      <c r="I108" s="106">
        <v>3549.8</v>
      </c>
    </row>
    <row r="109" spans="1:9" ht="30" x14ac:dyDescent="0.25">
      <c r="A109" s="82">
        <v>36</v>
      </c>
      <c r="B109" s="73" t="s">
        <v>20</v>
      </c>
      <c r="C109" s="72" t="s">
        <v>16</v>
      </c>
      <c r="D109" s="93">
        <v>32</v>
      </c>
      <c r="E109" s="93">
        <v>33</v>
      </c>
      <c r="F109" s="93">
        <v>33</v>
      </c>
      <c r="G109" s="106">
        <v>14250.93</v>
      </c>
      <c r="H109" s="106">
        <v>13987.1</v>
      </c>
      <c r="I109" s="106">
        <v>13987.1</v>
      </c>
    </row>
    <row r="110" spans="1:9" ht="75" x14ac:dyDescent="0.25">
      <c r="A110" s="82">
        <v>37</v>
      </c>
      <c r="B110" s="73" t="s">
        <v>52</v>
      </c>
      <c r="C110" s="72" t="s">
        <v>16</v>
      </c>
      <c r="D110" s="93">
        <v>13</v>
      </c>
      <c r="E110" s="93">
        <v>13</v>
      </c>
      <c r="F110" s="93">
        <v>13</v>
      </c>
      <c r="G110" s="106">
        <v>9764.7999999999993</v>
      </c>
      <c r="H110" s="106">
        <v>9764.7999999999993</v>
      </c>
      <c r="I110" s="106">
        <v>9764.7999999999993</v>
      </c>
    </row>
    <row r="111" spans="1:9" ht="30" x14ac:dyDescent="0.25">
      <c r="A111" s="82">
        <v>38</v>
      </c>
      <c r="B111" s="73" t="s">
        <v>393</v>
      </c>
      <c r="C111" s="72" t="s">
        <v>16</v>
      </c>
      <c r="D111" s="93">
        <v>94</v>
      </c>
      <c r="E111" s="93">
        <v>110</v>
      </c>
      <c r="F111" s="93">
        <v>110</v>
      </c>
      <c r="G111" s="106">
        <v>21839</v>
      </c>
      <c r="H111" s="106">
        <v>29464.799999999999</v>
      </c>
      <c r="I111" s="106">
        <v>29464.799999999999</v>
      </c>
    </row>
    <row r="112" spans="1:9" ht="45" x14ac:dyDescent="0.25">
      <c r="A112" s="82">
        <v>39</v>
      </c>
      <c r="B112" s="73" t="s">
        <v>19</v>
      </c>
      <c r="C112" s="72" t="s">
        <v>16</v>
      </c>
      <c r="D112" s="93">
        <v>96</v>
      </c>
      <c r="E112" s="93">
        <v>100</v>
      </c>
      <c r="F112" s="93">
        <v>100</v>
      </c>
      <c r="G112" s="106">
        <v>14881.4</v>
      </c>
      <c r="H112" s="106">
        <v>15921.7</v>
      </c>
      <c r="I112" s="106">
        <v>15921.7</v>
      </c>
    </row>
    <row r="113" spans="1:9" ht="45" x14ac:dyDescent="0.25">
      <c r="A113" s="82">
        <v>40</v>
      </c>
      <c r="B113" s="73" t="s">
        <v>45</v>
      </c>
      <c r="C113" s="72" t="s">
        <v>16</v>
      </c>
      <c r="D113" s="93">
        <v>19</v>
      </c>
      <c r="E113" s="93">
        <v>19</v>
      </c>
      <c r="F113" s="93">
        <v>19</v>
      </c>
      <c r="G113" s="106">
        <v>6684.4</v>
      </c>
      <c r="H113" s="106">
        <v>5847.8</v>
      </c>
      <c r="I113" s="106">
        <v>5847.8</v>
      </c>
    </row>
    <row r="114" spans="1:9" ht="60" x14ac:dyDescent="0.25">
      <c r="A114" s="82">
        <v>41</v>
      </c>
      <c r="B114" s="73" t="s">
        <v>50</v>
      </c>
      <c r="C114" s="72" t="s">
        <v>16</v>
      </c>
      <c r="D114" s="93">
        <v>0</v>
      </c>
      <c r="E114" s="93">
        <v>0</v>
      </c>
      <c r="F114" s="93">
        <v>0</v>
      </c>
      <c r="G114" s="106">
        <v>0</v>
      </c>
      <c r="H114" s="106">
        <v>0</v>
      </c>
      <c r="I114" s="106">
        <v>0</v>
      </c>
    </row>
    <row r="115" spans="1:9" ht="60" x14ac:dyDescent="0.25">
      <c r="A115" s="82">
        <v>42</v>
      </c>
      <c r="B115" s="73" t="s">
        <v>53</v>
      </c>
      <c r="C115" s="72" t="s">
        <v>16</v>
      </c>
      <c r="D115" s="93">
        <v>0</v>
      </c>
      <c r="E115" s="93">
        <v>0</v>
      </c>
      <c r="F115" s="93">
        <v>0</v>
      </c>
      <c r="G115" s="106">
        <v>0</v>
      </c>
      <c r="H115" s="106">
        <v>0</v>
      </c>
      <c r="I115" s="106">
        <v>0</v>
      </c>
    </row>
    <row r="116" spans="1:9" x14ac:dyDescent="0.25">
      <c r="A116" s="74"/>
      <c r="B116" s="75" t="s">
        <v>0</v>
      </c>
      <c r="C116" s="68" t="s">
        <v>8</v>
      </c>
      <c r="D116" s="68"/>
      <c r="E116" s="68"/>
      <c r="F116" s="68" t="s">
        <v>8</v>
      </c>
      <c r="G116" s="91">
        <f>SUM(G74:G115)-0.1</f>
        <v>794934.02400000021</v>
      </c>
      <c r="H116" s="91">
        <f t="shared" ref="H116:I116" si="5">SUM(H74:H115)</f>
        <v>862661.51700000011</v>
      </c>
      <c r="I116" s="91">
        <f t="shared" si="5"/>
        <v>862661.53800000018</v>
      </c>
    </row>
    <row r="117" spans="1:9" ht="14.45" customHeight="1" x14ac:dyDescent="0.25">
      <c r="A117" s="191" t="s">
        <v>268</v>
      </c>
      <c r="B117" s="191"/>
      <c r="C117" s="191"/>
      <c r="D117" s="191"/>
      <c r="E117" s="191"/>
      <c r="F117" s="191"/>
      <c r="G117" s="191"/>
      <c r="H117" s="191"/>
      <c r="I117" s="191"/>
    </row>
    <row r="118" spans="1:9" ht="45" x14ac:dyDescent="0.25">
      <c r="A118" s="83" t="s">
        <v>292</v>
      </c>
      <c r="B118" s="73" t="s">
        <v>286</v>
      </c>
      <c r="C118" s="76" t="s">
        <v>14</v>
      </c>
      <c r="D118" s="83">
        <v>1327</v>
      </c>
      <c r="E118" s="83">
        <v>1327</v>
      </c>
      <c r="F118" s="105">
        <f>F119+F120+F121+F122</f>
        <v>1370</v>
      </c>
      <c r="G118" s="72">
        <f>G119+G120+G121+G122</f>
        <v>34980.154999999999</v>
      </c>
      <c r="H118" s="72">
        <f>H119+H120+H121+H122</f>
        <v>34745.657999999996</v>
      </c>
      <c r="I118" s="72">
        <f>I119+I120+I121+I122</f>
        <v>34579.817999999999</v>
      </c>
    </row>
    <row r="119" spans="1:9" ht="60" x14ac:dyDescent="0.25">
      <c r="A119" s="83" t="s">
        <v>293</v>
      </c>
      <c r="B119" s="73" t="s">
        <v>287</v>
      </c>
      <c r="C119" s="72" t="s">
        <v>14</v>
      </c>
      <c r="D119" s="83">
        <v>700</v>
      </c>
      <c r="E119" s="83">
        <v>600</v>
      </c>
      <c r="F119" s="105">
        <v>607</v>
      </c>
      <c r="G119" s="72">
        <v>17975.412</v>
      </c>
      <c r="H119" s="72">
        <v>15436.512000000001</v>
      </c>
      <c r="I119" s="72">
        <v>15436.512000000001</v>
      </c>
    </row>
    <row r="120" spans="1:9" ht="135" x14ac:dyDescent="0.25">
      <c r="A120" s="83" t="s">
        <v>294</v>
      </c>
      <c r="B120" s="73" t="s">
        <v>288</v>
      </c>
      <c r="C120" s="72" t="s">
        <v>14</v>
      </c>
      <c r="D120" s="83">
        <v>40</v>
      </c>
      <c r="E120" s="83">
        <v>40</v>
      </c>
      <c r="F120" s="105">
        <v>41</v>
      </c>
      <c r="G120" s="72">
        <v>2101.4</v>
      </c>
      <c r="H120" s="72">
        <v>1181.4000000000001</v>
      </c>
      <c r="I120" s="72">
        <v>1015.56</v>
      </c>
    </row>
    <row r="121" spans="1:9" ht="195" x14ac:dyDescent="0.25">
      <c r="A121" s="83" t="s">
        <v>295</v>
      </c>
      <c r="B121" s="73" t="s">
        <v>289</v>
      </c>
      <c r="C121" s="72" t="s">
        <v>14</v>
      </c>
      <c r="D121" s="83">
        <v>577</v>
      </c>
      <c r="E121" s="83">
        <v>704</v>
      </c>
      <c r="F121" s="105">
        <v>712</v>
      </c>
      <c r="G121" s="72">
        <v>14649.453</v>
      </c>
      <c r="H121" s="72">
        <v>17873.856</v>
      </c>
      <c r="I121" s="99">
        <v>17873.856</v>
      </c>
    </row>
    <row r="122" spans="1:9" ht="60" x14ac:dyDescent="0.25">
      <c r="A122" s="83" t="s">
        <v>296</v>
      </c>
      <c r="B122" s="73" t="s">
        <v>290</v>
      </c>
      <c r="C122" s="72" t="s">
        <v>291</v>
      </c>
      <c r="D122" s="83">
        <v>10</v>
      </c>
      <c r="E122" s="83">
        <v>10</v>
      </c>
      <c r="F122" s="105">
        <v>10</v>
      </c>
      <c r="G122" s="72">
        <v>253.89</v>
      </c>
      <c r="H122" s="72">
        <v>253.89</v>
      </c>
      <c r="I122" s="72">
        <v>253.89</v>
      </c>
    </row>
    <row r="123" spans="1:9" ht="30" x14ac:dyDescent="0.25">
      <c r="A123" s="83" t="s">
        <v>297</v>
      </c>
      <c r="B123" s="73" t="s">
        <v>188</v>
      </c>
      <c r="C123" s="72" t="s">
        <v>189</v>
      </c>
      <c r="D123" s="83">
        <v>6963</v>
      </c>
      <c r="E123" s="83">
        <v>6963</v>
      </c>
      <c r="F123" s="105">
        <v>7000</v>
      </c>
      <c r="G123" s="72">
        <v>703.32799999999997</v>
      </c>
      <c r="H123" s="72">
        <v>703.32799999999997</v>
      </c>
      <c r="I123" s="72">
        <v>703.32799999999997</v>
      </c>
    </row>
    <row r="124" spans="1:9" ht="105" x14ac:dyDescent="0.25">
      <c r="A124" s="83" t="s">
        <v>298</v>
      </c>
      <c r="B124" s="73" t="s">
        <v>190</v>
      </c>
      <c r="C124" s="72" t="s">
        <v>14</v>
      </c>
      <c r="D124" s="83">
        <v>10894</v>
      </c>
      <c r="E124" s="83">
        <v>10894</v>
      </c>
      <c r="F124" s="105">
        <v>10894</v>
      </c>
      <c r="G124" s="72">
        <v>16232.06</v>
      </c>
      <c r="H124" s="72">
        <v>16232.06</v>
      </c>
      <c r="I124" s="72">
        <v>16232.06</v>
      </c>
    </row>
    <row r="125" spans="1:9" x14ac:dyDescent="0.25">
      <c r="A125" s="83">
        <v>4</v>
      </c>
      <c r="B125" s="98" t="s">
        <v>249</v>
      </c>
      <c r="C125" s="72"/>
      <c r="D125" s="83"/>
      <c r="E125" s="83"/>
      <c r="F125" s="105"/>
      <c r="G125" s="72">
        <f>G126+G127</f>
        <v>669</v>
      </c>
      <c r="H125" s="72">
        <f>H126+H127</f>
        <v>669</v>
      </c>
      <c r="I125" s="72">
        <f>I126+I127</f>
        <v>669</v>
      </c>
    </row>
    <row r="126" spans="1:9" ht="75" x14ac:dyDescent="0.25">
      <c r="A126" s="83" t="s">
        <v>299</v>
      </c>
      <c r="B126" s="97" t="s">
        <v>195</v>
      </c>
      <c r="C126" s="72" t="s">
        <v>57</v>
      </c>
      <c r="D126" s="83">
        <v>7</v>
      </c>
      <c r="E126" s="83">
        <v>7</v>
      </c>
      <c r="F126" s="105">
        <v>7</v>
      </c>
      <c r="G126" s="72">
        <v>469</v>
      </c>
      <c r="H126" s="72">
        <v>469</v>
      </c>
      <c r="I126" s="72">
        <v>469</v>
      </c>
    </row>
    <row r="127" spans="1:9" ht="60" x14ac:dyDescent="0.25">
      <c r="A127" s="83" t="s">
        <v>300</v>
      </c>
      <c r="B127" s="73" t="s">
        <v>196</v>
      </c>
      <c r="C127" s="72" t="s">
        <v>57</v>
      </c>
      <c r="D127" s="83">
        <v>1</v>
      </c>
      <c r="E127" s="83">
        <v>1</v>
      </c>
      <c r="F127" s="105">
        <v>1</v>
      </c>
      <c r="G127" s="72">
        <v>200</v>
      </c>
      <c r="H127" s="72">
        <v>200</v>
      </c>
      <c r="I127" s="72">
        <v>200</v>
      </c>
    </row>
    <row r="128" spans="1:9" x14ac:dyDescent="0.25">
      <c r="A128" s="77"/>
      <c r="B128" s="78" t="s">
        <v>0</v>
      </c>
      <c r="C128" s="76"/>
      <c r="D128" s="76"/>
      <c r="E128" s="76"/>
      <c r="F128" s="76" t="s">
        <v>8</v>
      </c>
      <c r="G128" s="91">
        <f>G118+G123+G124+G125</f>
        <v>52584.542999999998</v>
      </c>
      <c r="H128" s="91">
        <f t="shared" ref="H128:I128" si="6">H118+H123+H124+H125</f>
        <v>52350.045999999995</v>
      </c>
      <c r="I128" s="91">
        <f t="shared" si="6"/>
        <v>52184.205999999998</v>
      </c>
    </row>
    <row r="129" spans="1:9" ht="14.45" customHeight="1" x14ac:dyDescent="0.25">
      <c r="A129" s="182" t="s">
        <v>60</v>
      </c>
      <c r="B129" s="183"/>
      <c r="C129" s="183"/>
      <c r="D129" s="183"/>
      <c r="E129" s="183"/>
      <c r="F129" s="183"/>
      <c r="G129" s="183"/>
      <c r="H129" s="183"/>
      <c r="I129" s="184"/>
    </row>
    <row r="130" spans="1:9" ht="30" x14ac:dyDescent="0.25">
      <c r="A130" s="82">
        <v>1</v>
      </c>
      <c r="B130" s="70" t="s">
        <v>357</v>
      </c>
      <c r="C130" s="63" t="s">
        <v>358</v>
      </c>
      <c r="D130" s="123" t="s">
        <v>359</v>
      </c>
      <c r="E130" s="123" t="s">
        <v>360</v>
      </c>
      <c r="F130" s="72" t="s">
        <v>361</v>
      </c>
      <c r="G130" s="72">
        <v>62225.3</v>
      </c>
      <c r="H130" s="72">
        <v>63940.9</v>
      </c>
      <c r="I130" s="72">
        <v>63940.9</v>
      </c>
    </row>
    <row r="131" spans="1:9" ht="45" x14ac:dyDescent="0.25">
      <c r="A131" s="82">
        <v>2</v>
      </c>
      <c r="B131" s="70" t="s">
        <v>362</v>
      </c>
      <c r="C131" s="63" t="s">
        <v>363</v>
      </c>
      <c r="D131" s="83">
        <v>47</v>
      </c>
      <c r="E131" s="83">
        <v>47</v>
      </c>
      <c r="F131" s="83">
        <v>47</v>
      </c>
      <c r="G131" s="72">
        <v>11694.3</v>
      </c>
      <c r="H131" s="72">
        <v>11694.3</v>
      </c>
      <c r="I131" s="72">
        <v>11694.3</v>
      </c>
    </row>
    <row r="132" spans="1:9" ht="75" x14ac:dyDescent="0.25">
      <c r="A132" s="82">
        <v>3</v>
      </c>
      <c r="B132" s="70" t="s">
        <v>364</v>
      </c>
      <c r="C132" s="63" t="s">
        <v>358</v>
      </c>
      <c r="D132" s="123" t="s">
        <v>365</v>
      </c>
      <c r="E132" s="123" t="s">
        <v>366</v>
      </c>
      <c r="F132" s="123" t="s">
        <v>367</v>
      </c>
      <c r="G132" s="72">
        <v>37526.1</v>
      </c>
      <c r="H132" s="72">
        <v>36611.199999999997</v>
      </c>
      <c r="I132" s="72">
        <v>36611.199999999997</v>
      </c>
    </row>
    <row r="133" spans="1:9" ht="45" x14ac:dyDescent="0.25">
      <c r="A133" s="82">
        <v>4</v>
      </c>
      <c r="B133" s="70" t="s">
        <v>368</v>
      </c>
      <c r="C133" s="63" t="s">
        <v>358</v>
      </c>
      <c r="D133" s="123" t="s">
        <v>369</v>
      </c>
      <c r="E133" s="123" t="s">
        <v>370</v>
      </c>
      <c r="F133" s="123" t="s">
        <v>371</v>
      </c>
      <c r="G133" s="72">
        <v>53522.6</v>
      </c>
      <c r="H133" s="72">
        <f>53115.7+1834.9</f>
        <v>54950.6</v>
      </c>
      <c r="I133" s="72">
        <v>54950.6</v>
      </c>
    </row>
    <row r="134" spans="1:9" ht="45" x14ac:dyDescent="0.25">
      <c r="A134" s="82">
        <v>5</v>
      </c>
      <c r="B134" s="70" t="s">
        <v>372</v>
      </c>
      <c r="C134" s="63" t="s">
        <v>358</v>
      </c>
      <c r="D134" s="123" t="s">
        <v>373</v>
      </c>
      <c r="E134" s="123" t="s">
        <v>373</v>
      </c>
      <c r="F134" s="123" t="s">
        <v>374</v>
      </c>
      <c r="G134" s="72">
        <v>9200.2999999999993</v>
      </c>
      <c r="H134" s="72">
        <v>11367.7</v>
      </c>
      <c r="I134" s="72">
        <v>11367.7</v>
      </c>
    </row>
    <row r="135" spans="1:9" ht="60" x14ac:dyDescent="0.25">
      <c r="A135" s="82">
        <v>6</v>
      </c>
      <c r="B135" s="70" t="s">
        <v>375</v>
      </c>
      <c r="C135" s="63" t="s">
        <v>358</v>
      </c>
      <c r="D135" s="123" t="s">
        <v>376</v>
      </c>
      <c r="E135" s="123" t="s">
        <v>376</v>
      </c>
      <c r="F135" s="123" t="s">
        <v>377</v>
      </c>
      <c r="G135" s="72">
        <v>2546.5</v>
      </c>
      <c r="H135" s="72">
        <v>2546.5</v>
      </c>
      <c r="I135" s="72">
        <v>2546.5</v>
      </c>
    </row>
    <row r="136" spans="1:9" x14ac:dyDescent="0.25">
      <c r="A136" s="17"/>
      <c r="B136" s="75" t="s">
        <v>0</v>
      </c>
      <c r="C136" s="68"/>
      <c r="D136" s="17"/>
      <c r="E136" s="17"/>
      <c r="F136" s="17" t="s">
        <v>8</v>
      </c>
      <c r="G136" s="91">
        <f>SUM(G130:G135)</f>
        <v>176715.1</v>
      </c>
      <c r="H136" s="91">
        <f t="shared" ref="H136:I136" si="7">SUM(H130:H135)</f>
        <v>181111.2</v>
      </c>
      <c r="I136" s="91">
        <f t="shared" si="7"/>
        <v>181111.2</v>
      </c>
    </row>
    <row r="137" spans="1:9" ht="14.45" customHeight="1" x14ac:dyDescent="0.25">
      <c r="A137" s="182" t="s">
        <v>253</v>
      </c>
      <c r="B137" s="183"/>
      <c r="C137" s="183"/>
      <c r="D137" s="183"/>
      <c r="E137" s="183"/>
      <c r="F137" s="183"/>
      <c r="G137" s="183"/>
      <c r="H137" s="183"/>
      <c r="I137" s="184"/>
    </row>
    <row r="138" spans="1:9" ht="105" x14ac:dyDescent="0.25">
      <c r="A138" s="102">
        <v>1</v>
      </c>
      <c r="B138" s="79" t="s">
        <v>399</v>
      </c>
      <c r="C138" s="124" t="s">
        <v>400</v>
      </c>
      <c r="D138" s="125">
        <v>4691389</v>
      </c>
      <c r="E138" s="125">
        <v>5124105</v>
      </c>
      <c r="F138" s="125">
        <v>5208957</v>
      </c>
      <c r="G138" s="124">
        <f>1392001000/1000</f>
        <v>1392001</v>
      </c>
      <c r="H138" s="124">
        <f>1519790790/1000</f>
        <v>1519790.79</v>
      </c>
      <c r="I138" s="124">
        <f>H138</f>
        <v>1519790.79</v>
      </c>
    </row>
    <row r="139" spans="1:9" ht="45" x14ac:dyDescent="0.25">
      <c r="A139" s="102">
        <v>2</v>
      </c>
      <c r="B139" s="79" t="s">
        <v>401</v>
      </c>
      <c r="C139" s="124" t="s">
        <v>400</v>
      </c>
      <c r="D139" s="125">
        <v>4823</v>
      </c>
      <c r="E139" s="125">
        <v>4290</v>
      </c>
      <c r="F139" s="125">
        <v>4358</v>
      </c>
      <c r="G139" s="124">
        <f>1994681.17/1000</f>
        <v>1994.6811699999998</v>
      </c>
      <c r="H139" s="124">
        <f>G139</f>
        <v>1994.6811699999998</v>
      </c>
      <c r="I139" s="124">
        <f>H139</f>
        <v>1994.6811699999998</v>
      </c>
    </row>
    <row r="140" spans="1:9" x14ac:dyDescent="0.25">
      <c r="A140" s="17"/>
      <c r="B140" s="75" t="s">
        <v>0</v>
      </c>
      <c r="C140" s="68"/>
      <c r="D140" s="17"/>
      <c r="E140" s="17"/>
      <c r="F140" s="17" t="s">
        <v>8</v>
      </c>
      <c r="G140" s="91">
        <f>SUM(G138:G139)</f>
        <v>1393995.68117</v>
      </c>
      <c r="H140" s="91">
        <f t="shared" ref="H140:I140" si="8">SUM(H138:H139)</f>
        <v>1521785.47117</v>
      </c>
      <c r="I140" s="91">
        <f t="shared" si="8"/>
        <v>1521785.47117</v>
      </c>
    </row>
    <row r="141" spans="1:9" ht="14.45" customHeight="1" x14ac:dyDescent="0.25">
      <c r="A141" s="189" t="s">
        <v>266</v>
      </c>
      <c r="B141" s="190"/>
      <c r="C141" s="190"/>
      <c r="D141" s="190"/>
      <c r="E141" s="190"/>
      <c r="F141" s="190"/>
      <c r="G141" s="190"/>
      <c r="H141" s="190"/>
      <c r="I141" s="190"/>
    </row>
    <row r="142" spans="1:9" ht="45" x14ac:dyDescent="0.25">
      <c r="A142" s="83">
        <v>1</v>
      </c>
      <c r="B142" s="73" t="s">
        <v>133</v>
      </c>
      <c r="C142" s="72" t="s">
        <v>134</v>
      </c>
      <c r="D142" s="72">
        <v>40180</v>
      </c>
      <c r="E142" s="72">
        <v>40180</v>
      </c>
      <c r="F142" s="72">
        <v>41284</v>
      </c>
      <c r="G142" s="72">
        <v>111298.6</v>
      </c>
      <c r="H142" s="72">
        <v>111298.6</v>
      </c>
      <c r="I142" s="72">
        <v>111298.6</v>
      </c>
    </row>
    <row r="143" spans="1:9" ht="60" x14ac:dyDescent="0.25">
      <c r="A143" s="83">
        <f>A142+1</f>
        <v>2</v>
      </c>
      <c r="B143" s="73" t="s">
        <v>336</v>
      </c>
      <c r="C143" s="72" t="s">
        <v>134</v>
      </c>
      <c r="D143" s="72">
        <v>2905</v>
      </c>
      <c r="E143" s="72">
        <v>2905</v>
      </c>
      <c r="F143" s="72">
        <v>2909</v>
      </c>
      <c r="G143" s="72">
        <v>149612.45000000001</v>
      </c>
      <c r="H143" s="72">
        <v>149612.45000000001</v>
      </c>
      <c r="I143" s="72">
        <v>149612.45000000001</v>
      </c>
    </row>
    <row r="144" spans="1:9" ht="75" x14ac:dyDescent="0.25">
      <c r="A144" s="83">
        <f t="shared" ref="A144:A189" si="9">A143+1</f>
        <v>3</v>
      </c>
      <c r="B144" s="73" t="s">
        <v>136</v>
      </c>
      <c r="C144" s="72" t="s">
        <v>137</v>
      </c>
      <c r="D144" s="72">
        <v>51334</v>
      </c>
      <c r="E144" s="72">
        <v>50614</v>
      </c>
      <c r="F144" s="72">
        <v>48519</v>
      </c>
      <c r="G144" s="72">
        <v>45247.55</v>
      </c>
      <c r="H144" s="72">
        <v>44887.55</v>
      </c>
      <c r="I144" s="72">
        <v>44887.55</v>
      </c>
    </row>
    <row r="145" spans="1:9" ht="75" x14ac:dyDescent="0.25">
      <c r="A145" s="83">
        <f t="shared" si="9"/>
        <v>4</v>
      </c>
      <c r="B145" s="73" t="s">
        <v>136</v>
      </c>
      <c r="C145" s="72" t="s">
        <v>337</v>
      </c>
      <c r="D145" s="72">
        <v>36043</v>
      </c>
      <c r="E145" s="72">
        <v>34268</v>
      </c>
      <c r="F145" s="72">
        <v>33892</v>
      </c>
      <c r="G145" s="72">
        <v>51808.899999999994</v>
      </c>
      <c r="H145" s="72">
        <v>50172.43</v>
      </c>
      <c r="I145" s="72">
        <v>50172.43</v>
      </c>
    </row>
    <row r="146" spans="1:9" ht="90" x14ac:dyDescent="0.25">
      <c r="A146" s="83">
        <f t="shared" si="9"/>
        <v>5</v>
      </c>
      <c r="B146" s="73" t="s">
        <v>138</v>
      </c>
      <c r="C146" s="72" t="s">
        <v>137</v>
      </c>
      <c r="D146" s="72">
        <v>17450</v>
      </c>
      <c r="E146" s="72">
        <v>20206</v>
      </c>
      <c r="F146" s="72">
        <v>23523</v>
      </c>
      <c r="G146" s="72">
        <v>8948.4</v>
      </c>
      <c r="H146" s="72">
        <v>10361.67</v>
      </c>
      <c r="I146" s="72">
        <v>10361.67</v>
      </c>
    </row>
    <row r="147" spans="1:9" ht="45" x14ac:dyDescent="0.25">
      <c r="A147" s="83">
        <f t="shared" si="9"/>
        <v>6</v>
      </c>
      <c r="B147" s="73" t="s">
        <v>338</v>
      </c>
      <c r="C147" s="72" t="s">
        <v>137</v>
      </c>
      <c r="D147" s="72">
        <v>150593</v>
      </c>
      <c r="E147" s="72">
        <v>141786</v>
      </c>
      <c r="F147" s="72">
        <v>145223</v>
      </c>
      <c r="G147" s="72">
        <v>109425</v>
      </c>
      <c r="H147" s="72">
        <v>104889.39</v>
      </c>
      <c r="I147" s="72">
        <v>104889.39</v>
      </c>
    </row>
    <row r="148" spans="1:9" ht="45" x14ac:dyDescent="0.25">
      <c r="A148" s="83">
        <f t="shared" si="9"/>
        <v>7</v>
      </c>
      <c r="B148" s="73" t="s">
        <v>338</v>
      </c>
      <c r="C148" s="72" t="s">
        <v>337</v>
      </c>
      <c r="D148" s="72">
        <v>18818</v>
      </c>
      <c r="E148" s="72">
        <v>18141</v>
      </c>
      <c r="F148" s="72">
        <v>18937</v>
      </c>
      <c r="G148" s="72">
        <v>32554.7</v>
      </c>
      <c r="H148" s="72">
        <v>31581.899999999998</v>
      </c>
      <c r="I148" s="72">
        <v>31581.899999999998</v>
      </c>
    </row>
    <row r="149" spans="1:9" ht="30" x14ac:dyDescent="0.25">
      <c r="A149" s="83">
        <f t="shared" si="9"/>
        <v>8</v>
      </c>
      <c r="B149" s="73" t="s">
        <v>339</v>
      </c>
      <c r="C149" s="72" t="s">
        <v>137</v>
      </c>
      <c r="D149" s="72">
        <v>125484</v>
      </c>
      <c r="E149" s="72">
        <v>125019</v>
      </c>
      <c r="F149" s="72">
        <v>124552</v>
      </c>
      <c r="G149" s="72">
        <v>72780.88</v>
      </c>
      <c r="H149" s="72">
        <v>72511.179999999993</v>
      </c>
      <c r="I149" s="72">
        <v>72511.179999999993</v>
      </c>
    </row>
    <row r="150" spans="1:9" ht="30" x14ac:dyDescent="0.25">
      <c r="A150" s="83">
        <f t="shared" si="9"/>
        <v>9</v>
      </c>
      <c r="B150" s="73" t="s">
        <v>339</v>
      </c>
      <c r="C150" s="72" t="s">
        <v>337</v>
      </c>
      <c r="D150" s="72">
        <v>52882</v>
      </c>
      <c r="E150" s="72">
        <v>52995</v>
      </c>
      <c r="F150" s="72">
        <v>51743</v>
      </c>
      <c r="G150" s="72">
        <v>56901.120000000003</v>
      </c>
      <c r="H150" s="72">
        <v>57022.75</v>
      </c>
      <c r="I150" s="72">
        <v>57022.75</v>
      </c>
    </row>
    <row r="151" spans="1:9" ht="60" x14ac:dyDescent="0.25">
      <c r="A151" s="83">
        <f t="shared" si="9"/>
        <v>10</v>
      </c>
      <c r="B151" s="73" t="s">
        <v>141</v>
      </c>
      <c r="C151" s="72" t="s">
        <v>137</v>
      </c>
      <c r="D151" s="72">
        <v>38073</v>
      </c>
      <c r="E151" s="72">
        <v>39444</v>
      </c>
      <c r="F151" s="72">
        <v>41611</v>
      </c>
      <c r="G151" s="72">
        <v>33504.44</v>
      </c>
      <c r="H151" s="72">
        <v>34710.910000000003</v>
      </c>
      <c r="I151" s="72">
        <v>34710.910000000003</v>
      </c>
    </row>
    <row r="152" spans="1:9" ht="60" x14ac:dyDescent="0.25">
      <c r="A152" s="83">
        <f t="shared" si="9"/>
        <v>11</v>
      </c>
      <c r="B152" s="73" t="s">
        <v>141</v>
      </c>
      <c r="C152" s="72" t="s">
        <v>337</v>
      </c>
      <c r="D152" s="72">
        <v>14154</v>
      </c>
      <c r="E152" s="72">
        <v>14681</v>
      </c>
      <c r="F152" s="72">
        <v>15066</v>
      </c>
      <c r="G152" s="72">
        <v>23156.36</v>
      </c>
      <c r="H152" s="72">
        <v>24018.39</v>
      </c>
      <c r="I152" s="72">
        <v>24018.39</v>
      </c>
    </row>
    <row r="153" spans="1:9" ht="45" x14ac:dyDescent="0.25">
      <c r="A153" s="83">
        <f t="shared" si="9"/>
        <v>12</v>
      </c>
      <c r="B153" s="73" t="s">
        <v>142</v>
      </c>
      <c r="C153" s="72" t="s">
        <v>137</v>
      </c>
      <c r="D153" s="72">
        <v>45436</v>
      </c>
      <c r="E153" s="72">
        <v>42637</v>
      </c>
      <c r="F153" s="72">
        <v>39992</v>
      </c>
      <c r="G153" s="72">
        <v>26352.9</v>
      </c>
      <c r="H153" s="72">
        <v>24729.48</v>
      </c>
      <c r="I153" s="72">
        <v>24729.48</v>
      </c>
    </row>
    <row r="154" spans="1:9" ht="45" x14ac:dyDescent="0.25">
      <c r="A154" s="83">
        <f t="shared" si="9"/>
        <v>13</v>
      </c>
      <c r="B154" s="73" t="s">
        <v>143</v>
      </c>
      <c r="C154" s="72" t="s">
        <v>137</v>
      </c>
      <c r="D154" s="72">
        <v>4000</v>
      </c>
      <c r="E154" s="72">
        <v>3892</v>
      </c>
      <c r="F154" s="72">
        <v>3892</v>
      </c>
      <c r="G154" s="72">
        <v>38120</v>
      </c>
      <c r="H154" s="72">
        <v>37090.76</v>
      </c>
      <c r="I154" s="72">
        <v>37090.76</v>
      </c>
    </row>
    <row r="155" spans="1:9" ht="30" x14ac:dyDescent="0.25">
      <c r="A155" s="83">
        <f t="shared" si="9"/>
        <v>14</v>
      </c>
      <c r="B155" s="73" t="s">
        <v>144</v>
      </c>
      <c r="C155" s="72" t="s">
        <v>137</v>
      </c>
      <c r="D155" s="72">
        <v>2677</v>
      </c>
      <c r="E155" s="72">
        <v>4361</v>
      </c>
      <c r="F155" s="72">
        <v>4055</v>
      </c>
      <c r="G155" s="72">
        <v>1185.9000000000001</v>
      </c>
      <c r="H155" s="72">
        <v>6397.23</v>
      </c>
      <c r="I155" s="72">
        <v>6397.23</v>
      </c>
    </row>
    <row r="156" spans="1:9" ht="30" x14ac:dyDescent="0.25">
      <c r="A156" s="83">
        <f t="shared" si="9"/>
        <v>15</v>
      </c>
      <c r="B156" s="73" t="s">
        <v>144</v>
      </c>
      <c r="C156" s="72" t="s">
        <v>337</v>
      </c>
      <c r="D156" s="72">
        <v>8749</v>
      </c>
      <c r="E156" s="72">
        <v>4938</v>
      </c>
      <c r="F156" s="72">
        <v>4383</v>
      </c>
      <c r="G156" s="72">
        <v>7314.2</v>
      </c>
      <c r="H156" s="72">
        <v>14497.78</v>
      </c>
      <c r="I156" s="72">
        <v>14497.78</v>
      </c>
    </row>
    <row r="157" spans="1:9" ht="60" x14ac:dyDescent="0.25">
      <c r="A157" s="83">
        <f t="shared" si="9"/>
        <v>16</v>
      </c>
      <c r="B157" s="73" t="s">
        <v>146</v>
      </c>
      <c r="C157" s="72" t="s">
        <v>137</v>
      </c>
      <c r="D157" s="72">
        <v>3000</v>
      </c>
      <c r="E157" s="72">
        <v>3000</v>
      </c>
      <c r="F157" s="72">
        <v>3174</v>
      </c>
      <c r="G157" s="72">
        <v>20670</v>
      </c>
      <c r="H157" s="72">
        <v>20670</v>
      </c>
      <c r="I157" s="72">
        <v>20670</v>
      </c>
    </row>
    <row r="158" spans="1:9" ht="60" x14ac:dyDescent="0.25">
      <c r="A158" s="83">
        <f t="shared" si="9"/>
        <v>17</v>
      </c>
      <c r="B158" s="73" t="s">
        <v>147</v>
      </c>
      <c r="C158" s="72" t="s">
        <v>137</v>
      </c>
      <c r="D158" s="72">
        <v>9757</v>
      </c>
      <c r="E158" s="72">
        <v>9757</v>
      </c>
      <c r="F158" s="72">
        <v>9166</v>
      </c>
      <c r="G158" s="72">
        <v>10879.1</v>
      </c>
      <c r="H158" s="72">
        <v>10879.1</v>
      </c>
      <c r="I158" s="72">
        <v>10879.1</v>
      </c>
    </row>
    <row r="159" spans="1:9" ht="30" x14ac:dyDescent="0.25">
      <c r="A159" s="83">
        <f t="shared" si="9"/>
        <v>18</v>
      </c>
      <c r="B159" s="73" t="s">
        <v>148</v>
      </c>
      <c r="C159" s="72" t="s">
        <v>137</v>
      </c>
      <c r="D159" s="72">
        <v>10250</v>
      </c>
      <c r="E159" s="72">
        <v>10250</v>
      </c>
      <c r="F159" s="72">
        <v>8768</v>
      </c>
      <c r="G159" s="72">
        <v>5278.8</v>
      </c>
      <c r="H159" s="72">
        <v>5278.8</v>
      </c>
      <c r="I159" s="72">
        <v>5278.8</v>
      </c>
    </row>
    <row r="160" spans="1:9" ht="45" x14ac:dyDescent="0.25">
      <c r="A160" s="83">
        <f t="shared" si="9"/>
        <v>19</v>
      </c>
      <c r="B160" s="73" t="s">
        <v>340</v>
      </c>
      <c r="C160" s="72" t="s">
        <v>150</v>
      </c>
      <c r="D160" s="72">
        <v>390</v>
      </c>
      <c r="E160" s="72">
        <v>390</v>
      </c>
      <c r="F160" s="72">
        <v>393</v>
      </c>
      <c r="G160" s="72">
        <v>8741.85</v>
      </c>
      <c r="H160" s="72">
        <v>8741.85</v>
      </c>
      <c r="I160" s="72">
        <v>8741.85</v>
      </c>
    </row>
    <row r="161" spans="1:9" ht="30" x14ac:dyDescent="0.25">
      <c r="A161" s="83">
        <f t="shared" si="9"/>
        <v>20</v>
      </c>
      <c r="B161" s="73" t="s">
        <v>151</v>
      </c>
      <c r="C161" s="72" t="s">
        <v>150</v>
      </c>
      <c r="D161" s="72">
        <v>422</v>
      </c>
      <c r="E161" s="72">
        <v>422</v>
      </c>
      <c r="F161" s="72">
        <v>467</v>
      </c>
      <c r="G161" s="72">
        <v>7596</v>
      </c>
      <c r="H161" s="72">
        <v>7596</v>
      </c>
      <c r="I161" s="72">
        <v>7596</v>
      </c>
    </row>
    <row r="162" spans="1:9" ht="30" x14ac:dyDescent="0.25">
      <c r="A162" s="83">
        <f t="shared" si="9"/>
        <v>21</v>
      </c>
      <c r="B162" s="73" t="s">
        <v>152</v>
      </c>
      <c r="C162" s="72" t="s">
        <v>150</v>
      </c>
      <c r="D162" s="72">
        <v>912</v>
      </c>
      <c r="E162" s="72">
        <v>1158</v>
      </c>
      <c r="F162" s="72">
        <v>1189</v>
      </c>
      <c r="G162" s="72">
        <v>11210.3</v>
      </c>
      <c r="H162" s="72">
        <v>14234.13</v>
      </c>
      <c r="I162" s="72">
        <v>14234.13</v>
      </c>
    </row>
    <row r="163" spans="1:9" ht="60" x14ac:dyDescent="0.25">
      <c r="A163" s="83">
        <f t="shared" si="9"/>
        <v>22</v>
      </c>
      <c r="B163" s="73" t="s">
        <v>153</v>
      </c>
      <c r="C163" s="72" t="s">
        <v>154</v>
      </c>
      <c r="D163" s="72">
        <v>916</v>
      </c>
      <c r="E163" s="72">
        <v>916</v>
      </c>
      <c r="F163" s="72">
        <v>916</v>
      </c>
      <c r="G163" s="72">
        <v>246391.2</v>
      </c>
      <c r="H163" s="72">
        <v>261089.63200000001</v>
      </c>
      <c r="I163" s="72">
        <v>261089.63200000001</v>
      </c>
    </row>
    <row r="164" spans="1:9" ht="60" x14ac:dyDescent="0.25">
      <c r="A164" s="83">
        <f t="shared" si="9"/>
        <v>23</v>
      </c>
      <c r="B164" s="73" t="s">
        <v>341</v>
      </c>
      <c r="C164" s="72" t="s">
        <v>154</v>
      </c>
      <c r="D164" s="72">
        <v>65</v>
      </c>
      <c r="E164" s="72">
        <v>65</v>
      </c>
      <c r="F164" s="72">
        <v>65</v>
      </c>
      <c r="G164" s="72">
        <v>10903.099999999999</v>
      </c>
      <c r="H164" s="72">
        <v>11351.08</v>
      </c>
      <c r="I164" s="72">
        <v>11351.08</v>
      </c>
    </row>
    <row r="165" spans="1:9" ht="60" x14ac:dyDescent="0.25">
      <c r="A165" s="83">
        <f t="shared" si="9"/>
        <v>24</v>
      </c>
      <c r="B165" s="73" t="s">
        <v>342</v>
      </c>
      <c r="C165" s="72" t="s">
        <v>154</v>
      </c>
      <c r="D165" s="72">
        <v>10</v>
      </c>
      <c r="E165" s="72">
        <v>10</v>
      </c>
      <c r="F165" s="72">
        <v>10</v>
      </c>
      <c r="G165" s="72">
        <v>1417.79</v>
      </c>
      <c r="H165" s="72">
        <v>1508.59</v>
      </c>
      <c r="I165" s="72">
        <v>1508.59</v>
      </c>
    </row>
    <row r="166" spans="1:9" ht="60" x14ac:dyDescent="0.25">
      <c r="A166" s="83">
        <f t="shared" si="9"/>
        <v>25</v>
      </c>
      <c r="B166" s="73" t="s">
        <v>343</v>
      </c>
      <c r="C166" s="72" t="s">
        <v>154</v>
      </c>
      <c r="D166" s="72">
        <v>35</v>
      </c>
      <c r="E166" s="72">
        <v>35</v>
      </c>
      <c r="F166" s="72">
        <v>35</v>
      </c>
      <c r="G166" s="72">
        <v>8002.61</v>
      </c>
      <c r="H166" s="72">
        <v>8460.0074999999997</v>
      </c>
      <c r="I166" s="72">
        <v>8460.0074999999997</v>
      </c>
    </row>
    <row r="167" spans="1:9" ht="60" x14ac:dyDescent="0.25">
      <c r="A167" s="83">
        <f t="shared" si="9"/>
        <v>26</v>
      </c>
      <c r="B167" s="73" t="s">
        <v>344</v>
      </c>
      <c r="C167" s="72" t="s">
        <v>154</v>
      </c>
      <c r="D167" s="72">
        <v>573</v>
      </c>
      <c r="E167" s="72">
        <v>573</v>
      </c>
      <c r="F167" s="72">
        <v>573</v>
      </c>
      <c r="G167" s="72">
        <v>161241.44999999998</v>
      </c>
      <c r="H167" s="72">
        <v>170955.71749999997</v>
      </c>
      <c r="I167" s="72">
        <v>170955.71749999997</v>
      </c>
    </row>
    <row r="168" spans="1:9" ht="60" x14ac:dyDescent="0.25">
      <c r="A168" s="83">
        <f t="shared" si="9"/>
        <v>27</v>
      </c>
      <c r="B168" s="73" t="s">
        <v>345</v>
      </c>
      <c r="C168" s="72" t="s">
        <v>154</v>
      </c>
      <c r="D168" s="72">
        <v>520</v>
      </c>
      <c r="E168" s="72">
        <v>520</v>
      </c>
      <c r="F168" s="72">
        <v>520</v>
      </c>
      <c r="G168" s="72">
        <v>79336.400000000009</v>
      </c>
      <c r="H168" s="72">
        <v>84052.02</v>
      </c>
      <c r="I168" s="72">
        <v>84052.02</v>
      </c>
    </row>
    <row r="169" spans="1:9" ht="60" x14ac:dyDescent="0.25">
      <c r="A169" s="83">
        <f t="shared" si="9"/>
        <v>28</v>
      </c>
      <c r="B169" s="73" t="s">
        <v>346</v>
      </c>
      <c r="C169" s="72" t="s">
        <v>154</v>
      </c>
      <c r="D169" s="72">
        <v>885</v>
      </c>
      <c r="E169" s="72">
        <v>885</v>
      </c>
      <c r="F169" s="72">
        <v>885</v>
      </c>
      <c r="G169" s="72">
        <v>286589.5</v>
      </c>
      <c r="H169" s="72">
        <v>305257.91200000001</v>
      </c>
      <c r="I169" s="72">
        <v>305257.91200000001</v>
      </c>
    </row>
    <row r="170" spans="1:9" ht="60" x14ac:dyDescent="0.25">
      <c r="A170" s="83">
        <f t="shared" si="9"/>
        <v>29</v>
      </c>
      <c r="B170" s="73" t="s">
        <v>347</v>
      </c>
      <c r="C170" s="72" t="s">
        <v>154</v>
      </c>
      <c r="D170" s="72">
        <v>233</v>
      </c>
      <c r="E170" s="72">
        <v>233</v>
      </c>
      <c r="F170" s="72">
        <v>233</v>
      </c>
      <c r="G170" s="72">
        <v>49664.299999999996</v>
      </c>
      <c r="H170" s="72">
        <v>52918.200000000004</v>
      </c>
      <c r="I170" s="72">
        <v>52918.200000000004</v>
      </c>
    </row>
    <row r="171" spans="1:9" ht="60" x14ac:dyDescent="0.25">
      <c r="A171" s="83">
        <f t="shared" si="9"/>
        <v>30</v>
      </c>
      <c r="B171" s="73" t="s">
        <v>348</v>
      </c>
      <c r="C171" s="72" t="s">
        <v>154</v>
      </c>
      <c r="D171" s="72">
        <v>30</v>
      </c>
      <c r="E171" s="72">
        <v>30</v>
      </c>
      <c r="F171" s="72">
        <v>30</v>
      </c>
      <c r="G171" s="72">
        <v>33211.89</v>
      </c>
      <c r="H171" s="72">
        <v>36552.591</v>
      </c>
      <c r="I171" s="72">
        <v>36552.591</v>
      </c>
    </row>
    <row r="172" spans="1:9" ht="60" x14ac:dyDescent="0.25">
      <c r="A172" s="83">
        <f t="shared" si="9"/>
        <v>31</v>
      </c>
      <c r="B172" s="73" t="s">
        <v>163</v>
      </c>
      <c r="C172" s="72" t="s">
        <v>154</v>
      </c>
      <c r="D172" s="72">
        <v>30</v>
      </c>
      <c r="E172" s="72">
        <v>30</v>
      </c>
      <c r="F172" s="72">
        <v>30</v>
      </c>
      <c r="G172" s="72">
        <v>3294.39</v>
      </c>
      <c r="H172" s="72">
        <v>3670.98</v>
      </c>
      <c r="I172" s="72">
        <v>3670.98</v>
      </c>
    </row>
    <row r="173" spans="1:9" ht="60" x14ac:dyDescent="0.25">
      <c r="A173" s="83">
        <f t="shared" si="9"/>
        <v>32</v>
      </c>
      <c r="B173" s="73" t="s">
        <v>164</v>
      </c>
      <c r="C173" s="72" t="s">
        <v>154</v>
      </c>
      <c r="D173" s="72">
        <v>20</v>
      </c>
      <c r="E173" s="72">
        <v>20</v>
      </c>
      <c r="F173" s="72">
        <v>20</v>
      </c>
      <c r="G173" s="72">
        <v>3926.92</v>
      </c>
      <c r="H173" s="72">
        <v>4196.22</v>
      </c>
      <c r="I173" s="72">
        <v>4196.22</v>
      </c>
    </row>
    <row r="174" spans="1:9" ht="60" x14ac:dyDescent="0.25">
      <c r="A174" s="83">
        <f t="shared" si="9"/>
        <v>33</v>
      </c>
      <c r="B174" s="73" t="s">
        <v>349</v>
      </c>
      <c r="C174" s="72" t="s">
        <v>154</v>
      </c>
      <c r="D174" s="72">
        <v>85</v>
      </c>
      <c r="E174" s="72">
        <v>85</v>
      </c>
      <c r="F174" s="72">
        <v>85</v>
      </c>
      <c r="G174" s="72">
        <v>14751.749999999998</v>
      </c>
      <c r="H174" s="72">
        <v>14751.749999999998</v>
      </c>
      <c r="I174" s="72">
        <v>14751.749999999998</v>
      </c>
    </row>
    <row r="175" spans="1:9" ht="60" x14ac:dyDescent="0.25">
      <c r="A175" s="83">
        <f t="shared" si="9"/>
        <v>34</v>
      </c>
      <c r="B175" s="73" t="s">
        <v>166</v>
      </c>
      <c r="C175" s="72" t="s">
        <v>154</v>
      </c>
      <c r="D175" s="72">
        <v>35</v>
      </c>
      <c r="E175" s="72">
        <v>35</v>
      </c>
      <c r="F175" s="72">
        <v>35</v>
      </c>
      <c r="G175" s="72">
        <v>3913</v>
      </c>
      <c r="H175" s="72">
        <v>3913</v>
      </c>
      <c r="I175" s="72">
        <v>3913</v>
      </c>
    </row>
    <row r="176" spans="1:9" ht="90" x14ac:dyDescent="0.25">
      <c r="A176" s="83">
        <f t="shared" si="9"/>
        <v>35</v>
      </c>
      <c r="B176" s="73" t="s">
        <v>350</v>
      </c>
      <c r="C176" s="72" t="s">
        <v>154</v>
      </c>
      <c r="D176" s="72">
        <v>325</v>
      </c>
      <c r="E176" s="72">
        <v>325</v>
      </c>
      <c r="F176" s="72">
        <v>343</v>
      </c>
      <c r="G176" s="72">
        <v>28375.75</v>
      </c>
      <c r="H176" s="72">
        <v>28375.75</v>
      </c>
      <c r="I176" s="72">
        <v>28375.75</v>
      </c>
    </row>
    <row r="177" spans="1:9" ht="75" x14ac:dyDescent="0.25">
      <c r="A177" s="83">
        <f t="shared" si="9"/>
        <v>36</v>
      </c>
      <c r="B177" s="73" t="s">
        <v>168</v>
      </c>
      <c r="C177" s="72" t="s">
        <v>154</v>
      </c>
      <c r="D177" s="72">
        <v>460</v>
      </c>
      <c r="E177" s="72">
        <v>460</v>
      </c>
      <c r="F177" s="72">
        <v>465</v>
      </c>
      <c r="G177" s="72">
        <v>42361.4</v>
      </c>
      <c r="H177" s="72">
        <v>42361.4</v>
      </c>
      <c r="I177" s="72">
        <v>42361.4</v>
      </c>
    </row>
    <row r="178" spans="1:9" ht="75" x14ac:dyDescent="0.25">
      <c r="A178" s="83">
        <f t="shared" si="9"/>
        <v>37</v>
      </c>
      <c r="B178" s="73" t="s">
        <v>169</v>
      </c>
      <c r="C178" s="72" t="s">
        <v>154</v>
      </c>
      <c r="D178" s="72">
        <v>5371</v>
      </c>
      <c r="E178" s="72">
        <v>5371</v>
      </c>
      <c r="F178" s="72">
        <v>5495</v>
      </c>
      <c r="G178" s="72">
        <v>251592.91999999998</v>
      </c>
      <c r="H178" s="72">
        <v>251592.91999999998</v>
      </c>
      <c r="I178" s="72">
        <v>251592.91999999998</v>
      </c>
    </row>
    <row r="179" spans="1:9" ht="75" x14ac:dyDescent="0.25">
      <c r="A179" s="83">
        <f t="shared" si="9"/>
        <v>38</v>
      </c>
      <c r="B179" s="73" t="s">
        <v>170</v>
      </c>
      <c r="C179" s="72" t="s">
        <v>154</v>
      </c>
      <c r="D179" s="72">
        <v>1653</v>
      </c>
      <c r="E179" s="72">
        <v>1557</v>
      </c>
      <c r="F179" s="72">
        <v>1560</v>
      </c>
      <c r="G179" s="72">
        <v>62814</v>
      </c>
      <c r="H179" s="72">
        <v>59166</v>
      </c>
      <c r="I179" s="72">
        <v>59166</v>
      </c>
    </row>
    <row r="180" spans="1:9" ht="60" x14ac:dyDescent="0.25">
      <c r="A180" s="83">
        <f t="shared" si="9"/>
        <v>39</v>
      </c>
      <c r="B180" s="73" t="s">
        <v>171</v>
      </c>
      <c r="C180" s="72" t="s">
        <v>154</v>
      </c>
      <c r="D180" s="72">
        <v>6300</v>
      </c>
      <c r="E180" s="72">
        <v>6115</v>
      </c>
      <c r="F180" s="72">
        <v>6093</v>
      </c>
      <c r="G180" s="72">
        <v>98595</v>
      </c>
      <c r="H180" s="72">
        <v>95699.75</v>
      </c>
      <c r="I180" s="72">
        <v>95699.75</v>
      </c>
    </row>
    <row r="181" spans="1:9" ht="105" x14ac:dyDescent="0.25">
      <c r="A181" s="83">
        <f t="shared" si="9"/>
        <v>40</v>
      </c>
      <c r="B181" s="73" t="s">
        <v>172</v>
      </c>
      <c r="C181" s="72" t="s">
        <v>154</v>
      </c>
      <c r="D181" s="72">
        <v>394</v>
      </c>
      <c r="E181" s="72">
        <v>394</v>
      </c>
      <c r="F181" s="72">
        <v>446</v>
      </c>
      <c r="G181" s="72">
        <v>23963.1</v>
      </c>
      <c r="H181" s="72">
        <v>23963.1</v>
      </c>
      <c r="I181" s="72">
        <v>23963.1</v>
      </c>
    </row>
    <row r="182" spans="1:9" ht="30" x14ac:dyDescent="0.25">
      <c r="A182" s="83">
        <f t="shared" si="9"/>
        <v>41</v>
      </c>
      <c r="B182" s="73" t="s">
        <v>175</v>
      </c>
      <c r="C182" s="72" t="s">
        <v>174</v>
      </c>
      <c r="D182" s="72">
        <v>172450</v>
      </c>
      <c r="E182" s="72">
        <v>173111</v>
      </c>
      <c r="F182" s="72">
        <v>174193</v>
      </c>
      <c r="G182" s="72">
        <v>528498.6</v>
      </c>
      <c r="H182" s="72">
        <v>528498.6</v>
      </c>
      <c r="I182" s="72">
        <v>528498.6</v>
      </c>
    </row>
    <row r="183" spans="1:9" ht="30" x14ac:dyDescent="0.25">
      <c r="A183" s="83">
        <f t="shared" si="9"/>
        <v>42</v>
      </c>
      <c r="B183" s="73" t="s">
        <v>176</v>
      </c>
      <c r="C183" s="72" t="s">
        <v>177</v>
      </c>
      <c r="D183" s="72">
        <v>850</v>
      </c>
      <c r="E183" s="72">
        <v>850</v>
      </c>
      <c r="F183" s="72">
        <v>933</v>
      </c>
      <c r="G183" s="72">
        <v>18899.75</v>
      </c>
      <c r="H183" s="72">
        <v>18899.75</v>
      </c>
      <c r="I183" s="72">
        <v>18899.75</v>
      </c>
    </row>
    <row r="184" spans="1:9" ht="30" x14ac:dyDescent="0.25">
      <c r="A184" s="83">
        <f t="shared" si="9"/>
        <v>43</v>
      </c>
      <c r="B184" s="73" t="s">
        <v>178</v>
      </c>
      <c r="C184" s="72" t="s">
        <v>205</v>
      </c>
      <c r="D184" s="72">
        <v>1</v>
      </c>
      <c r="E184" s="72">
        <v>1</v>
      </c>
      <c r="F184" s="72">
        <v>1</v>
      </c>
      <c r="G184" s="72">
        <v>10214.200000000001</v>
      </c>
      <c r="H184" s="72">
        <v>10214.200000000001</v>
      </c>
      <c r="I184" s="72">
        <v>10214.200000000001</v>
      </c>
    </row>
    <row r="185" spans="1:9" ht="75" x14ac:dyDescent="0.25">
      <c r="A185" s="83">
        <f t="shared" si="9"/>
        <v>44</v>
      </c>
      <c r="B185" s="73" t="s">
        <v>351</v>
      </c>
      <c r="C185" s="72" t="s">
        <v>181</v>
      </c>
      <c r="D185" s="72">
        <v>1730</v>
      </c>
      <c r="E185" s="72">
        <v>1730</v>
      </c>
      <c r="F185" s="72">
        <v>1831</v>
      </c>
      <c r="G185" s="72">
        <v>203569.1</v>
      </c>
      <c r="H185" s="72">
        <v>203569.1</v>
      </c>
      <c r="I185" s="72">
        <v>203569.1</v>
      </c>
    </row>
    <row r="186" spans="1:9" ht="45" x14ac:dyDescent="0.25">
      <c r="A186" s="83">
        <f t="shared" si="9"/>
        <v>45</v>
      </c>
      <c r="B186" s="73" t="s">
        <v>352</v>
      </c>
      <c r="C186" s="72" t="s">
        <v>181</v>
      </c>
      <c r="D186" s="72">
        <v>2415</v>
      </c>
      <c r="E186" s="72">
        <v>2415</v>
      </c>
      <c r="F186" s="72">
        <v>2904</v>
      </c>
      <c r="G186" s="72">
        <v>26540.85</v>
      </c>
      <c r="H186" s="72">
        <v>26540.85</v>
      </c>
      <c r="I186" s="72">
        <v>26540.85</v>
      </c>
    </row>
    <row r="187" spans="1:9" ht="60" x14ac:dyDescent="0.25">
      <c r="A187" s="83">
        <f t="shared" si="9"/>
        <v>46</v>
      </c>
      <c r="B187" s="73" t="s">
        <v>353</v>
      </c>
      <c r="C187" s="72" t="s">
        <v>354</v>
      </c>
      <c r="D187" s="72">
        <v>229511</v>
      </c>
      <c r="E187" s="72">
        <v>229511</v>
      </c>
      <c r="F187" s="72">
        <v>229860</v>
      </c>
      <c r="G187" s="72">
        <v>114127.93</v>
      </c>
      <c r="H187" s="72">
        <v>114127.93</v>
      </c>
      <c r="I187" s="72">
        <v>114127.93</v>
      </c>
    </row>
    <row r="188" spans="1:9" ht="75" x14ac:dyDescent="0.25">
      <c r="A188" s="83">
        <f t="shared" si="9"/>
        <v>47</v>
      </c>
      <c r="B188" s="73" t="s">
        <v>355</v>
      </c>
      <c r="C188" s="72" t="s">
        <v>205</v>
      </c>
      <c r="D188" s="72">
        <v>1</v>
      </c>
      <c r="E188" s="72">
        <v>1</v>
      </c>
      <c r="F188" s="72">
        <v>1</v>
      </c>
      <c r="G188" s="72">
        <v>79662.600000000006</v>
      </c>
      <c r="H188" s="72">
        <v>79662.600000000006</v>
      </c>
      <c r="I188" s="72">
        <v>79662.600000000006</v>
      </c>
    </row>
    <row r="189" spans="1:9" ht="150" x14ac:dyDescent="0.25">
      <c r="A189" s="83">
        <f t="shared" si="9"/>
        <v>48</v>
      </c>
      <c r="B189" s="73" t="s">
        <v>356</v>
      </c>
      <c r="C189" s="72" t="s">
        <v>205</v>
      </c>
      <c r="D189" s="72">
        <v>1</v>
      </c>
      <c r="E189" s="72">
        <v>1</v>
      </c>
      <c r="F189" s="72">
        <v>1</v>
      </c>
      <c r="G189" s="72">
        <v>274634</v>
      </c>
      <c r="H189" s="72">
        <v>274634</v>
      </c>
      <c r="I189" s="72">
        <v>274634</v>
      </c>
    </row>
    <row r="190" spans="1:9" s="55" customFormat="1" x14ac:dyDescent="0.25">
      <c r="A190" s="77"/>
      <c r="B190" s="78" t="s">
        <v>0</v>
      </c>
      <c r="C190" s="76"/>
      <c r="D190" s="77"/>
      <c r="E190" s="77"/>
      <c r="F190" s="77" t="s">
        <v>8</v>
      </c>
      <c r="G190" s="122">
        <f>SUM(G142:G189)</f>
        <v>3499080.9500000007</v>
      </c>
      <c r="H190" s="122">
        <f t="shared" ref="H190:I190" si="10">SUM(H142:H189)</f>
        <v>3557166.0000000009</v>
      </c>
      <c r="I190" s="122">
        <f t="shared" si="10"/>
        <v>3557166.0000000009</v>
      </c>
    </row>
    <row r="191" spans="1:9" ht="14.45" customHeight="1" x14ac:dyDescent="0.25">
      <c r="A191" s="185" t="s">
        <v>62</v>
      </c>
      <c r="B191" s="185"/>
      <c r="C191" s="185"/>
      <c r="D191" s="185"/>
      <c r="E191" s="185"/>
      <c r="F191" s="185"/>
      <c r="G191" s="185"/>
      <c r="H191" s="185"/>
      <c r="I191" s="185"/>
    </row>
    <row r="192" spans="1:9" ht="45" x14ac:dyDescent="0.25">
      <c r="A192" s="145">
        <v>1</v>
      </c>
      <c r="B192" s="141" t="s">
        <v>63</v>
      </c>
      <c r="C192" s="140" t="s">
        <v>14</v>
      </c>
      <c r="D192" s="140">
        <v>4248</v>
      </c>
      <c r="E192" s="140">
        <v>4218</v>
      </c>
      <c r="F192" s="140">
        <v>4220</v>
      </c>
      <c r="G192" s="140">
        <v>461332.8</v>
      </c>
      <c r="H192" s="140">
        <v>458074.8</v>
      </c>
      <c r="I192" s="146">
        <v>458074.8</v>
      </c>
    </row>
    <row r="193" spans="1:9" ht="60" x14ac:dyDescent="0.25">
      <c r="A193" s="145">
        <v>2</v>
      </c>
      <c r="B193" s="141" t="s">
        <v>64</v>
      </c>
      <c r="C193" s="140" t="s">
        <v>14</v>
      </c>
      <c r="D193" s="140">
        <v>11667</v>
      </c>
      <c r="E193" s="140">
        <v>11679</v>
      </c>
      <c r="F193" s="140">
        <v>11679</v>
      </c>
      <c r="G193" s="140">
        <v>1456271.74</v>
      </c>
      <c r="H193" s="140">
        <v>1487779.8621290801</v>
      </c>
      <c r="I193" s="140">
        <v>1487779.8621290801</v>
      </c>
    </row>
    <row r="194" spans="1:9" ht="60" x14ac:dyDescent="0.25">
      <c r="A194" s="145">
        <v>3</v>
      </c>
      <c r="B194" s="141" t="s">
        <v>65</v>
      </c>
      <c r="C194" s="140" t="s">
        <v>14</v>
      </c>
      <c r="D194" s="140">
        <v>910</v>
      </c>
      <c r="E194" s="140">
        <v>886</v>
      </c>
      <c r="F194" s="140">
        <v>889</v>
      </c>
      <c r="G194" s="140">
        <v>51062.5</v>
      </c>
      <c r="H194" s="140">
        <v>49720.9</v>
      </c>
      <c r="I194" s="146">
        <v>49720.9</v>
      </c>
    </row>
    <row r="195" spans="1:9" ht="60" x14ac:dyDescent="0.25">
      <c r="A195" s="145">
        <v>4</v>
      </c>
      <c r="B195" s="141" t="s">
        <v>66</v>
      </c>
      <c r="C195" s="140" t="s">
        <v>67</v>
      </c>
      <c r="D195" s="140">
        <v>327600</v>
      </c>
      <c r="E195" s="140">
        <v>383040</v>
      </c>
      <c r="F195" s="140">
        <v>385740</v>
      </c>
      <c r="G195" s="140">
        <v>68468.399999999994</v>
      </c>
      <c r="H195" s="140">
        <v>69220.800000000003</v>
      </c>
      <c r="I195" s="146">
        <v>69220.800000000003</v>
      </c>
    </row>
    <row r="196" spans="1:9" ht="45" x14ac:dyDescent="0.25">
      <c r="A196" s="145">
        <v>5</v>
      </c>
      <c r="B196" s="141" t="s">
        <v>434</v>
      </c>
      <c r="C196" s="140" t="s">
        <v>14</v>
      </c>
      <c r="D196" s="140">
        <v>0</v>
      </c>
      <c r="E196" s="140">
        <v>13</v>
      </c>
      <c r="F196" s="140">
        <v>13</v>
      </c>
      <c r="G196" s="140">
        <v>0</v>
      </c>
      <c r="H196" s="140">
        <v>3059.7310422148803</v>
      </c>
      <c r="I196" s="140">
        <v>3059.7310422148803</v>
      </c>
    </row>
    <row r="197" spans="1:9" ht="45" x14ac:dyDescent="0.25">
      <c r="A197" s="145">
        <v>6</v>
      </c>
      <c r="B197" s="141" t="s">
        <v>68</v>
      </c>
      <c r="C197" s="140" t="s">
        <v>14</v>
      </c>
      <c r="D197" s="140">
        <v>3095</v>
      </c>
      <c r="E197" s="140">
        <v>3015</v>
      </c>
      <c r="F197" s="140">
        <v>3015</v>
      </c>
      <c r="G197" s="140">
        <v>614239.07999999996</v>
      </c>
      <c r="H197" s="140">
        <v>619785.13786752801</v>
      </c>
      <c r="I197" s="140">
        <v>619785.13786752801</v>
      </c>
    </row>
    <row r="198" spans="1:9" ht="45" x14ac:dyDescent="0.25">
      <c r="A198" s="145">
        <v>7</v>
      </c>
      <c r="B198" s="141" t="s">
        <v>69</v>
      </c>
      <c r="C198" s="140" t="s">
        <v>14</v>
      </c>
      <c r="D198" s="140">
        <v>162</v>
      </c>
      <c r="E198" s="140">
        <v>168</v>
      </c>
      <c r="F198" s="140">
        <v>168</v>
      </c>
      <c r="G198" s="140">
        <v>13564.468711656444</v>
      </c>
      <c r="H198" s="140">
        <v>14066.856441717793</v>
      </c>
      <c r="I198" s="140">
        <v>14066.856441717793</v>
      </c>
    </row>
    <row r="199" spans="1:9" ht="45" x14ac:dyDescent="0.25">
      <c r="A199" s="145">
        <v>8</v>
      </c>
      <c r="B199" s="141" t="s">
        <v>70</v>
      </c>
      <c r="C199" s="140" t="s">
        <v>14</v>
      </c>
      <c r="D199" s="140">
        <v>1113</v>
      </c>
      <c r="E199" s="140">
        <v>1102</v>
      </c>
      <c r="F199" s="140">
        <v>1102</v>
      </c>
      <c r="G199" s="140">
        <v>77532.527234042544</v>
      </c>
      <c r="H199" s="140">
        <v>76766.257872340415</v>
      </c>
      <c r="I199" s="140">
        <v>76766.257872340415</v>
      </c>
    </row>
    <row r="200" spans="1:9" ht="45" x14ac:dyDescent="0.25">
      <c r="A200" s="145">
        <v>9</v>
      </c>
      <c r="B200" s="141" t="s">
        <v>71</v>
      </c>
      <c r="C200" s="140" t="s">
        <v>14</v>
      </c>
      <c r="D200" s="140">
        <v>403</v>
      </c>
      <c r="E200" s="140">
        <v>400</v>
      </c>
      <c r="F200" s="140">
        <v>400</v>
      </c>
      <c r="G200" s="140">
        <v>69884.592699999994</v>
      </c>
      <c r="H200" s="140">
        <v>69364.36</v>
      </c>
      <c r="I200" s="140">
        <v>69364.36</v>
      </c>
    </row>
    <row r="201" spans="1:9" ht="45" x14ac:dyDescent="0.25">
      <c r="A201" s="145">
        <v>10</v>
      </c>
      <c r="B201" s="141" t="s">
        <v>435</v>
      </c>
      <c r="C201" s="140" t="s">
        <v>14</v>
      </c>
      <c r="D201" s="140">
        <v>25</v>
      </c>
      <c r="E201" s="140">
        <v>28</v>
      </c>
      <c r="F201" s="140">
        <v>28</v>
      </c>
      <c r="G201" s="140">
        <v>2824.8</v>
      </c>
      <c r="H201" s="140">
        <v>3344.5</v>
      </c>
      <c r="I201" s="140">
        <v>3344.5</v>
      </c>
    </row>
    <row r="202" spans="1:9" ht="30" x14ac:dyDescent="0.25">
      <c r="A202" s="145">
        <v>11</v>
      </c>
      <c r="B202" s="141" t="s">
        <v>72</v>
      </c>
      <c r="C202" s="140" t="s">
        <v>14</v>
      </c>
      <c r="D202" s="140">
        <v>228</v>
      </c>
      <c r="E202" s="140">
        <v>206</v>
      </c>
      <c r="F202" s="140">
        <v>206</v>
      </c>
      <c r="G202" s="140">
        <v>34637.111922330099</v>
      </c>
      <c r="H202" s="140">
        <v>33101.951999999997</v>
      </c>
      <c r="I202" s="140">
        <v>33101.951999999997</v>
      </c>
    </row>
    <row r="203" spans="1:9" ht="60" x14ac:dyDescent="0.25">
      <c r="A203" s="145">
        <v>12</v>
      </c>
      <c r="B203" s="141" t="s">
        <v>73</v>
      </c>
      <c r="C203" s="140" t="s">
        <v>14</v>
      </c>
      <c r="D203" s="140">
        <v>88.8</v>
      </c>
      <c r="E203" s="140">
        <v>125.7</v>
      </c>
      <c r="F203" s="140">
        <v>125.7</v>
      </c>
      <c r="G203" s="140">
        <v>20225.088</v>
      </c>
      <c r="H203" s="140">
        <v>28629.432000000001</v>
      </c>
      <c r="I203" s="140">
        <v>28629.432000000001</v>
      </c>
    </row>
    <row r="204" spans="1:9" ht="45" x14ac:dyDescent="0.25">
      <c r="A204" s="145">
        <v>13</v>
      </c>
      <c r="B204" s="137" t="s">
        <v>74</v>
      </c>
      <c r="C204" s="140" t="s">
        <v>14</v>
      </c>
      <c r="D204" s="140">
        <v>80.099999999999994</v>
      </c>
      <c r="E204" s="140">
        <v>43.2</v>
      </c>
      <c r="F204" s="140">
        <v>43.2</v>
      </c>
      <c r="G204" s="140">
        <v>8079.08</v>
      </c>
      <c r="H204" s="140">
        <v>6514.5600000000013</v>
      </c>
      <c r="I204" s="140">
        <v>6514.5600000000013</v>
      </c>
    </row>
    <row r="205" spans="1:9" ht="30" x14ac:dyDescent="0.25">
      <c r="A205" s="145">
        <v>14</v>
      </c>
      <c r="B205" s="141" t="s">
        <v>75</v>
      </c>
      <c r="C205" s="140" t="s">
        <v>67</v>
      </c>
      <c r="D205" s="140">
        <v>253135</v>
      </c>
      <c r="E205" s="140">
        <v>268879</v>
      </c>
      <c r="F205" s="140">
        <v>268879</v>
      </c>
      <c r="G205" s="140">
        <v>24209.750400000001</v>
      </c>
      <c r="H205" s="140">
        <v>29964.3</v>
      </c>
      <c r="I205" s="140">
        <v>29964.3</v>
      </c>
    </row>
    <row r="206" spans="1:9" ht="30" x14ac:dyDescent="0.25">
      <c r="A206" s="145">
        <v>15</v>
      </c>
      <c r="B206" s="141" t="s">
        <v>76</v>
      </c>
      <c r="C206" s="140" t="s">
        <v>67</v>
      </c>
      <c r="D206" s="140">
        <v>1007166</v>
      </c>
      <c r="E206" s="140">
        <v>1498674</v>
      </c>
      <c r="F206" s="140">
        <v>1498674</v>
      </c>
      <c r="G206" s="140">
        <v>156198.09664</v>
      </c>
      <c r="H206" s="140">
        <v>163009.70000000001</v>
      </c>
      <c r="I206" s="140">
        <v>163009.70000000001</v>
      </c>
    </row>
    <row r="207" spans="1:9" ht="45" x14ac:dyDescent="0.25">
      <c r="A207" s="145">
        <v>16</v>
      </c>
      <c r="B207" s="141" t="s">
        <v>83</v>
      </c>
      <c r="C207" s="140" t="s">
        <v>14</v>
      </c>
      <c r="D207" s="140">
        <v>4660</v>
      </c>
      <c r="E207" s="142">
        <v>4660</v>
      </c>
      <c r="F207" s="142">
        <v>4660</v>
      </c>
      <c r="G207" s="140">
        <v>4187.3999999999987</v>
      </c>
      <c r="H207" s="140">
        <v>4187.3999999999987</v>
      </c>
      <c r="I207" s="140">
        <v>4187.3999999999987</v>
      </c>
    </row>
    <row r="208" spans="1:9" ht="30" x14ac:dyDescent="0.25">
      <c r="A208" s="145">
        <v>17</v>
      </c>
      <c r="B208" s="141" t="s">
        <v>84</v>
      </c>
      <c r="C208" s="140" t="s">
        <v>14</v>
      </c>
      <c r="D208" s="140">
        <v>1378</v>
      </c>
      <c r="E208" s="142">
        <v>1453</v>
      </c>
      <c r="F208" s="140">
        <v>1453</v>
      </c>
      <c r="G208" s="140">
        <v>11368.5</v>
      </c>
      <c r="H208" s="140">
        <v>11984.4</v>
      </c>
      <c r="I208" s="140">
        <v>11984.4</v>
      </c>
    </row>
    <row r="209" spans="1:9" ht="30" x14ac:dyDescent="0.25">
      <c r="A209" s="145">
        <v>18</v>
      </c>
      <c r="B209" s="141" t="s">
        <v>85</v>
      </c>
      <c r="C209" s="140" t="s">
        <v>14</v>
      </c>
      <c r="D209" s="140">
        <v>30</v>
      </c>
      <c r="E209" s="142">
        <v>30</v>
      </c>
      <c r="F209" s="140">
        <v>30</v>
      </c>
      <c r="G209" s="140">
        <v>2332.8000000000002</v>
      </c>
      <c r="H209" s="140">
        <v>2332.8000000000002</v>
      </c>
      <c r="I209" s="140">
        <v>2332.8000000000002</v>
      </c>
    </row>
    <row r="210" spans="1:9" ht="30" x14ac:dyDescent="0.25">
      <c r="A210" s="145">
        <v>19</v>
      </c>
      <c r="B210" s="138" t="s">
        <v>436</v>
      </c>
      <c r="C210" s="140" t="s">
        <v>67</v>
      </c>
      <c r="D210" s="142">
        <v>1171397</v>
      </c>
      <c r="E210" s="142">
        <v>1171397</v>
      </c>
      <c r="F210" s="142">
        <v>1171397</v>
      </c>
      <c r="G210" s="140">
        <v>186811.08113720099</v>
      </c>
      <c r="H210" s="140">
        <v>186811.08113720099</v>
      </c>
      <c r="I210" s="140">
        <v>186811.08113720099</v>
      </c>
    </row>
    <row r="211" spans="1:9" ht="30" x14ac:dyDescent="0.25">
      <c r="A211" s="145">
        <v>20</v>
      </c>
      <c r="B211" s="138" t="s">
        <v>437</v>
      </c>
      <c r="C211" s="140" t="s">
        <v>67</v>
      </c>
      <c r="D211" s="140">
        <v>118080</v>
      </c>
      <c r="E211" s="142">
        <v>118080</v>
      </c>
      <c r="F211" s="140">
        <v>118080</v>
      </c>
      <c r="G211" s="140">
        <v>6533.5750180022633</v>
      </c>
      <c r="H211" s="140">
        <v>6533.5750180022633</v>
      </c>
      <c r="I211" s="140">
        <v>6533.5750180022633</v>
      </c>
    </row>
    <row r="212" spans="1:9" ht="60" x14ac:dyDescent="0.25">
      <c r="A212" s="145">
        <v>21</v>
      </c>
      <c r="B212" s="138" t="s">
        <v>438</v>
      </c>
      <c r="C212" s="140" t="s">
        <v>14</v>
      </c>
      <c r="D212" s="140">
        <v>97</v>
      </c>
      <c r="E212" s="142">
        <v>97</v>
      </c>
      <c r="F212" s="140">
        <v>97</v>
      </c>
      <c r="G212" s="140">
        <v>30570.509701052601</v>
      </c>
      <c r="H212" s="140">
        <v>30570.509701052601</v>
      </c>
      <c r="I212" s="140">
        <v>30570.509701052601</v>
      </c>
    </row>
    <row r="213" spans="1:9" ht="45" x14ac:dyDescent="0.25">
      <c r="A213" s="145">
        <v>22</v>
      </c>
      <c r="B213" s="141" t="s">
        <v>87</v>
      </c>
      <c r="C213" s="140" t="s">
        <v>88</v>
      </c>
      <c r="D213" s="140">
        <v>44</v>
      </c>
      <c r="E213" s="140">
        <v>72</v>
      </c>
      <c r="F213" s="140">
        <v>72</v>
      </c>
      <c r="G213" s="140">
        <v>5423.4</v>
      </c>
      <c r="H213" s="140">
        <v>7185.1799999999994</v>
      </c>
      <c r="I213" s="140">
        <v>7185.1799999999994</v>
      </c>
    </row>
    <row r="214" spans="1:9" ht="45" x14ac:dyDescent="0.25">
      <c r="A214" s="145">
        <v>23</v>
      </c>
      <c r="B214" s="141" t="s">
        <v>87</v>
      </c>
      <c r="C214" s="140" t="s">
        <v>88</v>
      </c>
      <c r="D214" s="140">
        <v>166</v>
      </c>
      <c r="E214" s="142">
        <v>201</v>
      </c>
      <c r="F214" s="140">
        <v>201</v>
      </c>
      <c r="G214" s="140">
        <v>23238.696000000004</v>
      </c>
      <c r="H214" s="140">
        <v>27552.799999999999</v>
      </c>
      <c r="I214" s="140">
        <v>27552.796000000002</v>
      </c>
    </row>
    <row r="215" spans="1:9" s="135" customFormat="1" ht="30" x14ac:dyDescent="0.25">
      <c r="A215" s="145">
        <v>24</v>
      </c>
      <c r="B215" s="141" t="s">
        <v>89</v>
      </c>
      <c r="C215" s="140" t="s">
        <v>88</v>
      </c>
      <c r="D215" s="140">
        <v>30</v>
      </c>
      <c r="E215" s="142">
        <v>37</v>
      </c>
      <c r="F215" s="140">
        <v>37</v>
      </c>
      <c r="G215" s="140">
        <v>3697.8</v>
      </c>
      <c r="H215" s="140">
        <v>4314.1000000000004</v>
      </c>
      <c r="I215" s="140">
        <v>4314.1000000000004</v>
      </c>
    </row>
    <row r="216" spans="1:9" s="135" customFormat="1" ht="30" x14ac:dyDescent="0.25">
      <c r="A216" s="145">
        <v>25</v>
      </c>
      <c r="B216" s="141" t="s">
        <v>90</v>
      </c>
      <c r="C216" s="140" t="s">
        <v>88</v>
      </c>
      <c r="D216" s="140">
        <v>220</v>
      </c>
      <c r="E216" s="140">
        <v>220</v>
      </c>
      <c r="F216" s="140">
        <v>220</v>
      </c>
      <c r="G216" s="140">
        <v>16795.272000000001</v>
      </c>
      <c r="H216" s="140">
        <v>16795.272000000001</v>
      </c>
      <c r="I216" s="140">
        <v>16795.272000000001</v>
      </c>
    </row>
    <row r="217" spans="1:9" s="135" customFormat="1" x14ac:dyDescent="0.25">
      <c r="A217" s="145">
        <v>26</v>
      </c>
      <c r="B217" s="141" t="s">
        <v>91</v>
      </c>
      <c r="C217" s="140" t="s">
        <v>92</v>
      </c>
      <c r="D217" s="140">
        <v>81933</v>
      </c>
      <c r="E217" s="140">
        <v>81933</v>
      </c>
      <c r="F217" s="140">
        <v>81933</v>
      </c>
      <c r="G217" s="140">
        <v>249196.5</v>
      </c>
      <c r="H217" s="140">
        <v>249196.5</v>
      </c>
      <c r="I217" s="140">
        <v>249196.5</v>
      </c>
    </row>
    <row r="218" spans="1:9" s="135" customFormat="1" ht="30" x14ac:dyDescent="0.25">
      <c r="A218" s="145">
        <v>27</v>
      </c>
      <c r="B218" s="141" t="s">
        <v>93</v>
      </c>
      <c r="C218" s="140" t="s">
        <v>14</v>
      </c>
      <c r="D218" s="140">
        <v>284</v>
      </c>
      <c r="E218" s="140">
        <v>284</v>
      </c>
      <c r="F218" s="140">
        <v>284</v>
      </c>
      <c r="G218" s="140">
        <v>30728.5</v>
      </c>
      <c r="H218" s="140">
        <v>30728.5</v>
      </c>
      <c r="I218" s="140">
        <v>30728.5</v>
      </c>
    </row>
    <row r="219" spans="1:9" s="135" customFormat="1" ht="105" x14ac:dyDescent="0.25">
      <c r="A219" s="145">
        <v>28</v>
      </c>
      <c r="B219" s="141" t="s">
        <v>94</v>
      </c>
      <c r="C219" s="140" t="s">
        <v>14</v>
      </c>
      <c r="D219" s="140">
        <v>136381</v>
      </c>
      <c r="E219" s="140">
        <v>136381</v>
      </c>
      <c r="F219" s="140">
        <v>167090</v>
      </c>
      <c r="G219" s="140">
        <v>89047</v>
      </c>
      <c r="H219" s="140">
        <v>89047</v>
      </c>
      <c r="I219" s="140">
        <v>89047</v>
      </c>
    </row>
    <row r="220" spans="1:9" s="135" customFormat="1" ht="30" x14ac:dyDescent="0.25">
      <c r="A220" s="145">
        <v>29</v>
      </c>
      <c r="B220" s="141" t="s">
        <v>95</v>
      </c>
      <c r="C220" s="140" t="s">
        <v>14</v>
      </c>
      <c r="D220" s="140">
        <v>11450</v>
      </c>
      <c r="E220" s="140">
        <v>11466</v>
      </c>
      <c r="F220" s="140">
        <v>16414</v>
      </c>
      <c r="G220" s="140">
        <v>19351.199999999997</v>
      </c>
      <c r="H220" s="140">
        <v>19351.199999999997</v>
      </c>
      <c r="I220" s="140">
        <v>19351.199999999997</v>
      </c>
    </row>
    <row r="221" spans="1:9" s="135" customFormat="1" ht="120" x14ac:dyDescent="0.25">
      <c r="A221" s="145">
        <v>30</v>
      </c>
      <c r="B221" s="141" t="s">
        <v>96</v>
      </c>
      <c r="C221" s="140" t="s">
        <v>14</v>
      </c>
      <c r="D221" s="140">
        <v>96665</v>
      </c>
      <c r="E221" s="140">
        <v>96665</v>
      </c>
      <c r="F221" s="140">
        <v>96665</v>
      </c>
      <c r="G221" s="140">
        <v>99605.276635041882</v>
      </c>
      <c r="H221" s="140">
        <v>99605.276635041882</v>
      </c>
      <c r="I221" s="140">
        <v>99605.276635041882</v>
      </c>
    </row>
    <row r="222" spans="1:9" s="135" customFormat="1" ht="45" x14ac:dyDescent="0.25">
      <c r="A222" s="145">
        <v>31</v>
      </c>
      <c r="B222" s="141" t="s">
        <v>424</v>
      </c>
      <c r="C222" s="140" t="s">
        <v>425</v>
      </c>
      <c r="D222" s="140">
        <v>86976</v>
      </c>
      <c r="E222" s="140">
        <v>70833</v>
      </c>
      <c r="F222" s="140">
        <v>70833</v>
      </c>
      <c r="G222" s="140">
        <v>72642.399999999994</v>
      </c>
      <c r="H222" s="142">
        <v>67753.241497654511</v>
      </c>
      <c r="I222" s="142">
        <v>67753.241497654511</v>
      </c>
    </row>
    <row r="223" spans="1:9" s="135" customFormat="1" ht="45" x14ac:dyDescent="0.25">
      <c r="A223" s="145">
        <v>32</v>
      </c>
      <c r="B223" s="141" t="s">
        <v>426</v>
      </c>
      <c r="C223" s="140" t="s">
        <v>92</v>
      </c>
      <c r="D223" s="140">
        <v>17792</v>
      </c>
      <c r="E223" s="140">
        <v>13268</v>
      </c>
      <c r="F223" s="140">
        <v>13268</v>
      </c>
      <c r="G223" s="140">
        <v>39415.599999999999</v>
      </c>
      <c r="H223" s="142">
        <v>32493.333003597119</v>
      </c>
      <c r="I223" s="142">
        <v>32493.333003597119</v>
      </c>
    </row>
    <row r="224" spans="1:9" s="135" customFormat="1" ht="60" x14ac:dyDescent="0.25">
      <c r="A224" s="145">
        <v>33</v>
      </c>
      <c r="B224" s="141" t="s">
        <v>431</v>
      </c>
      <c r="C224" s="140" t="s">
        <v>14</v>
      </c>
      <c r="D224" s="140">
        <v>110</v>
      </c>
      <c r="E224" s="140">
        <v>93</v>
      </c>
      <c r="F224" s="140">
        <v>93</v>
      </c>
      <c r="G224" s="140">
        <v>4004</v>
      </c>
      <c r="H224" s="142">
        <v>3385.2</v>
      </c>
      <c r="I224" s="142">
        <v>3385.2</v>
      </c>
    </row>
    <row r="225" spans="1:9" s="135" customFormat="1" ht="60" x14ac:dyDescent="0.25">
      <c r="A225" s="145">
        <v>34</v>
      </c>
      <c r="B225" s="141" t="s">
        <v>432</v>
      </c>
      <c r="C225" s="140" t="s">
        <v>92</v>
      </c>
      <c r="D225" s="140">
        <v>17613</v>
      </c>
      <c r="E225" s="140">
        <v>15221</v>
      </c>
      <c r="F225" s="140">
        <v>15221</v>
      </c>
      <c r="G225" s="140">
        <v>29659.4</v>
      </c>
      <c r="H225" s="140">
        <v>29353.07</v>
      </c>
      <c r="I225" s="140">
        <v>29353.07</v>
      </c>
    </row>
    <row r="226" spans="1:9" s="135" customFormat="1" ht="60" x14ac:dyDescent="0.25">
      <c r="A226" s="145">
        <v>35</v>
      </c>
      <c r="B226" s="143" t="s">
        <v>439</v>
      </c>
      <c r="C226" s="140" t="s">
        <v>14</v>
      </c>
      <c r="D226" s="140">
        <v>22</v>
      </c>
      <c r="E226" s="140">
        <v>22</v>
      </c>
      <c r="F226" s="140">
        <v>22</v>
      </c>
      <c r="G226" s="140">
        <v>14220.115652187376</v>
      </c>
      <c r="H226" s="140">
        <v>14220.115652187376</v>
      </c>
      <c r="I226" s="140">
        <v>14220.115652187376</v>
      </c>
    </row>
    <row r="227" spans="1:9" s="135" customFormat="1" ht="60" x14ac:dyDescent="0.25">
      <c r="A227" s="145">
        <v>36</v>
      </c>
      <c r="B227" s="143" t="s">
        <v>440</v>
      </c>
      <c r="C227" s="140" t="s">
        <v>14</v>
      </c>
      <c r="D227" s="140">
        <v>25</v>
      </c>
      <c r="E227" s="140">
        <v>25</v>
      </c>
      <c r="F227" s="140">
        <v>25</v>
      </c>
      <c r="G227" s="140">
        <v>19200.347757360527</v>
      </c>
      <c r="H227" s="140">
        <v>19200.347757360527</v>
      </c>
      <c r="I227" s="140">
        <v>19200.347757360527</v>
      </c>
    </row>
    <row r="228" spans="1:9" s="135" customFormat="1" x14ac:dyDescent="0.25">
      <c r="A228" s="145">
        <v>37</v>
      </c>
      <c r="B228" s="143" t="s">
        <v>441</v>
      </c>
      <c r="C228" s="140" t="s">
        <v>67</v>
      </c>
      <c r="D228" s="140">
        <v>51480</v>
      </c>
      <c r="E228" s="140">
        <v>51480</v>
      </c>
      <c r="F228" s="140">
        <v>51480</v>
      </c>
      <c r="G228" s="140">
        <v>6642.2184279029852</v>
      </c>
      <c r="H228" s="140">
        <v>6642.2184279029852</v>
      </c>
      <c r="I228" s="140">
        <v>6642.2184279029852</v>
      </c>
    </row>
    <row r="229" spans="1:9" s="135" customFormat="1" ht="30" x14ac:dyDescent="0.25">
      <c r="A229" s="145">
        <v>38</v>
      </c>
      <c r="B229" s="143" t="s">
        <v>442</v>
      </c>
      <c r="C229" s="140" t="s">
        <v>67</v>
      </c>
      <c r="D229" s="140">
        <v>138000</v>
      </c>
      <c r="E229" s="140">
        <v>138000</v>
      </c>
      <c r="F229" s="140">
        <v>138000</v>
      </c>
      <c r="G229" s="140">
        <v>9658.3127715488317</v>
      </c>
      <c r="H229" s="140">
        <v>9658.3127715488317</v>
      </c>
      <c r="I229" s="140">
        <v>9658.3127715488317</v>
      </c>
    </row>
    <row r="230" spans="1:9" s="135" customFormat="1" ht="45" x14ac:dyDescent="0.25">
      <c r="A230" s="145">
        <v>39</v>
      </c>
      <c r="B230" s="141" t="s">
        <v>443</v>
      </c>
      <c r="C230" s="140" t="s">
        <v>14</v>
      </c>
      <c r="D230" s="140">
        <v>5</v>
      </c>
      <c r="E230" s="140">
        <v>5</v>
      </c>
      <c r="F230" s="140">
        <v>5</v>
      </c>
      <c r="G230" s="140">
        <v>1973.674970285753</v>
      </c>
      <c r="H230" s="142">
        <v>2086.7419960006678</v>
      </c>
      <c r="I230" s="140">
        <v>2086.7419960006678</v>
      </c>
    </row>
    <row r="231" spans="1:9" s="135" customFormat="1" ht="60" x14ac:dyDescent="0.25">
      <c r="A231" s="145">
        <v>40</v>
      </c>
      <c r="B231" s="143" t="s">
        <v>444</v>
      </c>
      <c r="C231" s="140" t="s">
        <v>14</v>
      </c>
      <c r="D231" s="140">
        <v>20</v>
      </c>
      <c r="E231" s="140">
        <v>20</v>
      </c>
      <c r="F231" s="140">
        <v>20</v>
      </c>
      <c r="G231" s="140">
        <v>9793.2521636907368</v>
      </c>
      <c r="H231" s="142">
        <v>10354.283696691506</v>
      </c>
      <c r="I231" s="140">
        <v>10354.283696691506</v>
      </c>
    </row>
    <row r="232" spans="1:9" s="135" customFormat="1" ht="30" x14ac:dyDescent="0.25">
      <c r="A232" s="145">
        <v>41</v>
      </c>
      <c r="B232" s="143" t="s">
        <v>445</v>
      </c>
      <c r="C232" s="140" t="s">
        <v>14</v>
      </c>
      <c r="D232" s="140">
        <v>753</v>
      </c>
      <c r="E232" s="140">
        <v>735</v>
      </c>
      <c r="F232" s="140">
        <v>735</v>
      </c>
      <c r="G232" s="140">
        <v>236852.62657492884</v>
      </c>
      <c r="H232" s="142">
        <v>250421.33592311258</v>
      </c>
      <c r="I232" s="140">
        <v>250421.33592311258</v>
      </c>
    </row>
    <row r="233" spans="1:9" s="135" customFormat="1" ht="30" x14ac:dyDescent="0.25">
      <c r="A233" s="145">
        <v>42</v>
      </c>
      <c r="B233" s="141" t="s">
        <v>446</v>
      </c>
      <c r="C233" s="140" t="s">
        <v>14</v>
      </c>
      <c r="D233" s="140">
        <v>686</v>
      </c>
      <c r="E233" s="140">
        <v>686</v>
      </c>
      <c r="F233" s="140">
        <v>686</v>
      </c>
      <c r="G233" s="140">
        <v>221062.45146993359</v>
      </c>
      <c r="H233" s="142">
        <v>233726.58019490508</v>
      </c>
      <c r="I233" s="140">
        <v>233726.58019490508</v>
      </c>
    </row>
    <row r="234" spans="1:9" s="135" customFormat="1" ht="60" x14ac:dyDescent="0.25">
      <c r="A234" s="145">
        <v>43</v>
      </c>
      <c r="B234" s="141" t="s">
        <v>447</v>
      </c>
      <c r="C234" s="140" t="s">
        <v>14</v>
      </c>
      <c r="D234" s="140">
        <v>30</v>
      </c>
      <c r="E234" s="140">
        <v>30</v>
      </c>
      <c r="F234" s="140">
        <v>30</v>
      </c>
      <c r="G234" s="140">
        <v>39768.76060377316</v>
      </c>
      <c r="H234" s="142">
        <v>42047.015912035036</v>
      </c>
      <c r="I234" s="140">
        <v>42047.015912035036</v>
      </c>
    </row>
    <row r="235" spans="1:9" s="135" customFormat="1" x14ac:dyDescent="0.25">
      <c r="A235" s="145">
        <v>44</v>
      </c>
      <c r="B235" s="141" t="s">
        <v>448</v>
      </c>
      <c r="C235" s="140" t="s">
        <v>14</v>
      </c>
      <c r="D235" s="140">
        <v>97</v>
      </c>
      <c r="E235" s="140">
        <v>97</v>
      </c>
      <c r="F235" s="140">
        <v>97</v>
      </c>
      <c r="G235" s="140">
        <v>31258.101738459991</v>
      </c>
      <c r="H235" s="142">
        <v>33048.802155839345</v>
      </c>
      <c r="I235" s="140">
        <v>33048.802155839345</v>
      </c>
    </row>
    <row r="236" spans="1:9" s="135" customFormat="1" ht="60" x14ac:dyDescent="0.25">
      <c r="A236" s="145">
        <v>45</v>
      </c>
      <c r="B236" s="141" t="s">
        <v>449</v>
      </c>
      <c r="C236" s="140" t="s">
        <v>14</v>
      </c>
      <c r="D236" s="140">
        <v>82</v>
      </c>
      <c r="E236" s="140">
        <v>82</v>
      </c>
      <c r="F236" s="140">
        <v>82</v>
      </c>
      <c r="G236" s="140">
        <v>20062.854996383325</v>
      </c>
      <c r="H236" s="142">
        <v>21212.20703050384</v>
      </c>
      <c r="I236" s="140">
        <v>21212.20703050384</v>
      </c>
    </row>
    <row r="237" spans="1:9" s="135" customFormat="1" ht="60" x14ac:dyDescent="0.25">
      <c r="A237" s="145">
        <v>46</v>
      </c>
      <c r="B237" s="141" t="s">
        <v>450</v>
      </c>
      <c r="C237" s="140" t="s">
        <v>14</v>
      </c>
      <c r="D237" s="140">
        <v>25</v>
      </c>
      <c r="E237" s="140">
        <v>25</v>
      </c>
      <c r="F237" s="140">
        <v>25</v>
      </c>
      <c r="G237" s="140">
        <v>9672.8735240934457</v>
      </c>
      <c r="H237" s="142">
        <v>10227.008858407102</v>
      </c>
      <c r="I237" s="140">
        <v>10227.008858407102</v>
      </c>
    </row>
    <row r="238" spans="1:9" s="135" customFormat="1" ht="75" x14ac:dyDescent="0.25">
      <c r="A238" s="145">
        <v>47</v>
      </c>
      <c r="B238" s="143" t="s">
        <v>451</v>
      </c>
      <c r="C238" s="139" t="s">
        <v>14</v>
      </c>
      <c r="D238" s="140">
        <v>53</v>
      </c>
      <c r="E238" s="140">
        <v>53</v>
      </c>
      <c r="F238" s="140">
        <v>53</v>
      </c>
      <c r="G238" s="140">
        <v>16160.195488740543</v>
      </c>
      <c r="H238" s="142">
        <v>17085.973677344176</v>
      </c>
      <c r="I238" s="140">
        <v>17085.973677344176</v>
      </c>
    </row>
    <row r="239" spans="1:9" s="135" customFormat="1" ht="75" x14ac:dyDescent="0.25">
      <c r="A239" s="145">
        <v>48</v>
      </c>
      <c r="B239" s="143" t="s">
        <v>452</v>
      </c>
      <c r="C239" s="140" t="s">
        <v>14</v>
      </c>
      <c r="D239" s="140">
        <v>405</v>
      </c>
      <c r="E239" s="142">
        <v>387</v>
      </c>
      <c r="F239" s="140">
        <v>387</v>
      </c>
      <c r="G239" s="140">
        <v>142676.24349573188</v>
      </c>
      <c r="H239" s="142">
        <v>150849.8175315336</v>
      </c>
      <c r="I239" s="140">
        <v>150849.8175315336</v>
      </c>
    </row>
    <row r="240" spans="1:9" s="135" customFormat="1" ht="60" x14ac:dyDescent="0.25">
      <c r="A240" s="145">
        <v>49</v>
      </c>
      <c r="B240" s="143" t="s">
        <v>453</v>
      </c>
      <c r="C240" s="140" t="s">
        <v>14</v>
      </c>
      <c r="D240" s="140">
        <v>5</v>
      </c>
      <c r="E240" s="140">
        <v>5</v>
      </c>
      <c r="F240" s="140">
        <v>5</v>
      </c>
      <c r="G240" s="140">
        <v>1524.5467442208055</v>
      </c>
      <c r="H240" s="142">
        <v>1611.8843091834126</v>
      </c>
      <c r="I240" s="140">
        <v>1611.8843091834126</v>
      </c>
    </row>
    <row r="241" spans="1:9" s="135" customFormat="1" ht="60" x14ac:dyDescent="0.25">
      <c r="A241" s="145">
        <v>50</v>
      </c>
      <c r="B241" s="141" t="s">
        <v>454</v>
      </c>
      <c r="C241" s="140" t="s">
        <v>14</v>
      </c>
      <c r="D241" s="140">
        <v>291</v>
      </c>
      <c r="E241" s="140">
        <v>291</v>
      </c>
      <c r="F241" s="140">
        <v>291</v>
      </c>
      <c r="G241" s="140">
        <v>82766.525966845104</v>
      </c>
      <c r="H241" s="142">
        <v>87508.018391239864</v>
      </c>
      <c r="I241" s="140">
        <v>87508.018391239864</v>
      </c>
    </row>
    <row r="242" spans="1:9" s="135" customFormat="1" ht="60" x14ac:dyDescent="0.25">
      <c r="A242" s="145">
        <v>51</v>
      </c>
      <c r="B242" s="144" t="s">
        <v>455</v>
      </c>
      <c r="C242" s="140" t="s">
        <v>14</v>
      </c>
      <c r="D242" s="140">
        <v>2</v>
      </c>
      <c r="E242" s="142">
        <v>2</v>
      </c>
      <c r="F242" s="140">
        <v>2</v>
      </c>
      <c r="G242" s="140">
        <v>609.81869768832235</v>
      </c>
      <c r="H242" s="142">
        <v>644.75372367336513</v>
      </c>
      <c r="I242" s="140">
        <v>644.75372367336513</v>
      </c>
    </row>
    <row r="243" spans="1:9" s="135" customFormat="1" ht="75" x14ac:dyDescent="0.25">
      <c r="A243" s="145">
        <v>52</v>
      </c>
      <c r="B243" s="136" t="s">
        <v>456</v>
      </c>
      <c r="C243" s="142" t="s">
        <v>14</v>
      </c>
      <c r="D243" s="140">
        <v>73</v>
      </c>
      <c r="E243" s="142">
        <v>73</v>
      </c>
      <c r="F243" s="140">
        <v>73</v>
      </c>
      <c r="G243" s="140">
        <v>28244.79069035286</v>
      </c>
      <c r="H243" s="142">
        <v>29862.865866548738</v>
      </c>
      <c r="I243" s="142">
        <v>29862.865866548738</v>
      </c>
    </row>
    <row r="244" spans="1:9" s="135" customFormat="1" ht="45" x14ac:dyDescent="0.25">
      <c r="A244" s="145">
        <v>53</v>
      </c>
      <c r="B244" s="141" t="s">
        <v>457</v>
      </c>
      <c r="C244" s="140" t="s">
        <v>14</v>
      </c>
      <c r="D244" s="140">
        <v>64</v>
      </c>
      <c r="E244" s="140">
        <v>64</v>
      </c>
      <c r="F244" s="140">
        <v>46</v>
      </c>
      <c r="G244" s="140">
        <v>23263.563168997403</v>
      </c>
      <c r="H244" s="142">
        <v>24596.275968546535</v>
      </c>
      <c r="I244" s="140">
        <v>24596.275968546535</v>
      </c>
    </row>
    <row r="245" spans="1:9" s="135" customFormat="1" ht="60" x14ac:dyDescent="0.25">
      <c r="A245" s="145">
        <v>54</v>
      </c>
      <c r="B245" s="141" t="s">
        <v>458</v>
      </c>
      <c r="C245" s="140" t="s">
        <v>14</v>
      </c>
      <c r="D245" s="140">
        <v>63</v>
      </c>
      <c r="E245" s="140">
        <v>63</v>
      </c>
      <c r="F245" s="140">
        <v>63</v>
      </c>
      <c r="G245" s="140">
        <v>39300.868656369486</v>
      </c>
      <c r="H245" s="142">
        <v>41552.31957604389</v>
      </c>
      <c r="I245" s="140">
        <v>41552.31957604389</v>
      </c>
    </row>
    <row r="246" spans="1:9" s="135" customFormat="1" ht="45" x14ac:dyDescent="0.25">
      <c r="A246" s="145">
        <v>55</v>
      </c>
      <c r="B246" s="141" t="s">
        <v>459</v>
      </c>
      <c r="C246" s="140" t="s">
        <v>14</v>
      </c>
      <c r="D246" s="140">
        <v>140</v>
      </c>
      <c r="E246" s="140">
        <v>140</v>
      </c>
      <c r="F246" s="140">
        <v>140</v>
      </c>
      <c r="G246" s="140">
        <v>29525.005451186145</v>
      </c>
      <c r="H246" s="142">
        <v>31216.421008885056</v>
      </c>
      <c r="I246" s="140">
        <v>31216.421008885056</v>
      </c>
    </row>
    <row r="247" spans="1:9" s="135" customFormat="1" ht="90" x14ac:dyDescent="0.25">
      <c r="A247" s="145">
        <v>56</v>
      </c>
      <c r="B247" s="143" t="s">
        <v>460</v>
      </c>
      <c r="C247" s="140" t="s">
        <v>14</v>
      </c>
      <c r="D247" s="140">
        <v>181</v>
      </c>
      <c r="E247" s="140">
        <v>181</v>
      </c>
      <c r="F247" s="140">
        <v>181</v>
      </c>
      <c r="G247" s="140">
        <v>66729.715950200203</v>
      </c>
      <c r="H247" s="142">
        <v>70552.498638779289</v>
      </c>
      <c r="I247" s="140">
        <v>70552.498638779289</v>
      </c>
    </row>
    <row r="248" spans="1:9" s="135" customFormat="1" ht="90" x14ac:dyDescent="0.25">
      <c r="A248" s="145">
        <v>57</v>
      </c>
      <c r="B248" s="143" t="s">
        <v>461</v>
      </c>
      <c r="C248" s="140" t="s">
        <v>14</v>
      </c>
      <c r="D248" s="140">
        <v>122</v>
      </c>
      <c r="E248" s="140">
        <v>122</v>
      </c>
      <c r="F248" s="140">
        <v>122</v>
      </c>
      <c r="G248" s="140">
        <v>37198.940558987655</v>
      </c>
      <c r="H248" s="142">
        <v>39329.977144075267</v>
      </c>
      <c r="I248" s="140">
        <v>39329.977144075267</v>
      </c>
    </row>
    <row r="249" spans="1:9" s="135" customFormat="1" ht="105" x14ac:dyDescent="0.25">
      <c r="A249" s="145">
        <v>58</v>
      </c>
      <c r="B249" s="141" t="s">
        <v>462</v>
      </c>
      <c r="C249" s="140" t="s">
        <v>14</v>
      </c>
      <c r="D249" s="140">
        <v>22</v>
      </c>
      <c r="E249" s="140">
        <v>22</v>
      </c>
      <c r="F249" s="140">
        <v>21</v>
      </c>
      <c r="G249" s="140">
        <v>8512.1287012022331</v>
      </c>
      <c r="H249" s="142">
        <v>8999.7677953982511</v>
      </c>
      <c r="I249" s="140">
        <v>8999.7677953982511</v>
      </c>
    </row>
    <row r="250" spans="1:9" s="135" customFormat="1" ht="105" x14ac:dyDescent="0.25">
      <c r="A250" s="145">
        <v>59</v>
      </c>
      <c r="B250" s="141" t="s">
        <v>463</v>
      </c>
      <c r="C250" s="140" t="s">
        <v>14</v>
      </c>
      <c r="D250" s="140">
        <v>5</v>
      </c>
      <c r="E250" s="140">
        <v>5</v>
      </c>
      <c r="F250" s="140">
        <v>5</v>
      </c>
      <c r="G250" s="140">
        <v>1524.5467442208055</v>
      </c>
      <c r="H250" s="142">
        <v>1611.8843091834126</v>
      </c>
      <c r="I250" s="140">
        <v>1611.8843091834126</v>
      </c>
    </row>
    <row r="251" spans="1:9" s="135" customFormat="1" ht="75" x14ac:dyDescent="0.25">
      <c r="A251" s="145">
        <v>60</v>
      </c>
      <c r="B251" s="141" t="s">
        <v>464</v>
      </c>
      <c r="C251" s="140" t="s">
        <v>14</v>
      </c>
      <c r="D251" s="140">
        <v>8</v>
      </c>
      <c r="E251" s="142">
        <v>8</v>
      </c>
      <c r="F251" s="140">
        <v>8</v>
      </c>
      <c r="G251" s="140">
        <v>5984.163046130805</v>
      </c>
      <c r="H251" s="142">
        <v>6326.98115306619</v>
      </c>
      <c r="I251" s="140">
        <v>6326.98115306619</v>
      </c>
    </row>
    <row r="252" spans="1:9" s="135" customFormat="1" ht="90" x14ac:dyDescent="0.25">
      <c r="A252" s="145">
        <v>61</v>
      </c>
      <c r="B252" s="141" t="s">
        <v>465</v>
      </c>
      <c r="C252" s="140" t="s">
        <v>14</v>
      </c>
      <c r="D252" s="140">
        <v>20</v>
      </c>
      <c r="E252" s="142">
        <v>20</v>
      </c>
      <c r="F252" s="140">
        <v>20</v>
      </c>
      <c r="G252" s="140">
        <v>20527.453822677286</v>
      </c>
      <c r="H252" s="142">
        <v>21703.421590508045</v>
      </c>
      <c r="I252" s="140">
        <v>21703.421590508045</v>
      </c>
    </row>
    <row r="253" spans="1:9" s="135" customFormat="1" ht="90" x14ac:dyDescent="0.25">
      <c r="A253" s="145">
        <v>62</v>
      </c>
      <c r="B253" s="141" t="s">
        <v>466</v>
      </c>
      <c r="C253" s="140" t="s">
        <v>14</v>
      </c>
      <c r="D253" s="140">
        <v>2</v>
      </c>
      <c r="E253" s="142">
        <v>2</v>
      </c>
      <c r="F253" s="140">
        <v>2</v>
      </c>
      <c r="G253" s="140">
        <v>2102.0807062157764</v>
      </c>
      <c r="H253" s="142">
        <v>2222.5037833904921</v>
      </c>
      <c r="I253" s="140">
        <v>2222.5037833904921</v>
      </c>
    </row>
    <row r="254" spans="1:9" s="135" customFormat="1" ht="45" x14ac:dyDescent="0.25">
      <c r="A254" s="145">
        <v>63</v>
      </c>
      <c r="B254" s="141" t="s">
        <v>467</v>
      </c>
      <c r="C254" s="140" t="s">
        <v>14</v>
      </c>
      <c r="D254" s="140">
        <v>101</v>
      </c>
      <c r="E254" s="142">
        <v>101</v>
      </c>
      <c r="F254" s="140">
        <v>101</v>
      </c>
      <c r="G254" s="140">
        <v>32157.243364604285</v>
      </c>
      <c r="H254" s="142">
        <v>33999.453412948802</v>
      </c>
      <c r="I254" s="140">
        <v>33999.453412948802</v>
      </c>
    </row>
    <row r="255" spans="1:9" s="135" customFormat="1" ht="60" x14ac:dyDescent="0.25">
      <c r="A255" s="145">
        <v>64</v>
      </c>
      <c r="B255" s="141" t="s">
        <v>468</v>
      </c>
      <c r="C255" s="140" t="s">
        <v>14</v>
      </c>
      <c r="D255" s="140">
        <v>27</v>
      </c>
      <c r="E255" s="140">
        <v>27</v>
      </c>
      <c r="F255" s="140">
        <v>27</v>
      </c>
      <c r="G255" s="140">
        <v>9775.8833106218754</v>
      </c>
      <c r="H255" s="142">
        <v>10335.919824388911</v>
      </c>
      <c r="I255" s="140">
        <v>10335.919824388911</v>
      </c>
    </row>
    <row r="256" spans="1:9" s="135" customFormat="1" ht="60" x14ac:dyDescent="0.25">
      <c r="A256" s="145">
        <v>65</v>
      </c>
      <c r="B256" s="141" t="s">
        <v>469</v>
      </c>
      <c r="C256" s="140" t="s">
        <v>14</v>
      </c>
      <c r="D256" s="140">
        <v>468</v>
      </c>
      <c r="E256" s="140">
        <v>468</v>
      </c>
      <c r="F256" s="140">
        <v>466</v>
      </c>
      <c r="G256" s="140">
        <v>216696.06954061784</v>
      </c>
      <c r="H256" s="142">
        <v>229110.05889344559</v>
      </c>
      <c r="I256" s="140">
        <v>229110.05889344559</v>
      </c>
    </row>
    <row r="257" spans="1:9" s="135" customFormat="1" ht="90" x14ac:dyDescent="0.25">
      <c r="A257" s="145">
        <v>66</v>
      </c>
      <c r="B257" s="141" t="s">
        <v>470</v>
      </c>
      <c r="C257" s="140" t="s">
        <v>14</v>
      </c>
      <c r="D257" s="140">
        <v>7</v>
      </c>
      <c r="E257" s="142">
        <v>7</v>
      </c>
      <c r="F257" s="140">
        <v>8</v>
      </c>
      <c r="G257" s="140">
        <v>2680.9082606812144</v>
      </c>
      <c r="H257" s="142">
        <v>2834.4909568259013</v>
      </c>
      <c r="I257" s="140">
        <v>2834.4909568259013</v>
      </c>
    </row>
    <row r="258" spans="1:9" s="135" customFormat="1" ht="60" x14ac:dyDescent="0.25">
      <c r="A258" s="145">
        <v>67</v>
      </c>
      <c r="B258" s="141" t="s">
        <v>471</v>
      </c>
      <c r="C258" s="140" t="s">
        <v>14</v>
      </c>
      <c r="D258" s="140">
        <v>1</v>
      </c>
      <c r="E258" s="140">
        <v>1</v>
      </c>
      <c r="F258" s="140">
        <v>1</v>
      </c>
      <c r="G258" s="140">
        <v>689.92849667595783</v>
      </c>
      <c r="H258" s="142">
        <v>729.4528176758937</v>
      </c>
      <c r="I258" s="140">
        <v>729.4528176758937</v>
      </c>
    </row>
    <row r="259" spans="1:9" s="135" customFormat="1" ht="45" x14ac:dyDescent="0.25">
      <c r="A259" s="145">
        <v>68</v>
      </c>
      <c r="B259" s="141" t="s">
        <v>472</v>
      </c>
      <c r="C259" s="140" t="s">
        <v>14</v>
      </c>
      <c r="D259" s="140">
        <v>85</v>
      </c>
      <c r="E259" s="140">
        <v>85</v>
      </c>
      <c r="F259" s="140">
        <v>85</v>
      </c>
      <c r="G259" s="140">
        <v>32553.88602255761</v>
      </c>
      <c r="H259" s="142">
        <v>34418.818761457376</v>
      </c>
      <c r="I259" s="140">
        <v>34418.818761457376</v>
      </c>
    </row>
    <row r="260" spans="1:9" s="135" customFormat="1" ht="60" x14ac:dyDescent="0.25">
      <c r="A260" s="145">
        <v>69</v>
      </c>
      <c r="B260" s="141" t="s">
        <v>473</v>
      </c>
      <c r="C260" s="140" t="s">
        <v>14</v>
      </c>
      <c r="D260" s="140">
        <v>615</v>
      </c>
      <c r="E260" s="140">
        <v>615</v>
      </c>
      <c r="F260" s="140">
        <v>615</v>
      </c>
      <c r="G260" s="140">
        <v>284760.86061427341</v>
      </c>
      <c r="H260" s="142">
        <v>301074.11585356627</v>
      </c>
      <c r="I260" s="140">
        <v>301074.11585356627</v>
      </c>
    </row>
    <row r="261" spans="1:9" s="135" customFormat="1" ht="60" x14ac:dyDescent="0.25">
      <c r="A261" s="145">
        <v>70</v>
      </c>
      <c r="B261" s="141" t="s">
        <v>474</v>
      </c>
      <c r="C261" s="140" t="s">
        <v>14</v>
      </c>
      <c r="D261" s="140">
        <v>177</v>
      </c>
      <c r="E261" s="140">
        <v>177</v>
      </c>
      <c r="F261" s="140">
        <v>177</v>
      </c>
      <c r="G261" s="140">
        <v>81955.564762156733</v>
      </c>
      <c r="H261" s="142">
        <v>86650.599196880052</v>
      </c>
      <c r="I261" s="140">
        <v>86650.599196880052</v>
      </c>
    </row>
    <row r="262" spans="1:9" s="135" customFormat="1" ht="60" x14ac:dyDescent="0.25">
      <c r="A262" s="145">
        <v>71</v>
      </c>
      <c r="B262" s="141" t="s">
        <v>475</v>
      </c>
      <c r="C262" s="140" t="s">
        <v>14</v>
      </c>
      <c r="D262" s="140">
        <v>76</v>
      </c>
      <c r="E262" s="140">
        <v>76</v>
      </c>
      <c r="F262" s="140">
        <v>76</v>
      </c>
      <c r="G262" s="140">
        <v>29107.003973110328</v>
      </c>
      <c r="H262" s="142">
        <v>30774.473245538356</v>
      </c>
      <c r="I262" s="140">
        <v>30774.473245538356</v>
      </c>
    </row>
    <row r="263" spans="1:9" s="135" customFormat="1" ht="45" x14ac:dyDescent="0.25">
      <c r="A263" s="145">
        <v>72</v>
      </c>
      <c r="B263" s="141" t="s">
        <v>467</v>
      </c>
      <c r="C263" s="140" t="s">
        <v>14</v>
      </c>
      <c r="D263" s="140">
        <v>21</v>
      </c>
      <c r="E263" s="140">
        <v>21</v>
      </c>
      <c r="F263" s="140">
        <v>21</v>
      </c>
      <c r="G263" s="140">
        <v>3658.1425114432654</v>
      </c>
      <c r="H263" s="142">
        <v>3867.7085745677796</v>
      </c>
      <c r="I263" s="140">
        <v>3867.7085745677796</v>
      </c>
    </row>
    <row r="264" spans="1:9" s="135" customFormat="1" ht="60" x14ac:dyDescent="0.25">
      <c r="A264" s="145">
        <v>73</v>
      </c>
      <c r="B264" s="141" t="s">
        <v>476</v>
      </c>
      <c r="C264" s="140" t="s">
        <v>14</v>
      </c>
      <c r="D264" s="140">
        <v>10</v>
      </c>
      <c r="E264" s="140">
        <v>10</v>
      </c>
      <c r="F264" s="140">
        <v>10</v>
      </c>
      <c r="G264" s="140">
        <v>4222.3099929063483</v>
      </c>
      <c r="H264" s="142">
        <v>4464.1958351710264</v>
      </c>
      <c r="I264" s="140">
        <v>4464.1958351710264</v>
      </c>
    </row>
    <row r="265" spans="1:9" s="135" customFormat="1" ht="60" x14ac:dyDescent="0.25">
      <c r="A265" s="145">
        <v>74</v>
      </c>
      <c r="B265" s="141" t="s">
        <v>477</v>
      </c>
      <c r="C265" s="140" t="s">
        <v>14</v>
      </c>
      <c r="D265" s="140">
        <v>89</v>
      </c>
      <c r="E265" s="140">
        <v>89</v>
      </c>
      <c r="F265" s="140">
        <v>93</v>
      </c>
      <c r="G265" s="140">
        <v>42074.195949946305</v>
      </c>
      <c r="H265" s="142">
        <v>44484.524026771527</v>
      </c>
      <c r="I265" s="140">
        <v>44484.524026771527</v>
      </c>
    </row>
    <row r="266" spans="1:9" s="135" customFormat="1" ht="45" x14ac:dyDescent="0.25">
      <c r="A266" s="145">
        <v>75</v>
      </c>
      <c r="B266" s="141" t="s">
        <v>478</v>
      </c>
      <c r="C266" s="140" t="s">
        <v>14</v>
      </c>
      <c r="D266" s="140">
        <v>21</v>
      </c>
      <c r="E266" s="140">
        <v>21</v>
      </c>
      <c r="F266" s="140">
        <v>21</v>
      </c>
      <c r="G266" s="140">
        <v>9927.6192690884527</v>
      </c>
      <c r="H266" s="142">
        <v>10496.348365867439</v>
      </c>
      <c r="I266" s="140">
        <v>10496.348365867439</v>
      </c>
    </row>
    <row r="267" spans="1:9" x14ac:dyDescent="0.25">
      <c r="A267" s="87"/>
      <c r="B267" s="88" t="s">
        <v>0</v>
      </c>
      <c r="C267" s="89"/>
      <c r="D267" s="87"/>
      <c r="E267" s="87"/>
      <c r="F267" s="87" t="s">
        <v>8</v>
      </c>
      <c r="G267" s="91">
        <f>SUM(G192:G266)</f>
        <v>5860214.7407083269</v>
      </c>
      <c r="H267" s="91">
        <f t="shared" ref="H267:I267" si="11">SUM(H192:H266)</f>
        <v>6013344.0829544319</v>
      </c>
      <c r="I267" s="91">
        <f t="shared" si="11"/>
        <v>6013344.0789544322</v>
      </c>
    </row>
    <row r="268" spans="1:9" ht="15" customHeight="1" x14ac:dyDescent="0.25">
      <c r="A268" s="182" t="s">
        <v>278</v>
      </c>
      <c r="B268" s="183"/>
      <c r="C268" s="183"/>
      <c r="D268" s="183"/>
      <c r="E268" s="183"/>
      <c r="F268" s="183"/>
      <c r="G268" s="183"/>
      <c r="H268" s="183"/>
      <c r="I268" s="184"/>
    </row>
    <row r="269" spans="1:9" s="135" customFormat="1" ht="45" x14ac:dyDescent="0.25">
      <c r="A269" s="150">
        <v>1</v>
      </c>
      <c r="B269" s="41" t="s">
        <v>479</v>
      </c>
      <c r="C269" s="12" t="s">
        <v>14</v>
      </c>
      <c r="D269" s="151">
        <v>493</v>
      </c>
      <c r="E269" s="151">
        <v>493</v>
      </c>
      <c r="F269" s="151">
        <v>501</v>
      </c>
      <c r="G269" s="92">
        <v>175284.6</v>
      </c>
      <c r="H269" s="92">
        <v>204982.16</v>
      </c>
      <c r="I269" s="92">
        <v>204982.16</v>
      </c>
    </row>
    <row r="270" spans="1:9" s="135" customFormat="1" ht="30" x14ac:dyDescent="0.25">
      <c r="A270" s="150">
        <v>2</v>
      </c>
      <c r="B270" s="41" t="s">
        <v>480</v>
      </c>
      <c r="C270" s="12" t="s">
        <v>481</v>
      </c>
      <c r="D270" s="151">
        <v>5580</v>
      </c>
      <c r="E270" s="151">
        <v>5580</v>
      </c>
      <c r="F270" s="151">
        <v>13644</v>
      </c>
      <c r="G270" s="92">
        <v>772</v>
      </c>
      <c r="H270" s="92">
        <v>772</v>
      </c>
      <c r="I270" s="92">
        <v>772</v>
      </c>
    </row>
    <row r="271" spans="1:9" s="135" customFormat="1" ht="30" x14ac:dyDescent="0.25">
      <c r="A271" s="150">
        <v>3</v>
      </c>
      <c r="B271" s="41" t="s">
        <v>480</v>
      </c>
      <c r="C271" s="12" t="s">
        <v>57</v>
      </c>
      <c r="D271" s="151">
        <v>24</v>
      </c>
      <c r="E271" s="151">
        <v>24</v>
      </c>
      <c r="F271" s="151">
        <v>24</v>
      </c>
      <c r="G271" s="92">
        <v>1500</v>
      </c>
      <c r="H271" s="92">
        <v>1500</v>
      </c>
      <c r="I271" s="92">
        <v>1500</v>
      </c>
    </row>
    <row r="272" spans="1:9" s="135" customFormat="1" ht="30" x14ac:dyDescent="0.25">
      <c r="A272" s="150">
        <v>4</v>
      </c>
      <c r="B272" s="41" t="s">
        <v>482</v>
      </c>
      <c r="C272" s="12" t="s">
        <v>57</v>
      </c>
      <c r="D272" s="151">
        <f>13+113+66+130</f>
        <v>322</v>
      </c>
      <c r="E272" s="151">
        <f>13+113+66+130</f>
        <v>322</v>
      </c>
      <c r="F272" s="151">
        <f>33+176+66+130</f>
        <v>405</v>
      </c>
      <c r="G272" s="92">
        <f>19800+837+2500+5051.8+20000+76114</f>
        <v>124302.8</v>
      </c>
      <c r="H272" s="92">
        <f>837+19800+2500+76114+20000+7051.8</f>
        <v>126302.8</v>
      </c>
      <c r="I272" s="92">
        <f>837+19800+2500+76114+20000+7051.8</f>
        <v>126302.8</v>
      </c>
    </row>
    <row r="273" spans="1:9" s="135" customFormat="1" ht="45" x14ac:dyDescent="0.25">
      <c r="A273" s="150">
        <v>5</v>
      </c>
      <c r="B273" s="41" t="s">
        <v>483</v>
      </c>
      <c r="C273" s="12" t="s">
        <v>484</v>
      </c>
      <c r="D273" s="151">
        <v>3323593</v>
      </c>
      <c r="E273" s="151">
        <v>3323593</v>
      </c>
      <c r="F273" s="151">
        <v>3336119</v>
      </c>
      <c r="G273" s="92">
        <v>71876</v>
      </c>
      <c r="H273" s="92">
        <v>81876</v>
      </c>
      <c r="I273" s="92">
        <v>81876</v>
      </c>
    </row>
    <row r="274" spans="1:9" s="135" customFormat="1" ht="45" x14ac:dyDescent="0.25">
      <c r="A274" s="150">
        <v>6</v>
      </c>
      <c r="B274" s="41" t="s">
        <v>485</v>
      </c>
      <c r="C274" s="12" t="s">
        <v>14</v>
      </c>
      <c r="D274" s="151">
        <v>383</v>
      </c>
      <c r="E274" s="151">
        <v>383</v>
      </c>
      <c r="F274" s="151">
        <v>383</v>
      </c>
      <c r="G274" s="92">
        <v>25952.1</v>
      </c>
      <c r="H274" s="92">
        <v>28738.55</v>
      </c>
      <c r="I274" s="92">
        <v>28738.55</v>
      </c>
    </row>
    <row r="275" spans="1:9" s="135" customFormat="1" ht="60" x14ac:dyDescent="0.25">
      <c r="A275" s="150">
        <v>7</v>
      </c>
      <c r="B275" s="41" t="s">
        <v>486</v>
      </c>
      <c r="C275" s="12" t="s">
        <v>57</v>
      </c>
      <c r="D275" s="151">
        <v>2</v>
      </c>
      <c r="E275" s="151">
        <v>2</v>
      </c>
      <c r="F275" s="151">
        <v>2</v>
      </c>
      <c r="G275" s="92">
        <v>25000</v>
      </c>
      <c r="H275" s="92">
        <f>28000+738.5</f>
        <v>28738.5</v>
      </c>
      <c r="I275" s="92">
        <f>28000+738.5</f>
        <v>28738.5</v>
      </c>
    </row>
    <row r="276" spans="1:9" s="135" customFormat="1" x14ac:dyDescent="0.25">
      <c r="A276" s="150">
        <v>8</v>
      </c>
      <c r="B276" s="41" t="s">
        <v>487</v>
      </c>
      <c r="C276" s="12" t="s">
        <v>488</v>
      </c>
      <c r="D276" s="151">
        <v>48940</v>
      </c>
      <c r="E276" s="151">
        <v>87265</v>
      </c>
      <c r="F276" s="151">
        <v>150118</v>
      </c>
      <c r="G276" s="92">
        <v>83214.2</v>
      </c>
      <c r="H276" s="92">
        <v>112755.24</v>
      </c>
      <c r="I276" s="92">
        <v>112755.24</v>
      </c>
    </row>
    <row r="277" spans="1:9" s="135" customFormat="1" x14ac:dyDescent="0.25">
      <c r="A277" s="150">
        <v>9</v>
      </c>
      <c r="B277" s="41" t="s">
        <v>489</v>
      </c>
      <c r="C277" s="12" t="s">
        <v>57</v>
      </c>
      <c r="D277" s="151">
        <v>51</v>
      </c>
      <c r="E277" s="151">
        <v>48</v>
      </c>
      <c r="F277" s="151">
        <v>48</v>
      </c>
      <c r="G277" s="92">
        <v>16913.400000000001</v>
      </c>
      <c r="H277" s="92">
        <f>22917.66+24.14</f>
        <v>22941.8</v>
      </c>
      <c r="I277" s="92">
        <f>22917.66+24.14</f>
        <v>22941.8</v>
      </c>
    </row>
    <row r="278" spans="1:9" s="135" customFormat="1" ht="30" x14ac:dyDescent="0.25">
      <c r="A278" s="150">
        <v>10</v>
      </c>
      <c r="B278" s="41" t="s">
        <v>490</v>
      </c>
      <c r="C278" s="12" t="s">
        <v>14</v>
      </c>
      <c r="D278" s="151">
        <v>238500</v>
      </c>
      <c r="E278" s="151">
        <v>238500</v>
      </c>
      <c r="F278" s="151">
        <v>336631</v>
      </c>
      <c r="G278" s="92">
        <v>332848.21000000002</v>
      </c>
      <c r="H278" s="92">
        <f>367464.42-59.24</f>
        <v>367405.18</v>
      </c>
      <c r="I278" s="92">
        <f>367464.42-59.24</f>
        <v>367405.18</v>
      </c>
    </row>
    <row r="279" spans="1:9" s="135" customFormat="1" x14ac:dyDescent="0.25">
      <c r="A279" s="150">
        <v>11</v>
      </c>
      <c r="B279" s="41" t="s">
        <v>491</v>
      </c>
      <c r="C279" s="12" t="s">
        <v>57</v>
      </c>
      <c r="D279" s="151">
        <v>19</v>
      </c>
      <c r="E279" s="151">
        <v>19</v>
      </c>
      <c r="F279" s="151">
        <v>21</v>
      </c>
      <c r="G279" s="92">
        <f>3568.7+5284.4+75457.26-1877.3</f>
        <v>82433.059999999983</v>
      </c>
      <c r="H279" s="92">
        <f>3568.7+5284.4+81232.32</f>
        <v>90085.420000000013</v>
      </c>
      <c r="I279" s="92">
        <f>3568.7+5284.4+81232.32</f>
        <v>90085.420000000013</v>
      </c>
    </row>
    <row r="280" spans="1:9" s="135" customFormat="1" x14ac:dyDescent="0.25">
      <c r="A280" s="150">
        <v>12</v>
      </c>
      <c r="B280" s="41" t="s">
        <v>492</v>
      </c>
      <c r="C280" s="12" t="s">
        <v>14</v>
      </c>
      <c r="D280" s="151">
        <v>10000</v>
      </c>
      <c r="E280" s="151">
        <v>10000</v>
      </c>
      <c r="F280" s="151">
        <v>14283</v>
      </c>
      <c r="G280" s="92">
        <v>1877.2</v>
      </c>
      <c r="H280" s="92">
        <v>1877.2</v>
      </c>
      <c r="I280" s="92">
        <v>1877.2</v>
      </c>
    </row>
    <row r="281" spans="1:9" s="135" customFormat="1" ht="30" x14ac:dyDescent="0.25">
      <c r="A281" s="150">
        <v>13</v>
      </c>
      <c r="B281" s="161" t="s">
        <v>493</v>
      </c>
      <c r="C281" s="12" t="s">
        <v>57</v>
      </c>
      <c r="D281" s="151">
        <v>10</v>
      </c>
      <c r="E281" s="151">
        <v>10</v>
      </c>
      <c r="F281" s="151">
        <v>10</v>
      </c>
      <c r="G281" s="92">
        <f>375+500+20000</f>
        <v>20875</v>
      </c>
      <c r="H281" s="92">
        <f>375+500+20000+620.35</f>
        <v>21495.35</v>
      </c>
      <c r="I281" s="92">
        <f>375+500+20000+620.35</f>
        <v>21495.35</v>
      </c>
    </row>
    <row r="282" spans="1:9" s="135" customFormat="1" ht="30" x14ac:dyDescent="0.25">
      <c r="A282" s="150">
        <v>14</v>
      </c>
      <c r="B282" s="161" t="s">
        <v>494</v>
      </c>
      <c r="C282" s="12" t="s">
        <v>57</v>
      </c>
      <c r="D282" s="151">
        <v>9</v>
      </c>
      <c r="E282" s="151">
        <v>9</v>
      </c>
      <c r="F282" s="151">
        <v>9</v>
      </c>
      <c r="G282" s="92">
        <f>3098.25+3600</f>
        <v>6698.25</v>
      </c>
      <c r="H282" s="92">
        <f>3098.25+3600</f>
        <v>6698.25</v>
      </c>
      <c r="I282" s="92">
        <f>3098.25+3600</f>
        <v>6698.25</v>
      </c>
    </row>
    <row r="283" spans="1:9" s="135" customFormat="1" ht="30" x14ac:dyDescent="0.25">
      <c r="A283" s="150">
        <v>15</v>
      </c>
      <c r="B283" s="161" t="s">
        <v>118</v>
      </c>
      <c r="C283" s="12" t="s">
        <v>57</v>
      </c>
      <c r="D283" s="151">
        <v>65000</v>
      </c>
      <c r="E283" s="151">
        <v>65000</v>
      </c>
      <c r="F283" s="151">
        <v>66518</v>
      </c>
      <c r="G283" s="92">
        <v>14509.65</v>
      </c>
      <c r="H283" s="92">
        <v>14509.65</v>
      </c>
      <c r="I283" s="92">
        <v>14509.65</v>
      </c>
    </row>
    <row r="284" spans="1:9" s="135" customFormat="1" ht="60" x14ac:dyDescent="0.25">
      <c r="A284" s="150">
        <v>16</v>
      </c>
      <c r="B284" s="161" t="s">
        <v>495</v>
      </c>
      <c r="C284" s="12" t="s">
        <v>57</v>
      </c>
      <c r="D284" s="151">
        <v>5</v>
      </c>
      <c r="E284" s="151">
        <v>5</v>
      </c>
      <c r="F284" s="151">
        <v>5</v>
      </c>
      <c r="G284" s="92">
        <f>5085+20400</f>
        <v>25485</v>
      </c>
      <c r="H284" s="92">
        <f>5085+28277.3</f>
        <v>33362.300000000003</v>
      </c>
      <c r="I284" s="92">
        <f>5085+28277.3</f>
        <v>33362.300000000003</v>
      </c>
    </row>
    <row r="285" spans="1:9" s="135" customFormat="1" ht="60" x14ac:dyDescent="0.25">
      <c r="A285" s="150">
        <v>17</v>
      </c>
      <c r="B285" s="161" t="s">
        <v>496</v>
      </c>
      <c r="C285" s="12" t="s">
        <v>57</v>
      </c>
      <c r="D285" s="151">
        <v>18</v>
      </c>
      <c r="E285" s="151">
        <v>18</v>
      </c>
      <c r="F285" s="151">
        <v>18</v>
      </c>
      <c r="G285" s="92">
        <v>6930</v>
      </c>
      <c r="H285" s="92">
        <v>6930</v>
      </c>
      <c r="I285" s="92">
        <v>6930</v>
      </c>
    </row>
    <row r="286" spans="1:9" s="135" customFormat="1" ht="75" x14ac:dyDescent="0.25">
      <c r="A286" s="150">
        <v>18</v>
      </c>
      <c r="B286" s="161" t="s">
        <v>497</v>
      </c>
      <c r="C286" s="12" t="s">
        <v>57</v>
      </c>
      <c r="D286" s="151">
        <v>8</v>
      </c>
      <c r="E286" s="151">
        <v>8</v>
      </c>
      <c r="F286" s="151">
        <v>9</v>
      </c>
      <c r="G286" s="92">
        <v>4050</v>
      </c>
      <c r="H286" s="92">
        <v>4050</v>
      </c>
      <c r="I286" s="92">
        <v>4050</v>
      </c>
    </row>
    <row r="287" spans="1:9" s="135" customFormat="1" ht="60" x14ac:dyDescent="0.25">
      <c r="A287" s="150">
        <v>19</v>
      </c>
      <c r="B287" s="161" t="s">
        <v>498</v>
      </c>
      <c r="C287" s="12" t="s">
        <v>57</v>
      </c>
      <c r="D287" s="151">
        <v>15</v>
      </c>
      <c r="E287" s="151">
        <v>15</v>
      </c>
      <c r="F287" s="151">
        <v>15</v>
      </c>
      <c r="G287" s="92">
        <v>4212</v>
      </c>
      <c r="H287" s="92">
        <v>4212</v>
      </c>
      <c r="I287" s="92">
        <v>4212</v>
      </c>
    </row>
    <row r="288" spans="1:9" x14ac:dyDescent="0.25">
      <c r="A288" s="80"/>
      <c r="B288" s="81" t="s">
        <v>0</v>
      </c>
      <c r="C288" s="66"/>
      <c r="D288" s="80"/>
      <c r="E288" s="80"/>
      <c r="F288" s="80" t="s">
        <v>8</v>
      </c>
      <c r="G288" s="91">
        <f>SUM(G269:G287)</f>
        <v>1024733.47</v>
      </c>
      <c r="H288" s="91">
        <f t="shared" ref="H288:I288" si="12">SUM(H269:H287)</f>
        <v>1159232.3999999999</v>
      </c>
      <c r="I288" s="91">
        <f t="shared" si="12"/>
        <v>1159232.3999999999</v>
      </c>
    </row>
    <row r="289" spans="1:9" ht="15" customHeight="1" x14ac:dyDescent="0.25">
      <c r="A289" s="186" t="s">
        <v>280</v>
      </c>
      <c r="B289" s="187"/>
      <c r="C289" s="187"/>
      <c r="D289" s="187"/>
      <c r="E289" s="187"/>
      <c r="F289" s="187"/>
      <c r="G289" s="187"/>
      <c r="H289" s="187"/>
      <c r="I289" s="188"/>
    </row>
    <row r="290" spans="1:9" ht="30" x14ac:dyDescent="0.25">
      <c r="A290" s="126">
        <v>1</v>
      </c>
      <c r="B290" s="127" t="s">
        <v>402</v>
      </c>
      <c r="C290" s="38" t="s">
        <v>99</v>
      </c>
      <c r="D290" s="126">
        <v>1135940</v>
      </c>
      <c r="E290" s="126">
        <v>1135940</v>
      </c>
      <c r="F290" s="126">
        <v>1776276</v>
      </c>
      <c r="G290" s="128">
        <v>189589.93</v>
      </c>
      <c r="H290" s="128">
        <v>194141.87</v>
      </c>
      <c r="I290" s="128">
        <v>194141.87</v>
      </c>
    </row>
    <row r="291" spans="1:9" ht="30" x14ac:dyDescent="0.25">
      <c r="A291" s="126">
        <v>2</v>
      </c>
      <c r="B291" s="127" t="s">
        <v>403</v>
      </c>
      <c r="C291" s="38" t="s">
        <v>99</v>
      </c>
      <c r="D291" s="126">
        <v>61819</v>
      </c>
      <c r="E291" s="126">
        <v>61819</v>
      </c>
      <c r="F291" s="126">
        <v>425709</v>
      </c>
      <c r="G291" s="128">
        <v>25932.07</v>
      </c>
      <c r="H291" s="128">
        <v>30483.87</v>
      </c>
      <c r="I291" s="128">
        <v>30483.87</v>
      </c>
    </row>
    <row r="292" spans="1:9" ht="30" x14ac:dyDescent="0.25">
      <c r="A292" s="126">
        <v>3</v>
      </c>
      <c r="B292" s="127" t="s">
        <v>404</v>
      </c>
      <c r="C292" s="38" t="s">
        <v>99</v>
      </c>
      <c r="D292" s="126">
        <v>374913</v>
      </c>
      <c r="E292" s="126">
        <v>374913</v>
      </c>
      <c r="F292" s="126">
        <v>1071051</v>
      </c>
      <c r="G292" s="128">
        <v>20839.14</v>
      </c>
      <c r="H292" s="128">
        <v>25390.94</v>
      </c>
      <c r="I292" s="128">
        <v>25390.94</v>
      </c>
    </row>
    <row r="293" spans="1:9" ht="30" x14ac:dyDescent="0.25">
      <c r="A293" s="126">
        <v>4</v>
      </c>
      <c r="B293" s="127" t="s">
        <v>405</v>
      </c>
      <c r="C293" s="38" t="s">
        <v>406</v>
      </c>
      <c r="D293" s="126">
        <v>217</v>
      </c>
      <c r="E293" s="126">
        <v>217</v>
      </c>
      <c r="F293" s="126">
        <v>310</v>
      </c>
      <c r="G293" s="128">
        <v>230251.11</v>
      </c>
      <c r="H293" s="128">
        <v>264433.31</v>
      </c>
      <c r="I293" s="128">
        <v>264433.31</v>
      </c>
    </row>
    <row r="294" spans="1:9" ht="45" x14ac:dyDescent="0.25">
      <c r="A294" s="126">
        <v>5</v>
      </c>
      <c r="B294" s="127" t="s">
        <v>407</v>
      </c>
      <c r="C294" s="38" t="s">
        <v>408</v>
      </c>
      <c r="D294" s="126">
        <v>518080</v>
      </c>
      <c r="E294" s="126">
        <v>518080</v>
      </c>
      <c r="F294" s="126">
        <v>518080</v>
      </c>
      <c r="G294" s="128">
        <v>14817.9</v>
      </c>
      <c r="H294" s="128">
        <v>49000.100000000006</v>
      </c>
      <c r="I294" s="128">
        <v>49000.100000000006</v>
      </c>
    </row>
    <row r="295" spans="1:9" ht="30" x14ac:dyDescent="0.25">
      <c r="A295" s="126">
        <v>6</v>
      </c>
      <c r="B295" s="127" t="s">
        <v>409</v>
      </c>
      <c r="C295" s="38" t="s">
        <v>408</v>
      </c>
      <c r="D295" s="126">
        <v>455654</v>
      </c>
      <c r="E295" s="126">
        <v>455654</v>
      </c>
      <c r="F295" s="126">
        <v>458515</v>
      </c>
      <c r="G295" s="128">
        <v>14006.58</v>
      </c>
      <c r="H295" s="128">
        <v>18558.38</v>
      </c>
      <c r="I295" s="128">
        <v>18558.38</v>
      </c>
    </row>
    <row r="296" spans="1:9" ht="30" x14ac:dyDescent="0.25">
      <c r="A296" s="126">
        <v>7</v>
      </c>
      <c r="B296" s="127" t="s">
        <v>410</v>
      </c>
      <c r="C296" s="38" t="s">
        <v>411</v>
      </c>
      <c r="D296" s="126">
        <v>26</v>
      </c>
      <c r="E296" s="126">
        <v>26</v>
      </c>
      <c r="F296" s="126">
        <v>151</v>
      </c>
      <c r="G296" s="128">
        <v>20550</v>
      </c>
      <c r="H296" s="128">
        <v>54732.200000000004</v>
      </c>
      <c r="I296" s="128">
        <v>54732.200000000004</v>
      </c>
    </row>
    <row r="297" spans="1:9" ht="45" x14ac:dyDescent="0.25">
      <c r="A297" s="126">
        <v>8</v>
      </c>
      <c r="B297" s="127" t="s">
        <v>412</v>
      </c>
      <c r="C297" s="38" t="s">
        <v>413</v>
      </c>
      <c r="D297" s="126">
        <v>1</v>
      </c>
      <c r="E297" s="126">
        <v>1</v>
      </c>
      <c r="F297" s="126">
        <v>1</v>
      </c>
      <c r="G297" s="128">
        <v>8029.97</v>
      </c>
      <c r="H297" s="128">
        <v>12581.77</v>
      </c>
      <c r="I297" s="128">
        <v>12581.77</v>
      </c>
    </row>
    <row r="298" spans="1:9" ht="30" x14ac:dyDescent="0.25">
      <c r="A298" s="126">
        <v>9</v>
      </c>
      <c r="B298" s="127" t="s">
        <v>414</v>
      </c>
      <c r="C298" s="38" t="s">
        <v>415</v>
      </c>
      <c r="D298" s="126">
        <v>1627897</v>
      </c>
      <c r="E298" s="126">
        <v>1627897</v>
      </c>
      <c r="F298" s="126">
        <v>1627897</v>
      </c>
      <c r="G298" s="128">
        <v>16352.8</v>
      </c>
      <c r="H298" s="128">
        <v>20904.599999999999</v>
      </c>
      <c r="I298" s="128">
        <v>20904.599999999999</v>
      </c>
    </row>
    <row r="299" spans="1:9" ht="30" x14ac:dyDescent="0.25">
      <c r="A299" s="129"/>
      <c r="B299" s="130"/>
      <c r="C299" s="131" t="s">
        <v>416</v>
      </c>
      <c r="D299" s="126">
        <v>90</v>
      </c>
      <c r="E299" s="126">
        <v>90</v>
      </c>
      <c r="F299" s="126">
        <v>91</v>
      </c>
      <c r="G299" s="128"/>
      <c r="H299" s="128"/>
      <c r="I299" s="128"/>
    </row>
    <row r="300" spans="1:9" x14ac:dyDescent="0.25">
      <c r="A300" s="80"/>
      <c r="B300" s="81" t="s">
        <v>0</v>
      </c>
      <c r="C300" s="66"/>
      <c r="D300" s="80"/>
      <c r="E300" s="80"/>
      <c r="F300" s="80" t="s">
        <v>8</v>
      </c>
      <c r="G300" s="94">
        <f>SUM(G290:G299)</f>
        <v>540369.5</v>
      </c>
      <c r="H300" s="94">
        <f t="shared" ref="H300:I300" si="13">SUM(H290:H299)</f>
        <v>670227.03999999992</v>
      </c>
      <c r="I300" s="94">
        <f t="shared" si="13"/>
        <v>670227.03999999992</v>
      </c>
    </row>
    <row r="301" spans="1:9" ht="15" customHeight="1" x14ac:dyDescent="0.25">
      <c r="A301" s="192" t="s">
        <v>279</v>
      </c>
      <c r="B301" s="192"/>
      <c r="C301" s="192"/>
      <c r="D301" s="192"/>
      <c r="E301" s="192"/>
      <c r="F301" s="192"/>
      <c r="G301" s="192"/>
      <c r="H301" s="192"/>
      <c r="I301" s="192"/>
    </row>
    <row r="302" spans="1:9" ht="30" x14ac:dyDescent="0.25">
      <c r="A302" s="82">
        <v>1</v>
      </c>
      <c r="B302" s="85" t="s">
        <v>417</v>
      </c>
      <c r="C302" s="22" t="s">
        <v>422</v>
      </c>
      <c r="D302" s="132">
        <v>340000</v>
      </c>
      <c r="E302" s="132">
        <v>340000</v>
      </c>
      <c r="F302" s="132">
        <v>391185.43</v>
      </c>
      <c r="G302" s="178">
        <v>531489.53</v>
      </c>
      <c r="H302" s="178">
        <v>531489.53</v>
      </c>
      <c r="I302" s="178">
        <v>531489.53</v>
      </c>
    </row>
    <row r="303" spans="1:9" ht="30" x14ac:dyDescent="0.25">
      <c r="A303" s="82">
        <v>2</v>
      </c>
      <c r="B303" s="85" t="s">
        <v>418</v>
      </c>
      <c r="C303" s="22" t="s">
        <v>422</v>
      </c>
      <c r="D303" s="132">
        <v>65000</v>
      </c>
      <c r="E303" s="132">
        <v>65000</v>
      </c>
      <c r="F303" s="132">
        <v>77918.429999999993</v>
      </c>
      <c r="G303" s="179"/>
      <c r="H303" s="179"/>
      <c r="I303" s="179"/>
    </row>
    <row r="304" spans="1:9" ht="30" x14ac:dyDescent="0.25">
      <c r="A304" s="82">
        <v>3</v>
      </c>
      <c r="B304" s="85" t="s">
        <v>419</v>
      </c>
      <c r="C304" s="22" t="s">
        <v>422</v>
      </c>
      <c r="D304" s="132">
        <v>20000</v>
      </c>
      <c r="E304" s="132">
        <v>20000</v>
      </c>
      <c r="F304" s="132">
        <v>23598.080000000002</v>
      </c>
      <c r="G304" s="180"/>
      <c r="H304" s="180"/>
      <c r="I304" s="180"/>
    </row>
    <row r="305" spans="1:9" ht="45" x14ac:dyDescent="0.25">
      <c r="A305" s="82">
        <v>4</v>
      </c>
      <c r="B305" s="85" t="s">
        <v>420</v>
      </c>
      <c r="C305" s="22" t="s">
        <v>423</v>
      </c>
      <c r="D305" s="133">
        <v>1</v>
      </c>
      <c r="E305" s="133">
        <v>1</v>
      </c>
      <c r="F305" s="133">
        <v>1</v>
      </c>
      <c r="G305" s="132">
        <v>2339</v>
      </c>
      <c r="H305" s="132">
        <v>2296.0300000000002</v>
      </c>
      <c r="I305" s="132">
        <v>2296.0300000000002</v>
      </c>
    </row>
    <row r="306" spans="1:9" ht="60" x14ac:dyDescent="0.25">
      <c r="A306" s="82">
        <v>5</v>
      </c>
      <c r="B306" s="85" t="s">
        <v>421</v>
      </c>
      <c r="C306" s="22" t="s">
        <v>423</v>
      </c>
      <c r="D306" s="133">
        <v>1</v>
      </c>
      <c r="E306" s="133">
        <v>1</v>
      </c>
      <c r="F306" s="133">
        <v>1</v>
      </c>
      <c r="G306" s="132">
        <v>706.7</v>
      </c>
      <c r="H306" s="132">
        <v>781.25</v>
      </c>
      <c r="I306" s="132">
        <v>781.25</v>
      </c>
    </row>
    <row r="307" spans="1:9" ht="24.75" customHeight="1" x14ac:dyDescent="0.25">
      <c r="A307" s="80"/>
      <c r="B307" s="81" t="s">
        <v>0</v>
      </c>
      <c r="C307" s="66"/>
      <c r="D307" s="80"/>
      <c r="E307" s="80"/>
      <c r="F307" s="80" t="s">
        <v>8</v>
      </c>
      <c r="G307" s="94">
        <f>SUM(G302:G306)</f>
        <v>534535.23</v>
      </c>
      <c r="H307" s="94">
        <f t="shared" ref="H307:I307" si="14">SUM(H302:H306)</f>
        <v>534566.81000000006</v>
      </c>
      <c r="I307" s="94">
        <f t="shared" si="14"/>
        <v>534566.81000000006</v>
      </c>
    </row>
    <row r="308" spans="1:9" ht="24.75" customHeight="1" x14ac:dyDescent="0.25">
      <c r="A308" s="192" t="s">
        <v>281</v>
      </c>
      <c r="B308" s="192"/>
      <c r="C308" s="192"/>
      <c r="D308" s="192"/>
      <c r="E308" s="192"/>
      <c r="F308" s="192"/>
      <c r="G308" s="192"/>
      <c r="H308" s="192"/>
      <c r="I308" s="192"/>
    </row>
    <row r="309" spans="1:9" ht="90" x14ac:dyDescent="0.25">
      <c r="A309" s="82">
        <v>1</v>
      </c>
      <c r="B309" s="97" t="s">
        <v>305</v>
      </c>
      <c r="C309" s="103" t="s">
        <v>306</v>
      </c>
      <c r="D309" s="104">
        <v>350</v>
      </c>
      <c r="E309" s="104">
        <v>350</v>
      </c>
      <c r="F309" s="104">
        <v>378</v>
      </c>
      <c r="G309" s="193">
        <v>9144.6200000000008</v>
      </c>
      <c r="H309" s="193">
        <v>9144.6200000000008</v>
      </c>
      <c r="I309" s="193">
        <v>9144.6200000000008</v>
      </c>
    </row>
    <row r="310" spans="1:9" ht="180" x14ac:dyDescent="0.25">
      <c r="A310" s="82">
        <v>2</v>
      </c>
      <c r="B310" s="73" t="s">
        <v>307</v>
      </c>
      <c r="C310" s="103" t="s">
        <v>308</v>
      </c>
      <c r="D310" s="104">
        <v>150</v>
      </c>
      <c r="E310" s="104">
        <v>150</v>
      </c>
      <c r="F310" s="104">
        <v>205</v>
      </c>
      <c r="G310" s="194"/>
      <c r="H310" s="194"/>
      <c r="I310" s="194"/>
    </row>
    <row r="311" spans="1:9" ht="24.75" customHeight="1" x14ac:dyDescent="0.25">
      <c r="A311" s="80"/>
      <c r="B311" s="81" t="s">
        <v>0</v>
      </c>
      <c r="C311" s="66"/>
      <c r="D311" s="80"/>
      <c r="E311" s="80"/>
      <c r="F311" s="80" t="s">
        <v>8</v>
      </c>
      <c r="G311" s="94">
        <f>G309</f>
        <v>9144.6200000000008</v>
      </c>
      <c r="H311" s="94">
        <f t="shared" ref="H311:I311" si="15">H309</f>
        <v>9144.6200000000008</v>
      </c>
      <c r="I311" s="94">
        <f t="shared" si="15"/>
        <v>9144.6200000000008</v>
      </c>
    </row>
    <row r="312" spans="1:9" ht="36" customHeight="1" x14ac:dyDescent="0.25">
      <c r="A312" s="181" t="s">
        <v>277</v>
      </c>
      <c r="B312" s="181"/>
      <c r="C312" s="181"/>
      <c r="D312" s="95"/>
      <c r="E312" s="95"/>
      <c r="F312" s="95" t="s">
        <v>8</v>
      </c>
      <c r="G312" s="96">
        <f>G18+G23+G30+G37+G55+G72+G116+G128+G136+G140+G190+G267+G288+G300+G307+G311</f>
        <v>18799964.63487833</v>
      </c>
      <c r="H312" s="96">
        <f>H18+H23+H30+H37+H55+H72+H116+H128+H136+H140+H190+H267+H288+H300+H307+H311</f>
        <v>19789324.068124432</v>
      </c>
      <c r="I312" s="96">
        <f>I18+I23+I30+I37+I55+I72+I116+I128+I136+I140+I190+I267+I288+I300+I307+I311</f>
        <v>19789158.245124429</v>
      </c>
    </row>
    <row r="313" spans="1:9" ht="21" x14ac:dyDescent="0.35">
      <c r="G313" s="56"/>
      <c r="H313" s="56"/>
      <c r="I313" s="56"/>
    </row>
  </sheetData>
  <customSheetViews>
    <customSheetView guid="{15008CFB-90AE-4019-A345-B8744D25D0C3}" scale="90" showPageBreaks="1" fitToPage="1" topLeftCell="A269">
      <selection activeCell="A281" sqref="A281:I281"/>
      <pageMargins left="0.39370078740157483" right="0.39370078740157483" top="0.35433070866141736" bottom="0.35433070866141736" header="0.15748031496062992" footer="0.15748031496062992"/>
      <printOptions horizontalCentered="1"/>
      <pageSetup paperSize="9" scale="69" fitToHeight="0" orientation="landscape" r:id="rId1"/>
      <headerFooter>
        <oddFooter>&amp;C&amp;P</oddFooter>
      </headerFooter>
    </customSheetView>
    <customSheetView guid="{94FAEE46-67CD-4645-8F65-1FE6863655B3}" scale="90" fitToPage="1" hiddenColumns="1" topLeftCell="A268">
      <selection activeCell="J134" sqref="J134"/>
      <pageMargins left="0.39370078740157483" right="0.39370078740157483" top="0.35433070866141736" bottom="0.35433070866141736" header="0.15748031496062992" footer="0.15748031496062992"/>
      <printOptions horizontalCentered="1"/>
      <pageSetup paperSize="9" scale="69" fitToHeight="0" orientation="landscape" r:id="rId2"/>
      <headerFooter>
        <oddFooter>&amp;C&amp;P</oddFooter>
      </headerFooter>
    </customSheetView>
    <customSheetView guid="{69868B4C-820B-4999-9363-14A229151CE0}" scale="70" showPageBreaks="1" fitToPage="1" hiddenColumns="1" topLeftCell="A266">
      <selection activeCell="I289" sqref="I289"/>
      <pageMargins left="0.39370078740157483" right="0.39370078740157483" top="0.35433070866141736" bottom="0.35433070866141736" header="0.15748031496062992" footer="0.15748031496062992"/>
      <printOptions horizontalCentered="1"/>
      <pageSetup paperSize="9" scale="69" fitToHeight="0" orientation="landscape" r:id="rId3"/>
      <headerFooter>
        <oddFooter>&amp;C&amp;P</oddFooter>
      </headerFooter>
    </customSheetView>
    <customSheetView guid="{5B955171-6155-4477-93FE-98906395A697}" fitToPage="1" hiddenColumns="1" topLeftCell="A270">
      <selection activeCell="G281" sqref="G281"/>
      <pageMargins left="0.39370078740157483" right="0.39370078740157483" top="0.35433070866141736" bottom="0.35433070866141736" header="0.15748031496062992" footer="0.15748031496062992"/>
      <printOptions horizontalCentered="1"/>
      <pageSetup paperSize="9" scale="69" fitToHeight="0" orientation="landscape" r:id="rId4"/>
      <headerFooter>
        <oddFooter>&amp;C&amp;P</oddFooter>
      </headerFooter>
    </customSheetView>
    <customSheetView guid="{AC3D1D09-98ED-4CFD-8F29-C435F099150F}" scale="90" fitToPage="1" hiddenColumns="1" topLeftCell="A237">
      <selection activeCell="A241" sqref="A241:XFD247"/>
      <pageMargins left="0.39370078740157483" right="0.39370078740157483" top="0.35433070866141736" bottom="0.35433070866141736" header="0.15748031496062992" footer="0.15748031496062992"/>
      <printOptions horizontalCentered="1"/>
      <pageSetup paperSize="9" scale="69" fitToHeight="0" orientation="landscape" r:id="rId5"/>
      <headerFooter>
        <oddFooter>&amp;C&amp;P</oddFooter>
      </headerFooter>
    </customSheetView>
    <customSheetView guid="{765F1DBD-C068-444A-8B13-2916A4A9BA3F}" scale="90" fitToPage="1" hiddenColumns="1" topLeftCell="A16">
      <selection activeCell="K29" sqref="K29"/>
      <pageMargins left="0.39370078740157483" right="0.39370078740157483" top="0.35433070866141736" bottom="0.35433070866141736" header="0.15748031496062992" footer="0.15748031496062992"/>
      <printOptions horizontalCentered="1"/>
      <pageSetup paperSize="9" scale="69" fitToHeight="0" orientation="landscape" r:id="rId6"/>
      <headerFooter>
        <oddFooter>&amp;C&amp;P</oddFooter>
      </headerFooter>
    </customSheetView>
    <customSheetView guid="{1237AFA1-68A6-41BB-9F1F-2BB33CF3BCCE}" scale="90" showPageBreaks="1" fitToPage="1" hiddenColumns="1" topLeftCell="A13">
      <selection activeCell="K22" sqref="I22:K22"/>
      <pageMargins left="0.39370078740157483" right="0.39370078740157483" top="0.35433070866141736" bottom="0.35433070866141736" header="0.15748031496062992" footer="0.15748031496062992"/>
      <printOptions horizontalCentered="1"/>
      <pageSetup paperSize="9" scale="69" fitToHeight="0" orientation="landscape" r:id="rId7"/>
      <headerFooter>
        <oddFooter>&amp;C&amp;P</oddFooter>
      </headerFooter>
    </customSheetView>
    <customSheetView guid="{4873CEAB-4E26-4DB7-8CA3-1027F54FA069}" scale="90" fitToPage="1" hiddenColumns="1" topLeftCell="A137">
      <selection activeCell="K139" sqref="K139"/>
      <pageMargins left="0.39370078740157483" right="0.39370078740157483" top="0.35433070866141736" bottom="0.35433070866141736" header="0.15748031496062992" footer="0.15748031496062992"/>
      <printOptions horizontalCentered="1"/>
      <pageSetup paperSize="9" scale="69" fitToHeight="0" orientation="landscape" r:id="rId8"/>
      <headerFooter>
        <oddFooter>&amp;C&amp;P</oddFooter>
      </headerFooter>
    </customSheetView>
    <customSheetView guid="{E442A37A-C329-497A-93AF-778FC95E568D}" fitToPage="1" hiddenColumns="1" topLeftCell="A270">
      <selection activeCell="B294" sqref="B294"/>
      <pageMargins left="0.39370078740157483" right="0.39370078740157483" top="0.35433070866141736" bottom="0.35433070866141736" header="0.15748031496062992" footer="0.15748031496062992"/>
      <printOptions horizontalCentered="1"/>
      <pageSetup paperSize="9" scale="69" fitToHeight="0" orientation="landscape" r:id="rId9"/>
      <headerFooter>
        <oddFooter>&amp;C&amp;P</oddFooter>
      </headerFooter>
    </customSheetView>
    <customSheetView guid="{364080A9-4C50-4D56-AFFE-3F56BEE01D21}" scale="90" showPageBreaks="1" fitToPage="1" hiddenColumns="1">
      <selection activeCell="J134" sqref="J134"/>
      <pageMargins left="0.39370078740157483" right="0.39370078740157483" top="0.35433070866141736" bottom="0.35433070866141736" header="0.15748031496062992" footer="0.15748031496062992"/>
      <printOptions horizontalCentered="1"/>
      <pageSetup paperSize="9" scale="69" fitToHeight="0" orientation="landscape" r:id="rId10"/>
      <headerFooter>
        <oddFooter>&amp;C&amp;P</oddFooter>
      </headerFooter>
    </customSheetView>
    <customSheetView guid="{E4E24A0D-4CE4-4533-9643-8904DCA0EAAD}" scale="90" showPageBreaks="1" fitToPage="1" hiddenColumns="1" topLeftCell="A172">
      <selection activeCell="G172" sqref="G172:G173"/>
      <pageMargins left="0.39370078740157483" right="0.39370078740157483" top="0.35433070866141736" bottom="0.35433070866141736" header="0.15748031496062992" footer="0.15748031496062992"/>
      <printOptions horizontalCentered="1"/>
      <pageSetup paperSize="9" scale="69" fitToHeight="0" orientation="landscape" r:id="rId11"/>
      <headerFooter>
        <oddFooter>&amp;C&amp;P</oddFooter>
      </headerFooter>
    </customSheetView>
  </customSheetViews>
  <mergeCells count="37">
    <mergeCell ref="A19:I19"/>
    <mergeCell ref="A24:I24"/>
    <mergeCell ref="G25:G29"/>
    <mergeCell ref="H25:H29"/>
    <mergeCell ref="I25:I29"/>
    <mergeCell ref="I309:I310"/>
    <mergeCell ref="A74:A75"/>
    <mergeCell ref="B74:B75"/>
    <mergeCell ref="A2:I2"/>
    <mergeCell ref="A4:A5"/>
    <mergeCell ref="B4:B5"/>
    <mergeCell ref="C4:C5"/>
    <mergeCell ref="D4:F4"/>
    <mergeCell ref="G4:I4"/>
    <mergeCell ref="G74:G75"/>
    <mergeCell ref="H74:H75"/>
    <mergeCell ref="I74:I75"/>
    <mergeCell ref="A7:I7"/>
    <mergeCell ref="A31:I31"/>
    <mergeCell ref="A38:I38"/>
    <mergeCell ref="A56:I56"/>
    <mergeCell ref="G302:G304"/>
    <mergeCell ref="H302:H304"/>
    <mergeCell ref="I302:I304"/>
    <mergeCell ref="A312:C312"/>
    <mergeCell ref="A73:I73"/>
    <mergeCell ref="A191:I191"/>
    <mergeCell ref="A289:I289"/>
    <mergeCell ref="A141:I141"/>
    <mergeCell ref="A117:I117"/>
    <mergeCell ref="A129:I129"/>
    <mergeCell ref="A137:I137"/>
    <mergeCell ref="A268:I268"/>
    <mergeCell ref="A301:I301"/>
    <mergeCell ref="A308:I308"/>
    <mergeCell ref="G309:G310"/>
    <mergeCell ref="H309:H310"/>
  </mergeCells>
  <printOptions horizontalCentered="1"/>
  <pageMargins left="0.78740157480314965" right="0.39370078740157483" top="0.78740157480314965" bottom="0.78740157480314965" header="0.15748031496062992" footer="0.15748031496062992"/>
  <pageSetup paperSize="9" scale="66" fitToHeight="0" orientation="landscape" r:id="rId1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</vt:lpstr>
      <vt:lpstr>2023 год</vt:lpstr>
      <vt:lpstr>'2019'!Заголовки_для_печати</vt:lpstr>
      <vt:lpstr>'2023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Рыжова Наталья Борисовна</dc:creator>
  <cp:lastModifiedBy>Рыженкова Елена Николаевна</cp:lastModifiedBy>
  <cp:lastPrinted>2024-03-20T11:34:45Z</cp:lastPrinted>
  <dcterms:created xsi:type="dcterms:W3CDTF">2013-06-19T13:38:31Z</dcterms:created>
  <dcterms:modified xsi:type="dcterms:W3CDTF">2024-03-25T11:29:48Z</dcterms:modified>
</cp:coreProperties>
</file>