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9155" windowHeight="7620" tabRatio="874" activeTab="2"/>
  </bookViews>
  <sheets>
    <sheet name="расчет субсидии с учетом вклада" sheetId="1" r:id="rId1"/>
    <sheet name="расчет субсидии с учетом МО" sheetId="5" r:id="rId2"/>
    <sheet name="для протокола_суммы" sheetId="6" r:id="rId3"/>
  </sheets>
  <definedNames>
    <definedName name="_xlnm.Print_Area" localSheetId="2">'для протокола_суммы'!$A$1:$C$18</definedName>
    <definedName name="_xlnm.Print_Area" localSheetId="0">'расчет субсидии с учетом вклада'!$A$1:$J$23</definedName>
    <definedName name="_xlnm.Print_Area" localSheetId="1">'расчет субсидии с учетом МО'!$A$1:$I$24</definedName>
  </definedNames>
  <calcPr calcId="145621"/>
</workbook>
</file>

<file path=xl/calcChain.xml><?xml version="1.0" encoding="utf-8"?>
<calcChain xmlns="http://schemas.openxmlformats.org/spreadsheetml/2006/main">
  <c r="C18" i="6" l="1"/>
  <c r="G23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6" i="5"/>
  <c r="H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4" i="5"/>
  <c r="J22" i="1"/>
  <c r="J21" i="1"/>
  <c r="J20" i="1"/>
  <c r="J17" i="1"/>
  <c r="J14" i="1"/>
  <c r="J13" i="1"/>
  <c r="J12" i="1"/>
  <c r="J11" i="1"/>
  <c r="J8" i="1"/>
  <c r="J18" i="1"/>
  <c r="J15" i="1"/>
  <c r="J9" i="1"/>
  <c r="J6" i="1"/>
  <c r="J5" i="1"/>
  <c r="I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5" i="5" l="1"/>
  <c r="I23" i="5" l="1"/>
  <c r="I24" i="5" s="1"/>
  <c r="H5" i="5"/>
  <c r="H23" i="1"/>
  <c r="G23" i="1"/>
  <c r="H24" i="5" l="1"/>
</calcChain>
</file>

<file path=xl/sharedStrings.xml><?xml version="1.0" encoding="utf-8"?>
<sst xmlns="http://schemas.openxmlformats.org/spreadsheetml/2006/main" count="137" uniqueCount="75">
  <si>
    <t>№ пп</t>
  </si>
  <si>
    <t>МО</t>
  </si>
  <si>
    <t>Учреждение</t>
  </si>
  <si>
    <t>№ и дата заявки (вх. комитета)</t>
  </si>
  <si>
    <t>МУ "Приозерская школа "Корелла"</t>
  </si>
  <si>
    <t>МАУ "Ледовая арена "Кириши"</t>
  </si>
  <si>
    <t>МАУ "Спорт и молодость"</t>
  </si>
  <si>
    <t>Киришское ГП МР</t>
  </si>
  <si>
    <t>Киришский МР</t>
  </si>
  <si>
    <t>МАУ ДО "Киришская ДЮСШ"</t>
  </si>
  <si>
    <t>Гатчинский МР</t>
  </si>
  <si>
    <t>МАУ "СШОР "НИКА"</t>
  </si>
  <si>
    <t>Тихвинский МР</t>
  </si>
  <si>
    <t>Тихвинское ГП МР</t>
  </si>
  <si>
    <t>МБУДО "Детско-юношеская спортивная школа "Богатырь"</t>
  </si>
  <si>
    <t>Всеволожский МР</t>
  </si>
  <si>
    <t>Тосненский район ЛО</t>
  </si>
  <si>
    <t>МКУ Тосненская СШОР по дзюдо</t>
  </si>
  <si>
    <t>МБУ Спортивный центр Тосненского района</t>
  </si>
  <si>
    <t>Тосненское ГП</t>
  </si>
  <si>
    <t>МКУ СДЦ Атлант</t>
  </si>
  <si>
    <t>Волховский МР</t>
  </si>
  <si>
    <t>МБУС Физкультурно-спортивный центр "Волхов"</t>
  </si>
  <si>
    <t>Выборгский район ЛО</t>
  </si>
  <si>
    <t>МУ Тихвинский городской футбольный клуб "Кировец"</t>
  </si>
  <si>
    <t>МБУ СШОР Фаворит</t>
  </si>
  <si>
    <t>Лодейнопольский МР</t>
  </si>
  <si>
    <t>МАУ Лодейнопольская спортивная школа</t>
  </si>
  <si>
    <t>Вклад в СП %</t>
  </si>
  <si>
    <t>Приозерский МР</t>
  </si>
  <si>
    <t>Заневское ГП Всеволожский МР</t>
  </si>
  <si>
    <t>Запрашиваемая Субсидия (руб.)</t>
  </si>
  <si>
    <t>МБУ "Заневская спортивная школа"</t>
  </si>
  <si>
    <t>Распределение Субсидии с учетом Вклада в СП (руб.)</t>
  </si>
  <si>
    <t>МАУ "Всеволожский центр физической культуры и спорта"</t>
  </si>
  <si>
    <t>МБУ "Всеволожская спортивная школа олимпийского резерва"</t>
  </si>
  <si>
    <t>МУ Молодежно-спортивный центр</t>
  </si>
  <si>
    <t>Кировский МР</t>
  </si>
  <si>
    <t>МБУ Кировская спортивная школа</t>
  </si>
  <si>
    <t>Распределение Субсидии с учетом Вклада в СП и указанной в заявке потребности (руб.)</t>
  </si>
  <si>
    <t>Приозерский муниципальный район Ленинградской области</t>
  </si>
  <si>
    <t>Заневское городское поселение Всеволожского муниципального района Ленинградской области</t>
  </si>
  <si>
    <t>Гатчинский  муниципальный район Ленинградской области</t>
  </si>
  <si>
    <t>Всеволожский  муниципальный район Ленинградской области</t>
  </si>
  <si>
    <t>город Волхов Волховского  муниципального района Ленинградской области</t>
  </si>
  <si>
    <t>Киришский  муниципальный район  Ленинградской области</t>
  </si>
  <si>
    <t>Киришское городское поселение Киришского муниципального района  Ленинградской области</t>
  </si>
  <si>
    <t>Выборгский район  Ленинградской области</t>
  </si>
  <si>
    <t>Тихвинское  городское поселение Ленинградской области</t>
  </si>
  <si>
    <t>Тихвинский муниципальный район  Ленинградской области</t>
  </si>
  <si>
    <t>Кировский муниципальный район  Ленинградской области</t>
  </si>
  <si>
    <t>Лодейнопольский муниципальный район  Ленинградской области</t>
  </si>
  <si>
    <t>Тосненский район  Ленинградской области</t>
  </si>
  <si>
    <t>Тосненское городское поселение Тосненского муниципального района Ленинградской области</t>
  </si>
  <si>
    <t>В-5055/2022 от 28.07.2022</t>
  </si>
  <si>
    <t>на 2025 год</t>
  </si>
  <si>
    <t>МЗ - количество занимающихся на СП в 2022  году (НП-ВСМ)</t>
  </si>
  <si>
    <t>5-ФК - количество занимающихся на СП в 2021  году (без СОГ)</t>
  </si>
  <si>
    <t>В-5115/2022 от 01.08.2022</t>
  </si>
  <si>
    <t>В-5128/2022 от 02.08.2022</t>
  </si>
  <si>
    <t>В-5129/2022 от 02.08.2022</t>
  </si>
  <si>
    <t>В-5135/2022 от 02.08.2022</t>
  </si>
  <si>
    <t>В-5161/2022 от 03.08.2022</t>
  </si>
  <si>
    <t>В-5169/2022 от 03.08.2022</t>
  </si>
  <si>
    <t>В-5151/2022 от 02.08.2022</t>
  </si>
  <si>
    <t>В-5152/2022 от 02.08.2022</t>
  </si>
  <si>
    <t>В-5162/2022 от 03.08.2022</t>
  </si>
  <si>
    <t>В-5185/2022 от 03.08.2022</t>
  </si>
  <si>
    <t>В-5182/2022 от 03.08.2022</t>
  </si>
  <si>
    <t>В-5181/2022 от 03.08.2022</t>
  </si>
  <si>
    <t>В-5197/2022 от 03.08.2022</t>
  </si>
  <si>
    <t>2025 год</t>
  </si>
  <si>
    <t>Разница между расчетной и  запрашиваемой суммой субсидии</t>
  </si>
  <si>
    <t>Расчет субсидий с учетом вклада муниципальных образований в реализацию программ спортвной подготовки в соотвествии с требованиями федеральных стандартов спортивной подготовки</t>
  </si>
  <si>
    <t>Приложение 46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</si>
</sst>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sqref="A1:J23"/>
    </sheetView>
  </sheetViews>
  <sheetFormatPr defaultRowHeight="15.75" x14ac:dyDescent="0.25"/>
  <cols>
    <col min="1" max="1" width="7" style="1" customWidth="1"/>
    <col min="2" max="2" width="16.85546875" style="1" customWidth="1"/>
    <col min="3" max="3" width="13.140625" style="1" customWidth="1"/>
    <col min="4" max="4" width="23.28515625" style="1" customWidth="1"/>
    <col min="5" max="5" width="14.140625" style="1" customWidth="1"/>
    <col min="6" max="6" width="16" style="1" customWidth="1"/>
    <col min="7" max="7" width="15.7109375" style="1" customWidth="1"/>
    <col min="8" max="8" width="9.140625" style="11"/>
    <col min="9" max="9" width="18.7109375" style="1" customWidth="1"/>
    <col min="10" max="10" width="16.7109375" style="1" customWidth="1"/>
    <col min="11" max="16384" width="9.140625" style="1"/>
  </cols>
  <sheetData>
    <row r="1" spans="1:10" s="4" customFormat="1" x14ac:dyDescent="0.25">
      <c r="H1" s="11"/>
      <c r="I1" s="4" t="s">
        <v>74</v>
      </c>
    </row>
    <row r="2" spans="1:10" s="4" customFormat="1" ht="42.75" customHeight="1" x14ac:dyDescent="0.25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46.5" customHeight="1" x14ac:dyDescent="0.25">
      <c r="A3" s="43" t="s">
        <v>0</v>
      </c>
      <c r="B3" s="43" t="s">
        <v>1</v>
      </c>
      <c r="C3" s="43" t="s">
        <v>3</v>
      </c>
      <c r="D3" s="43" t="s">
        <v>2</v>
      </c>
      <c r="E3" s="43" t="s">
        <v>57</v>
      </c>
      <c r="F3" s="43" t="s">
        <v>56</v>
      </c>
      <c r="G3" s="25" t="s">
        <v>31</v>
      </c>
      <c r="H3" s="42" t="s">
        <v>28</v>
      </c>
      <c r="I3" s="25" t="s">
        <v>33</v>
      </c>
      <c r="J3" s="43" t="s">
        <v>72</v>
      </c>
    </row>
    <row r="4" spans="1:10" s="2" customFormat="1" ht="48.75" customHeight="1" x14ac:dyDescent="0.25">
      <c r="A4" s="43"/>
      <c r="B4" s="43"/>
      <c r="C4" s="43"/>
      <c r="D4" s="43"/>
      <c r="E4" s="43"/>
      <c r="F4" s="43"/>
      <c r="G4" s="25" t="s">
        <v>55</v>
      </c>
      <c r="H4" s="42"/>
      <c r="I4" s="25" t="s">
        <v>71</v>
      </c>
      <c r="J4" s="43"/>
    </row>
    <row r="5" spans="1:10" s="2" customFormat="1" ht="84" customHeight="1" x14ac:dyDescent="0.25">
      <c r="A5" s="23">
        <v>1</v>
      </c>
      <c r="B5" s="23" t="s">
        <v>10</v>
      </c>
      <c r="C5" s="23" t="s">
        <v>54</v>
      </c>
      <c r="D5" s="23" t="s">
        <v>11</v>
      </c>
      <c r="E5" s="23">
        <v>185</v>
      </c>
      <c r="F5" s="23">
        <f>16+77+28+7+4+18+1+63+29</f>
        <v>243</v>
      </c>
      <c r="G5" s="24">
        <v>3737401.55</v>
      </c>
      <c r="H5" s="8">
        <v>0.5</v>
      </c>
      <c r="I5" s="8">
        <f>11250000*H5/9.7</f>
        <v>579896.9072164949</v>
      </c>
      <c r="J5" s="36">
        <f>I5-G5</f>
        <v>-3157504.6427835049</v>
      </c>
    </row>
    <row r="6" spans="1:10" s="2" customFormat="1" ht="91.5" customHeight="1" x14ac:dyDescent="0.25">
      <c r="A6" s="48">
        <v>2</v>
      </c>
      <c r="B6" s="47" t="s">
        <v>15</v>
      </c>
      <c r="C6" s="47" t="s">
        <v>58</v>
      </c>
      <c r="D6" s="23" t="s">
        <v>35</v>
      </c>
      <c r="E6" s="23">
        <v>3697</v>
      </c>
      <c r="F6" s="23">
        <f>229+300+11+10+84+68+137+98+16+9+9+88+36+5+4+70+60+76+48+53+14+39+196+54+12+99+152+8+4+28+94+52+4+476+544+28+69+197+99+8</f>
        <v>3588</v>
      </c>
      <c r="G6" s="37">
        <v>17000000</v>
      </c>
      <c r="H6" s="8">
        <v>1</v>
      </c>
      <c r="I6" s="24">
        <f t="shared" ref="I6:I22" si="0">11250000*H6/9.7</f>
        <v>1159793.8144329898</v>
      </c>
      <c r="J6" s="41">
        <f>(I6+I7)-G6</f>
        <v>-15260309.278350515</v>
      </c>
    </row>
    <row r="7" spans="1:10" s="2" customFormat="1" ht="84" customHeight="1" x14ac:dyDescent="0.25">
      <c r="A7" s="48"/>
      <c r="B7" s="46"/>
      <c r="C7" s="46"/>
      <c r="D7" s="23" t="s">
        <v>34</v>
      </c>
      <c r="E7" s="23">
        <v>375</v>
      </c>
      <c r="F7" s="23">
        <f>75+24+50+151+57+23</f>
        <v>380</v>
      </c>
      <c r="G7" s="37"/>
      <c r="H7" s="8">
        <v>0.5</v>
      </c>
      <c r="I7" s="24">
        <f t="shared" si="0"/>
        <v>579896.9072164949</v>
      </c>
      <c r="J7" s="41"/>
    </row>
    <row r="8" spans="1:10" s="2" customFormat="1" ht="50.25" customHeight="1" x14ac:dyDescent="0.25">
      <c r="A8" s="26">
        <v>3</v>
      </c>
      <c r="B8" s="26" t="s">
        <v>12</v>
      </c>
      <c r="C8" s="26" t="s">
        <v>59</v>
      </c>
      <c r="D8" s="23" t="s">
        <v>14</v>
      </c>
      <c r="E8" s="23">
        <v>255</v>
      </c>
      <c r="F8" s="23">
        <f>18+60+30+20+6+10+11+8+18+42+10+15+7</f>
        <v>255</v>
      </c>
      <c r="G8" s="28">
        <v>880434.1</v>
      </c>
      <c r="H8" s="8">
        <v>0.5</v>
      </c>
      <c r="I8" s="24">
        <f t="shared" si="0"/>
        <v>579896.9072164949</v>
      </c>
      <c r="J8" s="36">
        <f>I8-G8</f>
        <v>-300537.19278350507</v>
      </c>
    </row>
    <row r="9" spans="1:10" s="2" customFormat="1" ht="55.5" customHeight="1" x14ac:dyDescent="0.25">
      <c r="A9" s="47">
        <v>4</v>
      </c>
      <c r="B9" s="47" t="s">
        <v>13</v>
      </c>
      <c r="C9" s="47" t="s">
        <v>60</v>
      </c>
      <c r="D9" s="27" t="s">
        <v>24</v>
      </c>
      <c r="E9" s="27">
        <v>223</v>
      </c>
      <c r="F9" s="27">
        <f>88+110+17+9</f>
        <v>224</v>
      </c>
      <c r="G9" s="38">
        <v>5509087.5</v>
      </c>
      <c r="H9" s="8">
        <v>0.5</v>
      </c>
      <c r="I9" s="24">
        <f t="shared" si="0"/>
        <v>579896.9072164949</v>
      </c>
      <c r="J9" s="41">
        <f>(I9+I10)-G9</f>
        <v>-4349293.6855670102</v>
      </c>
    </row>
    <row r="10" spans="1:10" s="2" customFormat="1" ht="55.5" customHeight="1" x14ac:dyDescent="0.25">
      <c r="A10" s="46"/>
      <c r="B10" s="46"/>
      <c r="C10" s="46"/>
      <c r="D10" s="23" t="s">
        <v>36</v>
      </c>
      <c r="E10" s="23">
        <v>189</v>
      </c>
      <c r="F10" s="23">
        <f>10+10+8+24+10+36+21+24+22+13+11+9</f>
        <v>198</v>
      </c>
      <c r="G10" s="39"/>
      <c r="H10" s="8">
        <v>0.5</v>
      </c>
      <c r="I10" s="24">
        <f t="shared" si="0"/>
        <v>579896.9072164949</v>
      </c>
      <c r="J10" s="41"/>
    </row>
    <row r="11" spans="1:10" s="2" customFormat="1" ht="63.75" customHeight="1" x14ac:dyDescent="0.25">
      <c r="A11" s="23">
        <v>5</v>
      </c>
      <c r="B11" s="23" t="s">
        <v>30</v>
      </c>
      <c r="C11" s="23" t="s">
        <v>61</v>
      </c>
      <c r="D11" s="23" t="s">
        <v>32</v>
      </c>
      <c r="E11" s="23">
        <v>375</v>
      </c>
      <c r="F11" s="23">
        <f>48+48+12+30+40+24+10</f>
        <v>212</v>
      </c>
      <c r="G11" s="24">
        <v>1800000</v>
      </c>
      <c r="H11" s="8">
        <v>0.5</v>
      </c>
      <c r="I11" s="24">
        <f t="shared" si="0"/>
        <v>579896.9072164949</v>
      </c>
      <c r="J11" s="36">
        <f t="shared" ref="J11:J14" si="1">I11-G11</f>
        <v>-1220103.0927835051</v>
      </c>
    </row>
    <row r="12" spans="1:10" s="2" customFormat="1" ht="57" customHeight="1" x14ac:dyDescent="0.25">
      <c r="A12" s="23">
        <v>6</v>
      </c>
      <c r="B12" s="23" t="s">
        <v>29</v>
      </c>
      <c r="C12" s="23" t="s">
        <v>62</v>
      </c>
      <c r="D12" s="23" t="s">
        <v>4</v>
      </c>
      <c r="E12" s="23">
        <v>501</v>
      </c>
      <c r="F12" s="23">
        <f>30+16+154+30+30+15+12+30+50+16+6+50+24+20+16+12</f>
        <v>511</v>
      </c>
      <c r="G12" s="24">
        <v>2500000</v>
      </c>
      <c r="H12" s="7">
        <v>0.8</v>
      </c>
      <c r="I12" s="24">
        <f t="shared" si="0"/>
        <v>927835.0515463918</v>
      </c>
      <c r="J12" s="36">
        <f t="shared" si="1"/>
        <v>-1572164.9484536082</v>
      </c>
    </row>
    <row r="13" spans="1:10" s="2" customFormat="1" ht="51.75" customHeight="1" x14ac:dyDescent="0.25">
      <c r="A13" s="23">
        <v>7</v>
      </c>
      <c r="B13" s="23" t="s">
        <v>26</v>
      </c>
      <c r="C13" s="23" t="s">
        <v>63</v>
      </c>
      <c r="D13" s="23" t="s">
        <v>27</v>
      </c>
      <c r="E13" s="23">
        <v>363</v>
      </c>
      <c r="F13" s="23">
        <f>25+17+62+49+50+38+97+45</f>
        <v>383</v>
      </c>
      <c r="G13" s="24">
        <v>5185500</v>
      </c>
      <c r="H13" s="8">
        <v>0.5</v>
      </c>
      <c r="I13" s="24">
        <f t="shared" si="0"/>
        <v>579896.9072164949</v>
      </c>
      <c r="J13" s="36">
        <f t="shared" si="1"/>
        <v>-4605603.0927835051</v>
      </c>
    </row>
    <row r="14" spans="1:10" s="2" customFormat="1" ht="76.5" customHeight="1" x14ac:dyDescent="0.25">
      <c r="A14" s="23">
        <v>8</v>
      </c>
      <c r="B14" s="23" t="s">
        <v>8</v>
      </c>
      <c r="C14" s="23" t="s">
        <v>64</v>
      </c>
      <c r="D14" s="23" t="s">
        <v>9</v>
      </c>
      <c r="E14" s="23">
        <v>215</v>
      </c>
      <c r="F14" s="23">
        <f>172+41+2</f>
        <v>215</v>
      </c>
      <c r="G14" s="24">
        <v>225000</v>
      </c>
      <c r="H14" s="8">
        <v>0.5</v>
      </c>
      <c r="I14" s="24">
        <f t="shared" si="0"/>
        <v>579896.9072164949</v>
      </c>
      <c r="J14" s="36">
        <f t="shared" si="1"/>
        <v>354896.9072164949</v>
      </c>
    </row>
    <row r="15" spans="1:10" s="2" customFormat="1" ht="52.5" customHeight="1" x14ac:dyDescent="0.25">
      <c r="A15" s="45">
        <v>9</v>
      </c>
      <c r="B15" s="47" t="s">
        <v>7</v>
      </c>
      <c r="C15" s="47" t="s">
        <v>65</v>
      </c>
      <c r="D15" s="27" t="s">
        <v>5</v>
      </c>
      <c r="E15" s="27">
        <v>40</v>
      </c>
      <c r="F15" s="27">
        <f>18+31</f>
        <v>49</v>
      </c>
      <c r="G15" s="40">
        <v>645010</v>
      </c>
      <c r="H15" s="7">
        <v>0.2</v>
      </c>
      <c r="I15" s="24">
        <f t="shared" si="0"/>
        <v>231958.76288659795</v>
      </c>
      <c r="J15" s="41">
        <f>(I15+I16)-G15</f>
        <v>-181092.4742268041</v>
      </c>
    </row>
    <row r="16" spans="1:10" s="2" customFormat="1" ht="42.75" customHeight="1" x14ac:dyDescent="0.25">
      <c r="A16" s="46"/>
      <c r="B16" s="46"/>
      <c r="C16" s="46"/>
      <c r="D16" s="23" t="s">
        <v>6</v>
      </c>
      <c r="E16" s="23">
        <v>34</v>
      </c>
      <c r="F16" s="23">
        <f>24+7+1+2</f>
        <v>34</v>
      </c>
      <c r="G16" s="39"/>
      <c r="H16" s="8">
        <v>0.2</v>
      </c>
      <c r="I16" s="24">
        <f t="shared" si="0"/>
        <v>231958.76288659795</v>
      </c>
      <c r="J16" s="41"/>
    </row>
    <row r="17" spans="1:10" s="2" customFormat="1" ht="76.5" customHeight="1" x14ac:dyDescent="0.25">
      <c r="A17" s="27">
        <v>10</v>
      </c>
      <c r="B17" s="23" t="s">
        <v>23</v>
      </c>
      <c r="C17" s="23" t="s">
        <v>66</v>
      </c>
      <c r="D17" s="23" t="s">
        <v>25</v>
      </c>
      <c r="E17" s="23">
        <v>1873</v>
      </c>
      <c r="F17" s="23">
        <f>30+203+75+108+224+63+15+94+43+37+10+78+30+58+30+30+15+34+83+15+84+41+81+49+22+12+71+70+51+8+5+4+20+4+47+10+14</f>
        <v>1868</v>
      </c>
      <c r="G17" s="24">
        <v>1244000</v>
      </c>
      <c r="H17" s="8">
        <v>1</v>
      </c>
      <c r="I17" s="24">
        <f t="shared" si="0"/>
        <v>1159793.8144329898</v>
      </c>
      <c r="J17" s="36">
        <f>I17-G17</f>
        <v>-84206.185567010194</v>
      </c>
    </row>
    <row r="18" spans="1:10" s="5" customFormat="1" ht="102.75" customHeight="1" x14ac:dyDescent="0.25">
      <c r="A18" s="45">
        <v>11</v>
      </c>
      <c r="B18" s="47" t="s">
        <v>16</v>
      </c>
      <c r="C18" s="47" t="s">
        <v>67</v>
      </c>
      <c r="D18" s="27" t="s">
        <v>17</v>
      </c>
      <c r="E18" s="27">
        <v>255</v>
      </c>
      <c r="F18" s="27">
        <f>200+100+3+2</f>
        <v>305</v>
      </c>
      <c r="G18" s="40">
        <v>1244000</v>
      </c>
      <c r="H18" s="13">
        <v>0.5</v>
      </c>
      <c r="I18" s="24">
        <f t="shared" si="0"/>
        <v>579896.9072164949</v>
      </c>
      <c r="J18" s="41">
        <f>(I18+I19)-G18</f>
        <v>-84206.185567010194</v>
      </c>
    </row>
    <row r="19" spans="1:10" s="2" customFormat="1" ht="71.25" customHeight="1" x14ac:dyDescent="0.25">
      <c r="A19" s="46"/>
      <c r="B19" s="46"/>
      <c r="C19" s="46"/>
      <c r="D19" s="23" t="s">
        <v>18</v>
      </c>
      <c r="E19" s="23">
        <v>306</v>
      </c>
      <c r="F19" s="23">
        <f>14+7+2+93+135+36+19+17</f>
        <v>323</v>
      </c>
      <c r="G19" s="39"/>
      <c r="H19" s="8">
        <v>0.5</v>
      </c>
      <c r="I19" s="24">
        <f t="shared" si="0"/>
        <v>579896.9072164949</v>
      </c>
      <c r="J19" s="41"/>
    </row>
    <row r="20" spans="1:10" s="2" customFormat="1" ht="48" customHeight="1" x14ac:dyDescent="0.25">
      <c r="A20" s="23">
        <v>12</v>
      </c>
      <c r="B20" s="23" t="s">
        <v>19</v>
      </c>
      <c r="C20" s="23" t="s">
        <v>68</v>
      </c>
      <c r="D20" s="23" t="s">
        <v>20</v>
      </c>
      <c r="E20" s="23">
        <v>148</v>
      </c>
      <c r="F20" s="23">
        <f>71+77</f>
        <v>148</v>
      </c>
      <c r="G20" s="24">
        <v>622000</v>
      </c>
      <c r="H20" s="7">
        <v>0.5</v>
      </c>
      <c r="I20" s="24">
        <f t="shared" si="0"/>
        <v>579896.9072164949</v>
      </c>
      <c r="J20" s="36">
        <f t="shared" ref="J20:J22" si="2">I20-G20</f>
        <v>-42103.092783505097</v>
      </c>
    </row>
    <row r="21" spans="1:10" s="2" customFormat="1" ht="56.25" customHeight="1" x14ac:dyDescent="0.25">
      <c r="A21" s="12">
        <v>13</v>
      </c>
      <c r="B21" s="12" t="s">
        <v>37</v>
      </c>
      <c r="C21" s="12" t="s">
        <v>69</v>
      </c>
      <c r="D21" s="12" t="s">
        <v>38</v>
      </c>
      <c r="E21" s="12">
        <v>356</v>
      </c>
      <c r="F21" s="12">
        <f>30+64+8+2+40+48+12+8+15+8+46+10+20+17+42+4</f>
        <v>374</v>
      </c>
      <c r="G21" s="13">
        <v>28358000</v>
      </c>
      <c r="H21" s="8">
        <v>0.5</v>
      </c>
      <c r="I21" s="24">
        <f t="shared" si="0"/>
        <v>579896.9072164949</v>
      </c>
      <c r="J21" s="36">
        <f t="shared" si="2"/>
        <v>-27778103.092783503</v>
      </c>
    </row>
    <row r="22" spans="1:10" s="2" customFormat="1" ht="60" customHeight="1" x14ac:dyDescent="0.25">
      <c r="A22" s="23">
        <v>14</v>
      </c>
      <c r="B22" s="23" t="s">
        <v>21</v>
      </c>
      <c r="C22" s="23" t="s">
        <v>70</v>
      </c>
      <c r="D22" s="23" t="s">
        <v>22</v>
      </c>
      <c r="E22" s="23">
        <v>135</v>
      </c>
      <c r="F22" s="23">
        <f>45+83+8</f>
        <v>136</v>
      </c>
      <c r="G22" s="24">
        <v>1809782.61</v>
      </c>
      <c r="H22" s="8">
        <v>0.5</v>
      </c>
      <c r="I22" s="24">
        <f t="shared" si="0"/>
        <v>579896.9072164949</v>
      </c>
      <c r="J22" s="36">
        <f t="shared" si="2"/>
        <v>-1229885.7027835052</v>
      </c>
    </row>
    <row r="23" spans="1:10" x14ac:dyDescent="0.25">
      <c r="G23" s="3">
        <f>SUM(G5:G22)</f>
        <v>70760215.760000005</v>
      </c>
      <c r="H23" s="14">
        <f>SUM(H5:H22)</f>
        <v>9.6999999999999993</v>
      </c>
      <c r="I23" s="3">
        <f>SUM(I5:I22)</f>
        <v>11250000</v>
      </c>
    </row>
  </sheetData>
  <mergeCells count="29">
    <mergeCell ref="A2:J2"/>
    <mergeCell ref="A18:A19"/>
    <mergeCell ref="B18:B19"/>
    <mergeCell ref="C6:C7"/>
    <mergeCell ref="C9:C10"/>
    <mergeCell ref="C18:C19"/>
    <mergeCell ref="B15:B16"/>
    <mergeCell ref="C15:C16"/>
    <mergeCell ref="A15:A16"/>
    <mergeCell ref="A9:A10"/>
    <mergeCell ref="B9:B10"/>
    <mergeCell ref="A6:A7"/>
    <mergeCell ref="B6:B7"/>
    <mergeCell ref="A3:A4"/>
    <mergeCell ref="B3:B4"/>
    <mergeCell ref="C3:C4"/>
    <mergeCell ref="H3:H4"/>
    <mergeCell ref="D3:D4"/>
    <mergeCell ref="E3:E4"/>
    <mergeCell ref="F3:F4"/>
    <mergeCell ref="J3:J4"/>
    <mergeCell ref="G6:G7"/>
    <mergeCell ref="G9:G10"/>
    <mergeCell ref="G18:G19"/>
    <mergeCell ref="J6:J7"/>
    <mergeCell ref="J9:J10"/>
    <mergeCell ref="J15:J16"/>
    <mergeCell ref="J18:J19"/>
    <mergeCell ref="G15:G16"/>
  </mergeCells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sqref="A1:I24"/>
    </sheetView>
  </sheetViews>
  <sheetFormatPr defaultRowHeight="15.75" x14ac:dyDescent="0.25"/>
  <cols>
    <col min="1" max="1" width="7" style="4" customWidth="1"/>
    <col min="2" max="2" width="16.85546875" style="4" customWidth="1"/>
    <col min="3" max="3" width="13.140625" style="4" customWidth="1"/>
    <col min="4" max="4" width="23.28515625" style="4" customWidth="1"/>
    <col min="5" max="6" width="13.5703125" style="4" customWidth="1"/>
    <col min="7" max="7" width="15.7109375" style="4" customWidth="1"/>
    <col min="8" max="8" width="9.140625" style="11"/>
    <col min="9" max="9" width="34.85546875" style="4" customWidth="1"/>
    <col min="10" max="16384" width="9.140625" style="4"/>
  </cols>
  <sheetData>
    <row r="1" spans="1:9" x14ac:dyDescent="0.25">
      <c r="I1" s="50" t="s">
        <v>74</v>
      </c>
    </row>
    <row r="2" spans="1:9" ht="69" customHeight="1" x14ac:dyDescent="0.25">
      <c r="A2" s="43" t="s">
        <v>0</v>
      </c>
      <c r="B2" s="43" t="s">
        <v>1</v>
      </c>
      <c r="C2" s="43" t="s">
        <v>3</v>
      </c>
      <c r="D2" s="43" t="s">
        <v>2</v>
      </c>
      <c r="E2" s="43" t="s">
        <v>57</v>
      </c>
      <c r="F2" s="43" t="s">
        <v>56</v>
      </c>
      <c r="G2" s="25" t="s">
        <v>31</v>
      </c>
      <c r="H2" s="42" t="s">
        <v>28</v>
      </c>
      <c r="I2" s="25" t="s">
        <v>33</v>
      </c>
    </row>
    <row r="3" spans="1:9" s="2" customFormat="1" ht="38.25" customHeight="1" x14ac:dyDescent="0.25">
      <c r="A3" s="43"/>
      <c r="B3" s="43"/>
      <c r="C3" s="43"/>
      <c r="D3" s="43"/>
      <c r="E3" s="43"/>
      <c r="F3" s="43"/>
      <c r="G3" s="25" t="s">
        <v>55</v>
      </c>
      <c r="H3" s="42"/>
      <c r="I3" s="25" t="s">
        <v>71</v>
      </c>
    </row>
    <row r="4" spans="1:9" s="2" customFormat="1" ht="63.75" customHeight="1" x14ac:dyDescent="0.25">
      <c r="A4" s="23">
        <v>8</v>
      </c>
      <c r="B4" s="23" t="s">
        <v>8</v>
      </c>
      <c r="C4" s="23" t="s">
        <v>64</v>
      </c>
      <c r="D4" s="23" t="s">
        <v>9</v>
      </c>
      <c r="E4" s="23">
        <v>215</v>
      </c>
      <c r="F4" s="23">
        <f>172+41+2</f>
        <v>215</v>
      </c>
      <c r="G4" s="24">
        <v>225000</v>
      </c>
      <c r="H4" s="24">
        <v>0.5</v>
      </c>
      <c r="I4" s="24">
        <v>225000</v>
      </c>
    </row>
    <row r="5" spans="1:9" s="2" customFormat="1" ht="24" customHeight="1" x14ac:dyDescent="0.25">
      <c r="A5" s="9"/>
      <c r="B5" s="9"/>
      <c r="C5" s="9"/>
      <c r="D5" s="10"/>
      <c r="E5" s="10"/>
      <c r="F5" s="10"/>
      <c r="G5" s="18"/>
      <c r="H5" s="15">
        <f>SUM(H4:H4)</f>
        <v>0.5</v>
      </c>
      <c r="I5" s="15">
        <f>SUM(I4:I4)</f>
        <v>225000</v>
      </c>
    </row>
    <row r="6" spans="1:9" s="2" customFormat="1" ht="84" customHeight="1" x14ac:dyDescent="0.25">
      <c r="A6" s="23">
        <v>1</v>
      </c>
      <c r="B6" s="23" t="s">
        <v>10</v>
      </c>
      <c r="C6" s="23" t="s">
        <v>54</v>
      </c>
      <c r="D6" s="23" t="s">
        <v>11</v>
      </c>
      <c r="E6" s="23">
        <v>185</v>
      </c>
      <c r="F6" s="23">
        <f>16+77+28+7+4+18+1+63+29</f>
        <v>243</v>
      </c>
      <c r="G6" s="24">
        <v>3737401.55</v>
      </c>
      <c r="H6" s="24">
        <v>0.5</v>
      </c>
      <c r="I6" s="24">
        <f>11025000*H6/9.2</f>
        <v>599184.78260869568</v>
      </c>
    </row>
    <row r="7" spans="1:9" s="2" customFormat="1" ht="91.5" customHeight="1" x14ac:dyDescent="0.25">
      <c r="A7" s="48">
        <v>2</v>
      </c>
      <c r="B7" s="48" t="s">
        <v>15</v>
      </c>
      <c r="C7" s="48" t="s">
        <v>58</v>
      </c>
      <c r="D7" s="23" t="s">
        <v>35</v>
      </c>
      <c r="E7" s="23">
        <v>3697</v>
      </c>
      <c r="F7" s="23">
        <f>229+300+11+10+84+68+137+98+16+9+9+88+36+5+4+70+60+76+48+53+14+39+196+54+12+99+152+8+4+28+94+52+4+476+544+28+69+197+99+8</f>
        <v>3588</v>
      </c>
      <c r="G7" s="37">
        <v>17000000</v>
      </c>
      <c r="H7" s="24">
        <v>1</v>
      </c>
      <c r="I7" s="24">
        <f t="shared" ref="I7:I22" si="0">11025000*H7/9.2</f>
        <v>1198369.5652173914</v>
      </c>
    </row>
    <row r="8" spans="1:9" s="2" customFormat="1" ht="84" customHeight="1" x14ac:dyDescent="0.25">
      <c r="A8" s="48"/>
      <c r="B8" s="48"/>
      <c r="C8" s="48"/>
      <c r="D8" s="23" t="s">
        <v>34</v>
      </c>
      <c r="E8" s="23">
        <v>375</v>
      </c>
      <c r="F8" s="23">
        <f>75+24+50+151+57+23</f>
        <v>380</v>
      </c>
      <c r="G8" s="37"/>
      <c r="H8" s="24">
        <v>0.5</v>
      </c>
      <c r="I8" s="24">
        <f t="shared" si="0"/>
        <v>599184.78260869568</v>
      </c>
    </row>
    <row r="9" spans="1:9" s="2" customFormat="1" ht="50.25" customHeight="1" x14ac:dyDescent="0.25">
      <c r="A9" s="26">
        <v>3</v>
      </c>
      <c r="B9" s="26" t="s">
        <v>12</v>
      </c>
      <c r="C9" s="26" t="s">
        <v>59</v>
      </c>
      <c r="D9" s="23" t="s">
        <v>14</v>
      </c>
      <c r="E9" s="23">
        <v>255</v>
      </c>
      <c r="F9" s="23">
        <f>18+60+30+20+6+10+11+8+18+42+10+15+7</f>
        <v>255</v>
      </c>
      <c r="G9" s="28">
        <v>880434.1</v>
      </c>
      <c r="H9" s="24">
        <v>0.5</v>
      </c>
      <c r="I9" s="24">
        <f t="shared" si="0"/>
        <v>599184.78260869568</v>
      </c>
    </row>
    <row r="10" spans="1:9" s="2" customFormat="1" ht="55.5" customHeight="1" x14ac:dyDescent="0.25">
      <c r="A10" s="47">
        <v>4</v>
      </c>
      <c r="B10" s="47" t="s">
        <v>13</v>
      </c>
      <c r="C10" s="47" t="s">
        <v>60</v>
      </c>
      <c r="D10" s="27" t="s">
        <v>24</v>
      </c>
      <c r="E10" s="27">
        <v>223</v>
      </c>
      <c r="F10" s="27">
        <f>88+110+17+9</f>
        <v>224</v>
      </c>
      <c r="G10" s="38">
        <v>5509087.5</v>
      </c>
      <c r="H10" s="24">
        <v>0.5</v>
      </c>
      <c r="I10" s="24">
        <f t="shared" si="0"/>
        <v>599184.78260869568</v>
      </c>
    </row>
    <row r="11" spans="1:9" s="2" customFormat="1" ht="55.5" customHeight="1" x14ac:dyDescent="0.25">
      <c r="A11" s="46"/>
      <c r="B11" s="46"/>
      <c r="C11" s="46"/>
      <c r="D11" s="23" t="s">
        <v>36</v>
      </c>
      <c r="E11" s="23">
        <v>189</v>
      </c>
      <c r="F11" s="23">
        <f>10+10+8+24+10+36+21+24+22+13+11+9</f>
        <v>198</v>
      </c>
      <c r="G11" s="39"/>
      <c r="H11" s="24">
        <v>0.5</v>
      </c>
      <c r="I11" s="24">
        <f t="shared" si="0"/>
        <v>599184.78260869568</v>
      </c>
    </row>
    <row r="12" spans="1:9" s="2" customFormat="1" ht="76.5" customHeight="1" x14ac:dyDescent="0.25">
      <c r="A12" s="23">
        <v>5</v>
      </c>
      <c r="B12" s="23" t="s">
        <v>30</v>
      </c>
      <c r="C12" s="23" t="s">
        <v>61</v>
      </c>
      <c r="D12" s="23" t="s">
        <v>32</v>
      </c>
      <c r="E12" s="23">
        <v>375</v>
      </c>
      <c r="F12" s="23">
        <f>48+48+12+30+40+24+10</f>
        <v>212</v>
      </c>
      <c r="G12" s="24">
        <v>1800000</v>
      </c>
      <c r="H12" s="24">
        <v>0.5</v>
      </c>
      <c r="I12" s="24">
        <f t="shared" si="0"/>
        <v>599184.78260869568</v>
      </c>
    </row>
    <row r="13" spans="1:9" s="2" customFormat="1" ht="52.5" customHeight="1" x14ac:dyDescent="0.25">
      <c r="A13" s="23">
        <v>6</v>
      </c>
      <c r="B13" s="23" t="s">
        <v>29</v>
      </c>
      <c r="C13" s="23" t="s">
        <v>62</v>
      </c>
      <c r="D13" s="23" t="s">
        <v>4</v>
      </c>
      <c r="E13" s="23">
        <v>501</v>
      </c>
      <c r="F13" s="23">
        <f>30+16+154+30+30+15+12+30+50+16+6+50+24+20+16+12</f>
        <v>511</v>
      </c>
      <c r="G13" s="24">
        <v>2500000</v>
      </c>
      <c r="H13" s="29">
        <v>0.8</v>
      </c>
      <c r="I13" s="24">
        <f t="shared" si="0"/>
        <v>958695.65217391308</v>
      </c>
    </row>
    <row r="14" spans="1:9" s="2" customFormat="1" ht="42.75" customHeight="1" x14ac:dyDescent="0.25">
      <c r="A14" s="23">
        <v>7</v>
      </c>
      <c r="B14" s="23" t="s">
        <v>26</v>
      </c>
      <c r="C14" s="23" t="s">
        <v>63</v>
      </c>
      <c r="D14" s="23" t="s">
        <v>27</v>
      </c>
      <c r="E14" s="23">
        <v>363</v>
      </c>
      <c r="F14" s="23">
        <f>25+17+62+49+50+38+97+45</f>
        <v>383</v>
      </c>
      <c r="G14" s="24">
        <v>5185500</v>
      </c>
      <c r="H14" s="24">
        <v>0.5</v>
      </c>
      <c r="I14" s="24">
        <f t="shared" si="0"/>
        <v>599184.78260869568</v>
      </c>
    </row>
    <row r="15" spans="1:9" s="2" customFormat="1" ht="76.5" customHeight="1" x14ac:dyDescent="0.25">
      <c r="A15" s="45">
        <v>9</v>
      </c>
      <c r="B15" s="45" t="s">
        <v>7</v>
      </c>
      <c r="C15" s="45" t="s">
        <v>65</v>
      </c>
      <c r="D15" s="27" t="s">
        <v>5</v>
      </c>
      <c r="E15" s="27">
        <v>40</v>
      </c>
      <c r="F15" s="27">
        <f>18+31</f>
        <v>49</v>
      </c>
      <c r="G15" s="40">
        <v>645010</v>
      </c>
      <c r="H15" s="29">
        <v>0.2</v>
      </c>
      <c r="I15" s="24">
        <f t="shared" si="0"/>
        <v>239673.91304347827</v>
      </c>
    </row>
    <row r="16" spans="1:9" s="5" customFormat="1" ht="57" customHeight="1" x14ac:dyDescent="0.25">
      <c r="A16" s="46"/>
      <c r="B16" s="46"/>
      <c r="C16" s="46"/>
      <c r="D16" s="23" t="s">
        <v>6</v>
      </c>
      <c r="E16" s="23">
        <v>34</v>
      </c>
      <c r="F16" s="23">
        <f>24+7+1+2</f>
        <v>34</v>
      </c>
      <c r="G16" s="39"/>
      <c r="H16" s="24">
        <v>0.2</v>
      </c>
      <c r="I16" s="24">
        <f t="shared" si="0"/>
        <v>239673.91304347827</v>
      </c>
    </row>
    <row r="17" spans="1:9" s="2" customFormat="1" ht="71.25" customHeight="1" x14ac:dyDescent="0.25">
      <c r="A17" s="27">
        <v>10</v>
      </c>
      <c r="B17" s="23" t="s">
        <v>23</v>
      </c>
      <c r="C17" s="23" t="s">
        <v>66</v>
      </c>
      <c r="D17" s="23" t="s">
        <v>25</v>
      </c>
      <c r="E17" s="23">
        <v>1873</v>
      </c>
      <c r="F17" s="23">
        <f>30+203+75+108+224+63+15+94+43+37+10+78+30+58+30+30+15+34+83+15+84+41+81+49+22+12+71+70+51+8+5+4+20+4+47+10+14</f>
        <v>1868</v>
      </c>
      <c r="G17" s="24">
        <v>1244000</v>
      </c>
      <c r="H17" s="24">
        <v>1</v>
      </c>
      <c r="I17" s="24">
        <f t="shared" si="0"/>
        <v>1198369.5652173914</v>
      </c>
    </row>
    <row r="18" spans="1:9" s="2" customFormat="1" ht="36.75" customHeight="1" x14ac:dyDescent="0.25">
      <c r="A18" s="45">
        <v>11</v>
      </c>
      <c r="B18" s="45" t="s">
        <v>16</v>
      </c>
      <c r="C18" s="45" t="s">
        <v>67</v>
      </c>
      <c r="D18" s="27" t="s">
        <v>17</v>
      </c>
      <c r="E18" s="27">
        <v>255</v>
      </c>
      <c r="F18" s="27">
        <f>200+100+3+2</f>
        <v>305</v>
      </c>
      <c r="G18" s="40">
        <v>1244000</v>
      </c>
      <c r="H18" s="13">
        <v>0.5</v>
      </c>
      <c r="I18" s="24">
        <f t="shared" si="0"/>
        <v>599184.78260869568</v>
      </c>
    </row>
    <row r="19" spans="1:9" s="2" customFormat="1" ht="56.25" customHeight="1" x14ac:dyDescent="0.25">
      <c r="A19" s="46"/>
      <c r="B19" s="46"/>
      <c r="C19" s="46"/>
      <c r="D19" s="23" t="s">
        <v>18</v>
      </c>
      <c r="E19" s="23">
        <v>306</v>
      </c>
      <c r="F19" s="23">
        <f>14+7+2+93+135+36+19+17</f>
        <v>323</v>
      </c>
      <c r="G19" s="39"/>
      <c r="H19" s="24">
        <v>0.5</v>
      </c>
      <c r="I19" s="24">
        <f t="shared" si="0"/>
        <v>599184.78260869568</v>
      </c>
    </row>
    <row r="20" spans="1:9" s="2" customFormat="1" ht="63.75" customHeight="1" x14ac:dyDescent="0.25">
      <c r="A20" s="23">
        <v>12</v>
      </c>
      <c r="B20" s="23" t="s">
        <v>19</v>
      </c>
      <c r="C20" s="23" t="s">
        <v>68</v>
      </c>
      <c r="D20" s="23" t="s">
        <v>20</v>
      </c>
      <c r="E20" s="23">
        <v>148</v>
      </c>
      <c r="F20" s="23">
        <f>71+77</f>
        <v>148</v>
      </c>
      <c r="G20" s="24">
        <v>622000</v>
      </c>
      <c r="H20" s="29">
        <v>0.5</v>
      </c>
      <c r="I20" s="24">
        <f t="shared" si="0"/>
        <v>599184.78260869568</v>
      </c>
    </row>
    <row r="21" spans="1:9" s="2" customFormat="1" ht="63.75" customHeight="1" x14ac:dyDescent="0.25">
      <c r="A21" s="12">
        <v>13</v>
      </c>
      <c r="B21" s="12" t="s">
        <v>37</v>
      </c>
      <c r="C21" s="12" t="s">
        <v>69</v>
      </c>
      <c r="D21" s="12" t="s">
        <v>38</v>
      </c>
      <c r="E21" s="12">
        <v>356</v>
      </c>
      <c r="F21" s="12">
        <f>30+64+8+2+40+48+12+8+15+8+46+10+20+17+42+4</f>
        <v>374</v>
      </c>
      <c r="G21" s="13">
        <v>28358000</v>
      </c>
      <c r="H21" s="24">
        <v>0.5</v>
      </c>
      <c r="I21" s="24">
        <f t="shared" si="0"/>
        <v>599184.78260869568</v>
      </c>
    </row>
    <row r="22" spans="1:9" s="2" customFormat="1" ht="63.75" customHeight="1" x14ac:dyDescent="0.25">
      <c r="A22" s="23">
        <v>14</v>
      </c>
      <c r="B22" s="23" t="s">
        <v>21</v>
      </c>
      <c r="C22" s="23" t="s">
        <v>70</v>
      </c>
      <c r="D22" s="23" t="s">
        <v>22</v>
      </c>
      <c r="E22" s="23">
        <v>135</v>
      </c>
      <c r="F22" s="23">
        <f>45+83+8</f>
        <v>136</v>
      </c>
      <c r="G22" s="24">
        <v>1809782.61</v>
      </c>
      <c r="H22" s="24">
        <v>0.5</v>
      </c>
      <c r="I22" s="24">
        <f t="shared" si="0"/>
        <v>599184.78260869568</v>
      </c>
    </row>
    <row r="23" spans="1:9" ht="21" customHeight="1" x14ac:dyDescent="0.25">
      <c r="G23" s="49">
        <f>SUM(G4:G22)</f>
        <v>70760215.760000005</v>
      </c>
      <c r="H23" s="34">
        <f>SUM(H6:H22)</f>
        <v>9.1999999999999993</v>
      </c>
      <c r="I23" s="35">
        <f>11250000-I5</f>
        <v>11025000</v>
      </c>
    </row>
    <row r="24" spans="1:9" x14ac:dyDescent="0.25">
      <c r="G24" s="49"/>
      <c r="H24" s="16">
        <f>H5+H23</f>
        <v>9.6999999999999993</v>
      </c>
      <c r="I24" s="17">
        <f>I5+I23</f>
        <v>11250000</v>
      </c>
    </row>
    <row r="27" spans="1:9" x14ac:dyDescent="0.25">
      <c r="I27" s="19"/>
    </row>
  </sheetData>
  <mergeCells count="24">
    <mergeCell ref="A7:A8"/>
    <mergeCell ref="B7:B8"/>
    <mergeCell ref="C7:C8"/>
    <mergeCell ref="G7:G8"/>
    <mergeCell ref="A10:A11"/>
    <mergeCell ref="B10:B11"/>
    <mergeCell ref="C10:C11"/>
    <mergeCell ref="G10:G11"/>
    <mergeCell ref="H2:H3"/>
    <mergeCell ref="A2:A3"/>
    <mergeCell ref="B2:B3"/>
    <mergeCell ref="C2:C3"/>
    <mergeCell ref="D2:D3"/>
    <mergeCell ref="E2:E3"/>
    <mergeCell ref="F2:F3"/>
    <mergeCell ref="C15:C16"/>
    <mergeCell ref="G15:G16"/>
    <mergeCell ref="G23:G24"/>
    <mergeCell ref="A18:A19"/>
    <mergeCell ref="B18:B19"/>
    <mergeCell ref="C18:C19"/>
    <mergeCell ref="G18:G19"/>
    <mergeCell ref="A15:A16"/>
    <mergeCell ref="B15:B16"/>
  </mergeCells>
  <pageMargins left="0.78740157480314965" right="0.39370078740157483" top="0.78740157480314965" bottom="0.78740157480314965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sqref="A1:C18"/>
    </sheetView>
  </sheetViews>
  <sheetFormatPr defaultRowHeight="15.75" x14ac:dyDescent="0.25"/>
  <cols>
    <col min="1" max="1" width="7" style="4" customWidth="1"/>
    <col min="2" max="2" width="34.85546875" style="4" customWidth="1"/>
    <col min="3" max="3" width="42.85546875" style="4" customWidth="1"/>
    <col min="4" max="16384" width="9.140625" style="4"/>
  </cols>
  <sheetData>
    <row r="1" spans="1:3" x14ac:dyDescent="0.25">
      <c r="C1" s="50" t="s">
        <v>74</v>
      </c>
    </row>
    <row r="2" spans="1:3" ht="59.25" customHeight="1" x14ac:dyDescent="0.25">
      <c r="A2" s="43" t="s">
        <v>0</v>
      </c>
      <c r="B2" s="43" t="s">
        <v>1</v>
      </c>
      <c r="C2" s="30" t="s">
        <v>39</v>
      </c>
    </row>
    <row r="3" spans="1:3" x14ac:dyDescent="0.25">
      <c r="A3" s="43"/>
      <c r="B3" s="43"/>
      <c r="C3" s="30" t="s">
        <v>71</v>
      </c>
    </row>
    <row r="4" spans="1:3" ht="46.5" customHeight="1" x14ac:dyDescent="0.25">
      <c r="A4" s="33">
        <v>1</v>
      </c>
      <c r="B4" s="31" t="s">
        <v>42</v>
      </c>
      <c r="C4" s="32">
        <v>599184.78</v>
      </c>
    </row>
    <row r="5" spans="1:3" ht="66" customHeight="1" x14ac:dyDescent="0.25">
      <c r="A5" s="31">
        <v>2</v>
      </c>
      <c r="B5" s="31" t="s">
        <v>43</v>
      </c>
      <c r="C5" s="32">
        <v>1797554.35</v>
      </c>
    </row>
    <row r="6" spans="1:3" ht="43.5" customHeight="1" x14ac:dyDescent="0.25">
      <c r="A6" s="31">
        <v>3</v>
      </c>
      <c r="B6" s="31" t="s">
        <v>49</v>
      </c>
      <c r="C6" s="32">
        <v>599184.78</v>
      </c>
    </row>
    <row r="7" spans="1:3" ht="36.75" customHeight="1" x14ac:dyDescent="0.25">
      <c r="A7" s="31">
        <v>4</v>
      </c>
      <c r="B7" s="31" t="s">
        <v>48</v>
      </c>
      <c r="C7" s="32">
        <v>1198369.57</v>
      </c>
    </row>
    <row r="8" spans="1:3" ht="51" customHeight="1" x14ac:dyDescent="0.25">
      <c r="A8" s="31">
        <v>5</v>
      </c>
      <c r="B8" s="31" t="s">
        <v>41</v>
      </c>
      <c r="C8" s="32">
        <v>599184.78</v>
      </c>
    </row>
    <row r="9" spans="1:3" ht="45.75" customHeight="1" x14ac:dyDescent="0.25">
      <c r="A9" s="31">
        <v>6</v>
      </c>
      <c r="B9" s="33" t="s">
        <v>40</v>
      </c>
      <c r="C9" s="32">
        <v>958695.65</v>
      </c>
    </row>
    <row r="10" spans="1:3" ht="31.5" customHeight="1" x14ac:dyDescent="0.25">
      <c r="A10" s="31">
        <v>7</v>
      </c>
      <c r="B10" s="31" t="s">
        <v>51</v>
      </c>
      <c r="C10" s="32">
        <v>599184.78</v>
      </c>
    </row>
    <row r="11" spans="1:3" ht="42" customHeight="1" x14ac:dyDescent="0.25">
      <c r="A11" s="22">
        <v>8</v>
      </c>
      <c r="B11" s="22" t="s">
        <v>45</v>
      </c>
      <c r="C11" s="32">
        <v>225000</v>
      </c>
    </row>
    <row r="12" spans="1:3" ht="30.75" customHeight="1" x14ac:dyDescent="0.25">
      <c r="A12" s="20">
        <v>9</v>
      </c>
      <c r="B12" s="22" t="s">
        <v>46</v>
      </c>
      <c r="C12" s="32">
        <v>479347.83</v>
      </c>
    </row>
    <row r="13" spans="1:3" ht="47.25" customHeight="1" x14ac:dyDescent="0.25">
      <c r="A13" s="21">
        <v>10</v>
      </c>
      <c r="B13" s="22" t="s">
        <v>47</v>
      </c>
      <c r="C13" s="32">
        <v>1198369.57</v>
      </c>
    </row>
    <row r="14" spans="1:3" ht="39.75" customHeight="1" x14ac:dyDescent="0.25">
      <c r="A14" s="12">
        <v>11</v>
      </c>
      <c r="B14" s="22" t="s">
        <v>52</v>
      </c>
      <c r="C14" s="32">
        <v>1198369.57</v>
      </c>
    </row>
    <row r="15" spans="1:3" ht="57" customHeight="1" x14ac:dyDescent="0.25">
      <c r="A15" s="22">
        <v>12</v>
      </c>
      <c r="B15" s="22" t="s">
        <v>53</v>
      </c>
      <c r="C15" s="32">
        <v>599184.78</v>
      </c>
    </row>
    <row r="16" spans="1:3" ht="31.5" customHeight="1" x14ac:dyDescent="0.25">
      <c r="A16" s="20">
        <v>13</v>
      </c>
      <c r="B16" s="12" t="s">
        <v>50</v>
      </c>
      <c r="C16" s="32">
        <v>599184.78</v>
      </c>
    </row>
    <row r="17" spans="1:3" ht="49.5" customHeight="1" x14ac:dyDescent="0.25">
      <c r="A17" s="6">
        <v>14</v>
      </c>
      <c r="B17" s="22" t="s">
        <v>44</v>
      </c>
      <c r="C17" s="32">
        <v>599184.78</v>
      </c>
    </row>
    <row r="18" spans="1:3" x14ac:dyDescent="0.25">
      <c r="C18" s="17">
        <f>SUM(C4:C17)</f>
        <v>11250000</v>
      </c>
    </row>
  </sheetData>
  <mergeCells count="2">
    <mergeCell ref="A2:A3"/>
    <mergeCell ref="B2:B3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 субсидии с учетом вклада</vt:lpstr>
      <vt:lpstr>расчет субсидии с учетом МО</vt:lpstr>
      <vt:lpstr>для протокола_суммы</vt:lpstr>
      <vt:lpstr>'для протокола_суммы'!Область_печати</vt:lpstr>
      <vt:lpstr>'расчет субсидии с учетом вклада'!Область_печати</vt:lpstr>
      <vt:lpstr>'расчет субсидии с учетом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Георгиевна Заркова</dc:creator>
  <cp:lastModifiedBy>Ямалтдинова Алина Шамилевна</cp:lastModifiedBy>
  <cp:lastPrinted>2022-10-04T07:05:13Z</cp:lastPrinted>
  <dcterms:created xsi:type="dcterms:W3CDTF">2020-09-21T07:07:58Z</dcterms:created>
  <dcterms:modified xsi:type="dcterms:W3CDTF">2022-10-04T07:05:33Z</dcterms:modified>
</cp:coreProperties>
</file>