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360" yWindow="300" windowWidth="16440" windowHeight="11760" firstSheet="1" activeTab="1"/>
  </bookViews>
  <sheets>
    <sheet name="2019" sheetId="1" state="hidden" r:id="rId1"/>
    <sheet name="2021 год" sheetId="2" r:id="rId2"/>
  </sheets>
  <definedNames>
    <definedName name="Z_1237AFA1_68A6_41BB_9F1F_2BB33CF3BCCE_.wvu.Cols" localSheetId="0" hidden="1">'2019'!$I:$M</definedName>
    <definedName name="Z_1237AFA1_68A6_41BB_9F1F_2BB33CF3BCCE_.wvu.Cols" localSheetId="1" hidden="1">'2021 год'!$D:$D,'2021 год'!$H:$H</definedName>
    <definedName name="Z_1237AFA1_68A6_41BB_9F1F_2BB33CF3BCCE_.wvu.PrintTitles" localSheetId="0" hidden="1">'2019'!$2:$4</definedName>
    <definedName name="Z_1237AFA1_68A6_41BB_9F1F_2BB33CF3BCCE_.wvu.PrintTitles" localSheetId="1" hidden="1">'2021 год'!$4:$6</definedName>
    <definedName name="Z_1237AFA1_68A6_41BB_9F1F_2BB33CF3BCCE_.wvu.Rows" localSheetId="0" hidden="1">'2019'!$5:$239</definedName>
    <definedName name="Z_15008CFB_90AE_4019_A345_B8744D25D0C3_.wvu.Cols" localSheetId="0" hidden="1">'2019'!$I:$M</definedName>
    <definedName name="Z_15008CFB_90AE_4019_A345_B8744D25D0C3_.wvu.Cols" localSheetId="1" hidden="1">'2021 год'!$D:$D,'2021 год'!$H:$H</definedName>
    <definedName name="Z_15008CFB_90AE_4019_A345_B8744D25D0C3_.wvu.PrintTitles" localSheetId="0" hidden="1">'2019'!$2:$4</definedName>
    <definedName name="Z_15008CFB_90AE_4019_A345_B8744D25D0C3_.wvu.PrintTitles" localSheetId="1" hidden="1">'2021 год'!$4:$6</definedName>
    <definedName name="Z_15008CFB_90AE_4019_A345_B8744D25D0C3_.wvu.Rows" localSheetId="0" hidden="1">'2019'!$5:$239</definedName>
    <definedName name="Z_364080A9_4C50_4D56_AFFE_3F56BEE01D21_.wvu.Cols" localSheetId="0" hidden="1">'2019'!$I:$M</definedName>
    <definedName name="Z_364080A9_4C50_4D56_AFFE_3F56BEE01D21_.wvu.Cols" localSheetId="1" hidden="1">'2021 год'!$D:$D,'2021 год'!$H:$H</definedName>
    <definedName name="Z_364080A9_4C50_4D56_AFFE_3F56BEE01D21_.wvu.PrintTitles" localSheetId="0" hidden="1">'2019'!$2:$4</definedName>
    <definedName name="Z_364080A9_4C50_4D56_AFFE_3F56BEE01D21_.wvu.PrintTitles" localSheetId="1" hidden="1">'2021 год'!$4:$6</definedName>
    <definedName name="Z_364080A9_4C50_4D56_AFFE_3F56BEE01D21_.wvu.Rows" localSheetId="0" hidden="1">'2019'!$5:$239</definedName>
    <definedName name="Z_4873CEAB_4E26_4DB7_8CA3_1027F54FA069_.wvu.Cols" localSheetId="0" hidden="1">'2019'!$I:$M</definedName>
    <definedName name="Z_4873CEAB_4E26_4DB7_8CA3_1027F54FA069_.wvu.Cols" localSheetId="1" hidden="1">'2021 год'!$D:$D,'2021 год'!$H:$H</definedName>
    <definedName name="Z_4873CEAB_4E26_4DB7_8CA3_1027F54FA069_.wvu.PrintTitles" localSheetId="0" hidden="1">'2019'!$2:$4</definedName>
    <definedName name="Z_4873CEAB_4E26_4DB7_8CA3_1027F54FA069_.wvu.PrintTitles" localSheetId="1" hidden="1">'2021 год'!$4:$6</definedName>
    <definedName name="Z_4873CEAB_4E26_4DB7_8CA3_1027F54FA069_.wvu.Rows" localSheetId="0" hidden="1">'2019'!$5:$239</definedName>
    <definedName name="Z_5B955171_6155_4477_93FE_98906395A697_.wvu.Cols" localSheetId="0" hidden="1">'2019'!$I:$M</definedName>
    <definedName name="Z_5B955171_6155_4477_93FE_98906395A697_.wvu.Cols" localSheetId="1" hidden="1">'2021 год'!$D:$D,'2021 год'!$H:$H</definedName>
    <definedName name="Z_5B955171_6155_4477_93FE_98906395A697_.wvu.PrintTitles" localSheetId="0" hidden="1">'2019'!$2:$4</definedName>
    <definedName name="Z_5B955171_6155_4477_93FE_98906395A697_.wvu.PrintTitles" localSheetId="1" hidden="1">'2021 год'!$4:$6</definedName>
    <definedName name="Z_5B955171_6155_4477_93FE_98906395A697_.wvu.Rows" localSheetId="0" hidden="1">'2019'!$5:$239</definedName>
    <definedName name="Z_69868B4C_820B_4999_9363_14A229151CE0_.wvu.Cols" localSheetId="0" hidden="1">'2019'!$I:$M</definedName>
    <definedName name="Z_69868B4C_820B_4999_9363_14A229151CE0_.wvu.Cols" localSheetId="1" hidden="1">'2021 год'!$D:$D,'2021 год'!$H:$H</definedName>
    <definedName name="Z_69868B4C_820B_4999_9363_14A229151CE0_.wvu.PrintTitles" localSheetId="0" hidden="1">'2019'!$2:$4</definedName>
    <definedName name="Z_69868B4C_820B_4999_9363_14A229151CE0_.wvu.PrintTitles" localSheetId="1" hidden="1">'2021 год'!$4:$6</definedName>
    <definedName name="Z_69868B4C_820B_4999_9363_14A229151CE0_.wvu.Rows" localSheetId="0" hidden="1">'2019'!$5:$239</definedName>
    <definedName name="Z_765F1DBD_C068_444A_8B13_2916A4A9BA3F_.wvu.Cols" localSheetId="0" hidden="1">'2019'!$I:$M</definedName>
    <definedName name="Z_765F1DBD_C068_444A_8B13_2916A4A9BA3F_.wvu.Cols" localSheetId="1" hidden="1">'2021 год'!$D:$D,'2021 год'!$H:$H</definedName>
    <definedName name="Z_765F1DBD_C068_444A_8B13_2916A4A9BA3F_.wvu.PrintTitles" localSheetId="0" hidden="1">'2019'!$2:$4</definedName>
    <definedName name="Z_765F1DBD_C068_444A_8B13_2916A4A9BA3F_.wvu.PrintTitles" localSheetId="1" hidden="1">'2021 год'!$4:$6</definedName>
    <definedName name="Z_765F1DBD_C068_444A_8B13_2916A4A9BA3F_.wvu.Rows" localSheetId="0" hidden="1">'2019'!$5:$239</definedName>
    <definedName name="Z_AC3D1D09_98ED_4CFD_8F29_C435F099150F_.wvu.Cols" localSheetId="0" hidden="1">'2019'!$I:$M</definedName>
    <definedName name="Z_AC3D1D09_98ED_4CFD_8F29_C435F099150F_.wvu.Cols" localSheetId="1" hidden="1">'2021 год'!$D:$D,'2021 год'!$H:$H</definedName>
    <definedName name="Z_AC3D1D09_98ED_4CFD_8F29_C435F099150F_.wvu.PrintTitles" localSheetId="0" hidden="1">'2019'!$2:$4</definedName>
    <definedName name="Z_AC3D1D09_98ED_4CFD_8F29_C435F099150F_.wvu.PrintTitles" localSheetId="1" hidden="1">'2021 год'!$4:$6</definedName>
    <definedName name="Z_AC3D1D09_98ED_4CFD_8F29_C435F099150F_.wvu.Rows" localSheetId="0" hidden="1">'2019'!$5:$239</definedName>
    <definedName name="Z_CA612BCB_111F_4786_B98F_3B66BF1F01C7_.wvu.Cols" localSheetId="0" hidden="1">'2019'!$I:$M</definedName>
    <definedName name="Z_CA612BCB_111F_4786_B98F_3B66BF1F01C7_.wvu.Cols" localSheetId="1" hidden="1">'2021 год'!$D:$D,'2021 год'!$H:$H</definedName>
    <definedName name="Z_CA612BCB_111F_4786_B98F_3B66BF1F01C7_.wvu.PrintTitles" localSheetId="0" hidden="1">'2019'!$2:$4</definedName>
    <definedName name="Z_CA612BCB_111F_4786_B98F_3B66BF1F01C7_.wvu.PrintTitles" localSheetId="1" hidden="1">'2021 год'!$4:$6</definedName>
    <definedName name="Z_CA612BCB_111F_4786_B98F_3B66BF1F01C7_.wvu.Rows" localSheetId="0" hidden="1">'2019'!$5:$239</definedName>
    <definedName name="Z_E442A37A_C329_497A_93AF_778FC95E568D_.wvu.Cols" localSheetId="0" hidden="1">'2019'!$I:$M</definedName>
    <definedName name="Z_E442A37A_C329_497A_93AF_778FC95E568D_.wvu.Cols" localSheetId="1" hidden="1">'2021 год'!$D:$D,'2021 год'!$H:$H</definedName>
    <definedName name="Z_E442A37A_C329_497A_93AF_778FC95E568D_.wvu.PrintTitles" localSheetId="0" hidden="1">'2019'!$2:$4</definedName>
    <definedName name="Z_E442A37A_C329_497A_93AF_778FC95E568D_.wvu.PrintTitles" localSheetId="1" hidden="1">'2021 год'!$4:$6</definedName>
    <definedName name="Z_E442A37A_C329_497A_93AF_778FC95E568D_.wvu.Rows" localSheetId="0" hidden="1">'2019'!$5:$239</definedName>
    <definedName name="Z_E4E24A0D_4CE4_4533_9643_8904DCA0EAAD_.wvu.Cols" localSheetId="0" hidden="1">'2019'!$I:$M</definedName>
    <definedName name="Z_E4E24A0D_4CE4_4533_9643_8904DCA0EAAD_.wvu.Cols" localSheetId="1" hidden="1">'2021 год'!$D:$D,'2021 год'!$H:$H</definedName>
    <definedName name="Z_E4E24A0D_4CE4_4533_9643_8904DCA0EAAD_.wvu.PrintTitles" localSheetId="0" hidden="1">'2019'!$2:$4</definedName>
    <definedName name="Z_E4E24A0D_4CE4_4533_9643_8904DCA0EAAD_.wvu.PrintTitles" localSheetId="1" hidden="1">'2021 год'!$4:$6</definedName>
    <definedName name="Z_E4E24A0D_4CE4_4533_9643_8904DCA0EAAD_.wvu.Rows" localSheetId="0" hidden="1">'2019'!$5:$239</definedName>
    <definedName name="_xlnm.Print_Titles" localSheetId="0">'2019'!$2:$4</definedName>
    <definedName name="_xlnm.Print_Titles" localSheetId="1">'2021 год'!$4:$6</definedName>
  </definedNames>
  <calcPr calcId="145621"/>
  <customWorkbookViews>
    <customWorkbookView name="Васютина Ольга Валерьевна - Личное представление" guid="{CA612BCB-111F-4786-B98F-3B66BF1F01C7}" mergeInterval="0" personalView="1" maximized="1" windowWidth="1916" windowHeight="694" activeSheetId="2"/>
    <customWorkbookView name="Кравченко Ярослав Эдуардович - Личное представление" guid="{364080A9-4C50-4D56-AFFE-3F56BEE01D21}" mergeInterval="0" personalView="1" maximized="1" windowWidth="1916" windowHeight="787" activeSheetId="2"/>
    <customWorkbookView name="Николаева Любовь Александровна - Личное представление" guid="{E442A37A-C329-497A-93AF-778FC95E568D}" mergeInterval="0" personalView="1" maximized="1" windowWidth="1675" windowHeight="942" activeSheetId="2"/>
    <customWorkbookView name="Елена Александровна Павлова - Личное представление" guid="{E4E24A0D-4CE4-4533-9643-8904DCA0EAAD}" mergeInterval="0" personalView="1" maximized="1" windowWidth="1916" windowHeight="855" activeSheetId="2" showComments="commIndAndComment"/>
    <customWorkbookView name="Брызгало Вера Геннадьевна - Личное представление" guid="{4873CEAB-4E26-4DB7-8CA3-1027F54FA069}" mergeInterval="0" personalView="1" maximized="1" windowWidth="1916" windowHeight="714" activeSheetId="2"/>
    <customWorkbookView name="Ольга Александровна Коноплянникова - Личное представление" guid="{15008CFB-90AE-4019-A345-B8744D25D0C3}" mergeInterval="0" personalView="1" maximized="1" windowWidth="1916" windowHeight="855" activeSheetId="2" showComments="commIndAndComment"/>
    <customWorkbookView name="Жемчюговайте Полина Александровна - Личное представление" guid="{1237AFA1-68A6-41BB-9F1F-2BB33CF3BCCE}" mergeInterval="0" personalView="1" maximized="1" windowWidth="1664" windowHeight="654" activeSheetId="2"/>
    <customWorkbookView name="Анна Александровна Блохина - Личное представление" guid="{765F1DBD-C068-444A-8B13-2916A4A9BA3F}" mergeInterval="0" personalView="1" maximized="1" windowWidth="1676" windowHeight="825" activeSheetId="2"/>
    <customWorkbookView name="Соловьева Нина Леонардовна - Личное представление" guid="{AC3D1D09-98ED-4CFD-8F29-C435F099150F}" mergeInterval="0" personalView="1" maximized="1" windowWidth="1360" windowHeight="502" activeSheetId="2"/>
    <customWorkbookView name="Кудрявцева Светлана Геннадьевна - Личное представление" guid="{5B955171-6155-4477-93FE-98906395A697}" mergeInterval="0" personalView="1" maximized="1" windowWidth="1362" windowHeight="462" activeSheetId="2"/>
    <customWorkbookView name="Евсеева Анна Владимировна - Личное представление" guid="{69868B4C-820B-4999-9363-14A229151CE0}" mergeInterval="0" personalView="1" xWindow="834" yWindow="53" windowWidth="1076" windowHeight="741" activeSheetId="2"/>
  </customWorkbookViews>
</workbook>
</file>

<file path=xl/calcChain.xml><?xml version="1.0" encoding="utf-8"?>
<calcChain xmlns="http://schemas.openxmlformats.org/spreadsheetml/2006/main">
  <c r="K16" i="2" l="1"/>
  <c r="J16" i="2"/>
  <c r="I16" i="2"/>
  <c r="K266" i="2"/>
  <c r="J265" i="2" l="1"/>
  <c r="I265" i="2"/>
  <c r="I260" i="2"/>
  <c r="I256" i="2"/>
  <c r="J252" i="2"/>
  <c r="I252" i="2"/>
  <c r="J251" i="2"/>
  <c r="I251" i="2"/>
  <c r="J250" i="2"/>
  <c r="J249" i="2"/>
  <c r="I249" i="2"/>
  <c r="J248" i="2"/>
  <c r="I241" i="2"/>
  <c r="E273" i="2" l="1"/>
  <c r="F273" i="2"/>
  <c r="H273" i="2"/>
  <c r="I273" i="2"/>
  <c r="J273" i="2"/>
  <c r="K273" i="2"/>
  <c r="J10" i="2" l="1"/>
  <c r="I10" i="2"/>
  <c r="K124" i="2" l="1"/>
  <c r="J110" i="2"/>
  <c r="J124" i="2" s="1"/>
  <c r="I110" i="2"/>
  <c r="I124" i="2" s="1"/>
  <c r="J108" i="2" l="1"/>
  <c r="K108" i="2"/>
  <c r="I108" i="2"/>
  <c r="J135" i="2" l="1"/>
  <c r="I135" i="2"/>
  <c r="K135" i="2"/>
  <c r="K184" i="2"/>
  <c r="J184" i="2"/>
  <c r="I184" i="2"/>
  <c r="J131" i="2" l="1"/>
  <c r="K131" i="2"/>
  <c r="I131" i="2"/>
  <c r="I47" i="2" l="1"/>
  <c r="J47" i="2"/>
  <c r="I30" i="2" l="1"/>
  <c r="J30" i="2"/>
  <c r="I62" i="2" l="1"/>
  <c r="J62" i="2"/>
  <c r="I23" i="2" l="1"/>
  <c r="K18" i="2" l="1"/>
  <c r="K23" i="2" s="1"/>
  <c r="J18" i="2"/>
  <c r="J23" i="2" s="1"/>
  <c r="K60" i="2" l="1"/>
  <c r="K62" i="2" s="1"/>
  <c r="H280" i="2" l="1"/>
  <c r="I280" i="2"/>
  <c r="J280" i="2"/>
  <c r="K280" i="2"/>
  <c r="J266" i="2" l="1"/>
  <c r="F266" i="2"/>
  <c r="I266" i="2"/>
  <c r="I281" i="2" s="1"/>
  <c r="E266" i="2"/>
  <c r="D161" i="2" l="1"/>
  <c r="D160" i="2"/>
  <c r="D158" i="2"/>
  <c r="H184" i="2"/>
  <c r="H135" i="2"/>
  <c r="H131" i="2"/>
  <c r="H47" i="2"/>
  <c r="K47" i="2"/>
  <c r="H108" i="2"/>
  <c r="H62" i="2"/>
  <c r="K30" i="2"/>
  <c r="H30" i="2"/>
  <c r="K10" i="2"/>
  <c r="H10" i="2"/>
  <c r="N243" i="1"/>
  <c r="N239" i="1"/>
  <c r="O243" i="1"/>
  <c r="P243" i="1"/>
  <c r="Q243" i="1"/>
  <c r="R243" i="1"/>
  <c r="I162" i="1"/>
  <c r="O117" i="1"/>
  <c r="P117" i="1"/>
  <c r="Q117" i="1"/>
  <c r="R117" i="1"/>
  <c r="N117" i="1"/>
  <c r="O105" i="1"/>
  <c r="P105" i="1"/>
  <c r="Q105" i="1"/>
  <c r="R105" i="1"/>
  <c r="N105" i="1"/>
  <c r="R237" i="1"/>
  <c r="R239" i="1" s="1"/>
  <c r="Q237" i="1"/>
  <c r="Q239" i="1"/>
  <c r="P237" i="1"/>
  <c r="P239" i="1" s="1"/>
  <c r="O237" i="1"/>
  <c r="O232" i="1"/>
  <c r="O223" i="1"/>
  <c r="O239" i="1"/>
  <c r="J196" i="1"/>
  <c r="Q192" i="1"/>
  <c r="R192" i="1" s="1"/>
  <c r="L192" i="1"/>
  <c r="M192" i="1" s="1"/>
  <c r="P191" i="1"/>
  <c r="O191" i="1"/>
  <c r="N191" i="1"/>
  <c r="L191" i="1"/>
  <c r="Q191" i="1" s="1"/>
  <c r="P190" i="1"/>
  <c r="O190" i="1"/>
  <c r="N190" i="1"/>
  <c r="L190" i="1"/>
  <c r="P189" i="1"/>
  <c r="O189" i="1"/>
  <c r="N189" i="1"/>
  <c r="L189" i="1"/>
  <c r="Q189" i="1" s="1"/>
  <c r="N188" i="1"/>
  <c r="K188" i="1"/>
  <c r="L188" i="1" s="1"/>
  <c r="J188" i="1"/>
  <c r="O188" i="1" s="1"/>
  <c r="P187" i="1"/>
  <c r="O187" i="1"/>
  <c r="N187" i="1"/>
  <c r="L187" i="1"/>
  <c r="Q187" i="1" s="1"/>
  <c r="N186" i="1"/>
  <c r="K186" i="1"/>
  <c r="P186" i="1" s="1"/>
  <c r="J186" i="1"/>
  <c r="O186" i="1" s="1"/>
  <c r="P185" i="1"/>
  <c r="O185" i="1"/>
  <c r="N185" i="1"/>
  <c r="L185" i="1"/>
  <c r="Q185" i="1" s="1"/>
  <c r="P184" i="1"/>
  <c r="O184" i="1"/>
  <c r="N184" i="1"/>
  <c r="L184" i="1"/>
  <c r="Q184" i="1" s="1"/>
  <c r="P183" i="1"/>
  <c r="N183" i="1"/>
  <c r="L183" i="1"/>
  <c r="M183" i="1" s="1"/>
  <c r="R183" i="1" s="1"/>
  <c r="J183" i="1"/>
  <c r="O183" i="1" s="1"/>
  <c r="P182" i="1"/>
  <c r="N182" i="1"/>
  <c r="L182" i="1"/>
  <c r="Q182" i="1" s="1"/>
  <c r="J182" i="1"/>
  <c r="O182" i="1" s="1"/>
  <c r="O181" i="1"/>
  <c r="N181" i="1"/>
  <c r="K181" i="1"/>
  <c r="P181" i="1" s="1"/>
  <c r="R179" i="1"/>
  <c r="Q179" i="1"/>
  <c r="P179" i="1"/>
  <c r="O179" i="1"/>
  <c r="N178" i="1"/>
  <c r="I178" i="1" s="1"/>
  <c r="M178" i="1"/>
  <c r="L178" i="1"/>
  <c r="K178" i="1"/>
  <c r="J178" i="1"/>
  <c r="M177" i="1"/>
  <c r="L177" i="1"/>
  <c r="K177" i="1"/>
  <c r="J177" i="1"/>
  <c r="I177" i="1"/>
  <c r="N176" i="1"/>
  <c r="N179" i="1"/>
  <c r="M176" i="1"/>
  <c r="L176" i="1"/>
  <c r="K176" i="1"/>
  <c r="J176" i="1"/>
  <c r="M175" i="1"/>
  <c r="L175" i="1"/>
  <c r="K175" i="1"/>
  <c r="J175" i="1"/>
  <c r="I175" i="1"/>
  <c r="M174" i="1"/>
  <c r="L174" i="1"/>
  <c r="K174" i="1"/>
  <c r="J174" i="1"/>
  <c r="I174" i="1"/>
  <c r="I176" i="1"/>
  <c r="Q171" i="1"/>
  <c r="R171" i="1" s="1"/>
  <c r="M171" i="1" s="1"/>
  <c r="K171" i="1"/>
  <c r="Q170" i="1"/>
  <c r="R170" i="1" s="1"/>
  <c r="M170" i="1" s="1"/>
  <c r="K170" i="1"/>
  <c r="Q169" i="1"/>
  <c r="R169" i="1" s="1"/>
  <c r="M169" i="1" s="1"/>
  <c r="K169" i="1"/>
  <c r="M168" i="1"/>
  <c r="L168" i="1"/>
  <c r="K168" i="1"/>
  <c r="I168" i="1"/>
  <c r="M167" i="1"/>
  <c r="L167" i="1"/>
  <c r="K167" i="1"/>
  <c r="I167" i="1"/>
  <c r="O166" i="1"/>
  <c r="M166" i="1"/>
  <c r="L166" i="1"/>
  <c r="K166" i="1"/>
  <c r="I166" i="1"/>
  <c r="Q165" i="1"/>
  <c r="R165" i="1" s="1"/>
  <c r="M165" i="1" s="1"/>
  <c r="K165" i="1"/>
  <c r="I165" i="1"/>
  <c r="Q164" i="1"/>
  <c r="R164" i="1" s="1"/>
  <c r="M164" i="1" s="1"/>
  <c r="N164" i="1"/>
  <c r="K164" i="1"/>
  <c r="I164" i="1"/>
  <c r="M163" i="1"/>
  <c r="L163" i="1"/>
  <c r="K163" i="1"/>
  <c r="I163" i="1"/>
  <c r="Q162" i="1"/>
  <c r="R162" i="1" s="1"/>
  <c r="M162" i="1" s="1"/>
  <c r="K162" i="1"/>
  <c r="Q161" i="1"/>
  <c r="R161" i="1" s="1"/>
  <c r="M161" i="1" s="1"/>
  <c r="K161" i="1"/>
  <c r="I161" i="1"/>
  <c r="P160" i="1"/>
  <c r="Q160" i="1"/>
  <c r="R160" i="1" s="1"/>
  <c r="M160" i="1" s="1"/>
  <c r="O160" i="1"/>
  <c r="I160" i="1"/>
  <c r="H160" i="1"/>
  <c r="G160" i="1"/>
  <c r="F160" i="1"/>
  <c r="E160" i="1"/>
  <c r="P159" i="1"/>
  <c r="Q159" i="1"/>
  <c r="R159" i="1" s="1"/>
  <c r="M159" i="1" s="1"/>
  <c r="O159" i="1"/>
  <c r="H159" i="1"/>
  <c r="G159" i="1"/>
  <c r="F159" i="1"/>
  <c r="E159" i="1"/>
  <c r="D159" i="1"/>
  <c r="I159" i="1"/>
  <c r="Q158" i="1"/>
  <c r="R158" i="1" s="1"/>
  <c r="M158" i="1" s="1"/>
  <c r="O158" i="1"/>
  <c r="K158" i="1"/>
  <c r="I158" i="1"/>
  <c r="E158" i="1"/>
  <c r="Q157" i="1"/>
  <c r="R157" i="1" s="1"/>
  <c r="M157" i="1" s="1"/>
  <c r="K157" i="1"/>
  <c r="I157" i="1"/>
  <c r="Q156" i="1"/>
  <c r="R156" i="1" s="1"/>
  <c r="M156" i="1" s="1"/>
  <c r="K156" i="1"/>
  <c r="I156" i="1"/>
  <c r="Q155" i="1"/>
  <c r="R155" i="1" s="1"/>
  <c r="M155" i="1" s="1"/>
  <c r="K155" i="1"/>
  <c r="I155" i="1"/>
  <c r="Q154" i="1"/>
  <c r="L154" i="1" s="1"/>
  <c r="K154" i="1"/>
  <c r="Q153" i="1"/>
  <c r="R153" i="1" s="1"/>
  <c r="M153" i="1" s="1"/>
  <c r="K153" i="1"/>
  <c r="I153" i="1"/>
  <c r="Q152" i="1"/>
  <c r="R152" i="1" s="1"/>
  <c r="M152" i="1" s="1"/>
  <c r="K152" i="1"/>
  <c r="I152" i="1"/>
  <c r="P151" i="1"/>
  <c r="Q151" i="1" s="1"/>
  <c r="O151" i="1"/>
  <c r="O172" i="1" s="1"/>
  <c r="N151" i="1"/>
  <c r="H151" i="1"/>
  <c r="G151" i="1"/>
  <c r="F151" i="1"/>
  <c r="E151" i="1"/>
  <c r="D151" i="1"/>
  <c r="P150" i="1"/>
  <c r="Q150" i="1"/>
  <c r="L150" i="1" s="1"/>
  <c r="O150" i="1"/>
  <c r="N150" i="1"/>
  <c r="H150" i="1"/>
  <c r="G150" i="1"/>
  <c r="F150" i="1"/>
  <c r="E150" i="1"/>
  <c r="D150" i="1"/>
  <c r="Q149" i="1"/>
  <c r="R149" i="1" s="1"/>
  <c r="M149" i="1" s="1"/>
  <c r="K149" i="1"/>
  <c r="I149" i="1"/>
  <c r="P148" i="1"/>
  <c r="Q148" i="1"/>
  <c r="R148" i="1" s="1"/>
  <c r="M148" i="1" s="1"/>
  <c r="O148" i="1"/>
  <c r="N148" i="1"/>
  <c r="I148" i="1" s="1"/>
  <c r="H148" i="1"/>
  <c r="G148" i="1"/>
  <c r="F148" i="1"/>
  <c r="E148" i="1"/>
  <c r="D148" i="1"/>
  <c r="Q147" i="1"/>
  <c r="R147" i="1" s="1"/>
  <c r="M147" i="1" s="1"/>
  <c r="K147" i="1"/>
  <c r="I147" i="1"/>
  <c r="E147" i="1"/>
  <c r="Q146" i="1"/>
  <c r="R146" i="1" s="1"/>
  <c r="M146" i="1" s="1"/>
  <c r="K146" i="1"/>
  <c r="I146" i="1"/>
  <c r="Q145" i="1"/>
  <c r="R145" i="1" s="1"/>
  <c r="M145" i="1" s="1"/>
  <c r="K145" i="1"/>
  <c r="I145" i="1"/>
  <c r="P144" i="1"/>
  <c r="Q144" i="1"/>
  <c r="R144" i="1" s="1"/>
  <c r="M144" i="1" s="1"/>
  <c r="N144" i="1"/>
  <c r="H144" i="1"/>
  <c r="G144" i="1"/>
  <c r="F144" i="1"/>
  <c r="K144" i="1" s="1"/>
  <c r="D144" i="1"/>
  <c r="Q143" i="1"/>
  <c r="L143" i="1" s="1"/>
  <c r="K143" i="1"/>
  <c r="I143" i="1"/>
  <c r="Q142" i="1"/>
  <c r="R142" i="1" s="1"/>
  <c r="M142" i="1" s="1"/>
  <c r="N142" i="1"/>
  <c r="I142" i="1" s="1"/>
  <c r="K142" i="1"/>
  <c r="Q141" i="1"/>
  <c r="R141" i="1" s="1"/>
  <c r="M141" i="1" s="1"/>
  <c r="K141" i="1"/>
  <c r="I141" i="1"/>
  <c r="P140" i="1"/>
  <c r="K140" i="1" s="1"/>
  <c r="I140" i="1"/>
  <c r="H140" i="1"/>
  <c r="G140" i="1"/>
  <c r="F140" i="1"/>
  <c r="Q139" i="1"/>
  <c r="R139" i="1" s="1"/>
  <c r="M139" i="1" s="1"/>
  <c r="K139" i="1"/>
  <c r="Q138" i="1"/>
  <c r="R138" i="1" s="1"/>
  <c r="M138" i="1" s="1"/>
  <c r="K138" i="1"/>
  <c r="I138" i="1"/>
  <c r="Q137" i="1"/>
  <c r="R137" i="1" s="1"/>
  <c r="M137" i="1" s="1"/>
  <c r="K137" i="1"/>
  <c r="P136" i="1"/>
  <c r="Q135" i="1"/>
  <c r="R135" i="1" s="1"/>
  <c r="M135" i="1" s="1"/>
  <c r="K135" i="1"/>
  <c r="Q134" i="1"/>
  <c r="R134" i="1" s="1"/>
  <c r="M134" i="1" s="1"/>
  <c r="K134" i="1"/>
  <c r="I134" i="1"/>
  <c r="P133" i="1"/>
  <c r="I133" i="1"/>
  <c r="P132" i="1"/>
  <c r="I132" i="1"/>
  <c r="P131" i="1"/>
  <c r="O131" i="1"/>
  <c r="N131" i="1"/>
  <c r="H131" i="1"/>
  <c r="G131" i="1"/>
  <c r="F131" i="1"/>
  <c r="E131" i="1"/>
  <c r="D131" i="1"/>
  <c r="I131" i="1" s="1"/>
  <c r="Q130" i="1"/>
  <c r="R130" i="1" s="1"/>
  <c r="M130" i="1" s="1"/>
  <c r="K130" i="1"/>
  <c r="I130" i="1"/>
  <c r="P129" i="1"/>
  <c r="P172" i="1" s="1"/>
  <c r="Q129" i="1"/>
  <c r="R129" i="1" s="1"/>
  <c r="M129" i="1" s="1"/>
  <c r="O129" i="1"/>
  <c r="N129" i="1"/>
  <c r="H129" i="1"/>
  <c r="G129" i="1"/>
  <c r="F129" i="1"/>
  <c r="K129" i="1"/>
  <c r="E129" i="1"/>
  <c r="D129" i="1"/>
  <c r="Q128" i="1"/>
  <c r="R128" i="1" s="1"/>
  <c r="M128" i="1" s="1"/>
  <c r="K128" i="1"/>
  <c r="I128" i="1"/>
  <c r="A128" i="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Q127" i="1"/>
  <c r="R127" i="1" s="1"/>
  <c r="M127" i="1" s="1"/>
  <c r="K127" i="1"/>
  <c r="I127" i="1"/>
  <c r="N54" i="1"/>
  <c r="D87" i="1"/>
  <c r="Q85" i="1"/>
  <c r="R85" i="1" s="1"/>
  <c r="R84" i="1"/>
  <c r="P84" i="1"/>
  <c r="O84" i="1"/>
  <c r="N84" i="1"/>
  <c r="L84" i="1"/>
  <c r="Q84" i="1" s="1"/>
  <c r="R83" i="1"/>
  <c r="Q83" i="1"/>
  <c r="P83" i="1"/>
  <c r="O83" i="1"/>
  <c r="D83" i="1"/>
  <c r="N83" i="1"/>
  <c r="R77" i="1"/>
  <c r="P77" i="1"/>
  <c r="D69" i="1"/>
  <c r="D68" i="1"/>
  <c r="H66" i="1"/>
  <c r="G66" i="1"/>
  <c r="F66" i="1"/>
  <c r="D66" i="1"/>
  <c r="H64" i="1"/>
  <c r="G64" i="1"/>
  <c r="F64" i="1"/>
  <c r="D64" i="1"/>
  <c r="H63" i="1"/>
  <c r="G63" i="1"/>
  <c r="F63" i="1"/>
  <c r="D63" i="1"/>
  <c r="H61" i="1"/>
  <c r="G61" i="1"/>
  <c r="F61" i="1"/>
  <c r="D61" i="1"/>
  <c r="H60" i="1"/>
  <c r="R60" i="1"/>
  <c r="G60" i="1"/>
  <c r="Q60" i="1"/>
  <c r="F60" i="1"/>
  <c r="P60" i="1"/>
  <c r="E60" i="1"/>
  <c r="O60" i="1"/>
  <c r="D60" i="1"/>
  <c r="N60" i="1"/>
  <c r="P59" i="1"/>
  <c r="Q59" i="1" s="1"/>
  <c r="R59" i="1" s="1"/>
  <c r="H59" i="1"/>
  <c r="G59" i="1"/>
  <c r="F59" i="1"/>
  <c r="E59" i="1"/>
  <c r="D59" i="1"/>
  <c r="O58" i="1"/>
  <c r="O57" i="1" s="1"/>
  <c r="M58" i="1"/>
  <c r="R58" i="1" s="1"/>
  <c r="H58" i="1"/>
  <c r="G58" i="1"/>
  <c r="Q58" i="1"/>
  <c r="F58" i="1"/>
  <c r="P58" i="1" s="1"/>
  <c r="D58" i="1"/>
  <c r="N58" i="1"/>
  <c r="N57" i="1" s="1"/>
  <c r="M57" i="1"/>
  <c r="H57" i="1"/>
  <c r="G57" i="1"/>
  <c r="F57" i="1"/>
  <c r="D57" i="1"/>
  <c r="P56" i="1"/>
  <c r="M56" i="1"/>
  <c r="R54" i="1"/>
  <c r="Q54" i="1"/>
  <c r="P54" i="1"/>
  <c r="O54" i="1"/>
  <c r="O7" i="1"/>
  <c r="P7" i="1"/>
  <c r="Q7" i="1"/>
  <c r="R7" i="1"/>
  <c r="O8" i="1"/>
  <c r="P8" i="1"/>
  <c r="Q8" i="1"/>
  <c r="R8"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20" i="1"/>
  <c r="P20" i="1"/>
  <c r="Q20" i="1"/>
  <c r="R20" i="1"/>
  <c r="O21" i="1"/>
  <c r="P21" i="1"/>
  <c r="Q21" i="1"/>
  <c r="R21" i="1"/>
  <c r="O22" i="1"/>
  <c r="P22" i="1"/>
  <c r="Q22" i="1"/>
  <c r="R22" i="1"/>
  <c r="O23" i="1"/>
  <c r="P23" i="1"/>
  <c r="Q23" i="1"/>
  <c r="R23" i="1"/>
  <c r="O24" i="1"/>
  <c r="P24" i="1"/>
  <c r="Q24" i="1"/>
  <c r="R24" i="1"/>
  <c r="P6" i="1"/>
  <c r="Q6" i="1"/>
  <c r="R6" i="1"/>
  <c r="O6" i="1"/>
  <c r="N7" i="1"/>
  <c r="N8" i="1"/>
  <c r="N9" i="1"/>
  <c r="N10" i="1"/>
  <c r="N11" i="1"/>
  <c r="N12" i="1"/>
  <c r="N13" i="1"/>
  <c r="N14" i="1"/>
  <c r="N15" i="1"/>
  <c r="N16" i="1"/>
  <c r="N18" i="1"/>
  <c r="N19" i="1"/>
  <c r="N20" i="1"/>
  <c r="N21" i="1"/>
  <c r="N22" i="1"/>
  <c r="N6" i="1"/>
  <c r="L145" i="1"/>
  <c r="I150" i="1"/>
  <c r="K160" i="1"/>
  <c r="I129" i="1"/>
  <c r="I151" i="1"/>
  <c r="K151" i="1"/>
  <c r="Q131" i="1"/>
  <c r="L131" i="1" s="1"/>
  <c r="K131" i="1"/>
  <c r="Q132" i="1"/>
  <c r="L132" i="1" s="1"/>
  <c r="K132" i="1"/>
  <c r="Q133" i="1"/>
  <c r="R133" i="1" s="1"/>
  <c r="M133" i="1" s="1"/>
  <c r="K133" i="1"/>
  <c r="Q136" i="1"/>
  <c r="R136" i="1" s="1"/>
  <c r="M136" i="1" s="1"/>
  <c r="K136" i="1"/>
  <c r="L142" i="1"/>
  <c r="K148" i="1"/>
  <c r="K150" i="1"/>
  <c r="K159" i="1"/>
  <c r="N172" i="1"/>
  <c r="I144" i="1"/>
  <c r="Q190" i="1"/>
  <c r="M190" i="1"/>
  <c r="R190" i="1" s="1"/>
  <c r="P188" i="1" l="1"/>
  <c r="M182" i="1"/>
  <c r="R182" i="1" s="1"/>
  <c r="L169" i="1"/>
  <c r="K281" i="2"/>
  <c r="M189" i="1"/>
  <c r="R189" i="1" s="1"/>
  <c r="M191" i="1"/>
  <c r="R191" i="1" s="1"/>
  <c r="L161" i="1"/>
  <c r="L128" i="1"/>
  <c r="L153" i="1"/>
  <c r="L129" i="1"/>
  <c r="L130" i="1"/>
  <c r="L137" i="1"/>
  <c r="L148" i="1"/>
  <c r="M187" i="1"/>
  <c r="R187" i="1" s="1"/>
  <c r="L155" i="1"/>
  <c r="L152" i="1"/>
  <c r="L139" i="1"/>
  <c r="L147" i="1"/>
  <c r="L170" i="1"/>
  <c r="R132" i="1"/>
  <c r="M132" i="1" s="1"/>
  <c r="O48" i="1"/>
  <c r="P57" i="1"/>
  <c r="P88" i="1" s="1"/>
  <c r="R48" i="1"/>
  <c r="L157" i="1"/>
  <c r="L181" i="1"/>
  <c r="L144" i="1"/>
  <c r="R150" i="1"/>
  <c r="M150" i="1" s="1"/>
  <c r="L149" i="1"/>
  <c r="N88" i="1"/>
  <c r="Q48" i="1"/>
  <c r="P48" i="1"/>
  <c r="N194" i="1"/>
  <c r="L127" i="1"/>
  <c r="Q188" i="1"/>
  <c r="M188" i="1"/>
  <c r="R188" i="1" s="1"/>
  <c r="L160" i="1"/>
  <c r="L146" i="1"/>
  <c r="Q183" i="1"/>
  <c r="L141" i="1"/>
  <c r="L171" i="1"/>
  <c r="R131" i="1"/>
  <c r="M131" i="1" s="1"/>
  <c r="L134" i="1"/>
  <c r="L138" i="1"/>
  <c r="L165" i="1"/>
  <c r="R143" i="1"/>
  <c r="M143" i="1" s="1"/>
  <c r="R154" i="1"/>
  <c r="M154" i="1" s="1"/>
  <c r="M185" i="1"/>
  <c r="R185" i="1" s="1"/>
  <c r="L164" i="1"/>
  <c r="L159" i="1"/>
  <c r="N48" i="1"/>
  <c r="O88" i="1"/>
  <c r="H266" i="2"/>
  <c r="P194" i="1"/>
  <c r="R151" i="1"/>
  <c r="M151" i="1" s="1"/>
  <c r="L151" i="1"/>
  <c r="O194" i="1"/>
  <c r="Q56" i="1"/>
  <c r="L133" i="1"/>
  <c r="L136" i="1"/>
  <c r="M184" i="1"/>
  <c r="R184" i="1" s="1"/>
  <c r="Q140" i="1"/>
  <c r="L158" i="1"/>
  <c r="L135" i="1"/>
  <c r="L156" i="1"/>
  <c r="L162" i="1"/>
  <c r="L186" i="1"/>
  <c r="M181" i="1" l="1"/>
  <c r="R181" i="1" s="1"/>
  <c r="Q181" i="1"/>
  <c r="Q186" i="1"/>
  <c r="M186" i="1"/>
  <c r="R186" i="1" s="1"/>
  <c r="R194" i="1" s="1"/>
  <c r="R140" i="1"/>
  <c r="L140" i="1"/>
  <c r="Q172" i="1"/>
  <c r="R56" i="1"/>
  <c r="Q57" i="1"/>
  <c r="Q88" i="1" s="1"/>
  <c r="Q194" i="1" l="1"/>
  <c r="M140" i="1"/>
  <c r="R172" i="1"/>
  <c r="R57" i="1"/>
  <c r="R88" i="1" s="1"/>
</calcChain>
</file>

<file path=xl/sharedStrings.xml><?xml version="1.0" encoding="utf-8"?>
<sst xmlns="http://schemas.openxmlformats.org/spreadsheetml/2006/main" count="1328" uniqueCount="408">
  <si>
    <t>ИТОГО</t>
  </si>
  <si>
    <t>№ п/п</t>
  </si>
  <si>
    <t>Наименование государственной услуги (работы)</t>
  </si>
  <si>
    <t>Единицы измерения</t>
  </si>
  <si>
    <t>Объем оказания государственной услуги (работы)</t>
  </si>
  <si>
    <t>Объем средств, запланированный на обеспечение государственной услуги (работы), в рамках субсидии на выполнение государственного задания, тыс. рублей</t>
  </si>
  <si>
    <t>2020 год (план)</t>
  </si>
  <si>
    <t>2021 год (план)</t>
  </si>
  <si>
    <t>х</t>
  </si>
  <si>
    <t>2018 год (отчет)</t>
  </si>
  <si>
    <t>2019 год (ожидаемое исполнение)</t>
  </si>
  <si>
    <t>2022 год (план)</t>
  </si>
  <si>
    <t>Комитет по физической культуре и спорту Ленинградской области</t>
  </si>
  <si>
    <t>Спортивная подготовка по олимпийским видам спорта. Плавание. Этап высшего спортивного мастерства</t>
  </si>
  <si>
    <t>чел.</t>
  </si>
  <si>
    <t>Организация мероприятий по подготовке спортивных сборных команд</t>
  </si>
  <si>
    <t>шт.</t>
  </si>
  <si>
    <t>Обеспечение участия спортивных сборных команд в официальных спортивных мероприятиях. Всероссийские</t>
  </si>
  <si>
    <t>Обеспечение участия спортивных сборных команд в официальных спортивных мероприятиях. Межрегиональные</t>
  </si>
  <si>
    <t>Организация и проведение официальных физкультурных (физкультурно-оздоровительных) мероприятий. Региональные</t>
  </si>
  <si>
    <t>Организация и проведение официальных спортивных мероприятий. Всероссийские</t>
  </si>
  <si>
    <t>Организация и проведение официальных спортивных мероприятий. Межрегиональные</t>
  </si>
  <si>
    <t>Организация и проведение официальных спортивных мероприятий. Региональные</t>
  </si>
  <si>
    <t>Спортивная подготовка по олимпийским видам спорта. Волейбол. Этап совершенствования спортивного мастерства</t>
  </si>
  <si>
    <t>Спортивная подготовка по олимпийским видам спорта. Водное поло. Этап высшего спортивного мастерства</t>
  </si>
  <si>
    <t>Спортивная подготовка по олимпийским видам спорта. Водное поло. Этап совершенствования спортивного мастерства</t>
  </si>
  <si>
    <t>Спортивная подготовка по олимпийским видам спорта. Водное поло. Тренировочный этап (этап спортивной специализации)</t>
  </si>
  <si>
    <t>Спортивная подготовка по олимпийским видам спорта. Синхронное плавание. Тренировочный этап (этап спортивной специализации)</t>
  </si>
  <si>
    <t>Спортивная подготовка по олимпийским видам спорта. Синхронное плавание. Этап совершенствования спортивного мастерства</t>
  </si>
  <si>
    <t>Спортивная подготовка по олимпийским видам спорта. Синхронное плавание. Этап высшего спортивного мастерства</t>
  </si>
  <si>
    <t>Спортивная подготовка по олимпийским видам спорта. Плавание. Этап совершенствования спортивного мастерства</t>
  </si>
  <si>
    <t>Спортивная подготовка по олимпийским видам спорта. Волейбол. Тренировочный этап (этап спортивной специализации)</t>
  </si>
  <si>
    <t>Проведение тестирования выполнения нормативов в рамках Всероссийского физкультурно-спортивного комплекса "Готов к труду и обороне" (ГТО)</t>
  </si>
  <si>
    <t>Обеспечение доступа к объектам спорта</t>
  </si>
  <si>
    <t>Обеспечение участия сборных команд Ленинградской области в официальных физкультурных (физкультурно-оздоровительных) мероприятиях. Межрегиональные</t>
  </si>
  <si>
    <t>Спортивная подготовка по олимпийским видам спорта. Фристайл. Этап высшего спортивного мастерства</t>
  </si>
  <si>
    <t>Спортивная подготовка по олимпийским видам спорта. Фристайл. Тренировочный этап (этап спортивной специализации)</t>
  </si>
  <si>
    <t>Спортивная подготовка по олимпийским видам спорта. Горнолыжный спорт. Этап высшего спортивного мастерства</t>
  </si>
  <si>
    <t>Спортивная подготовка по олимпийским видам спорта. Горнолыжный спорт. Этап совершенствования спортивного мастерства</t>
  </si>
  <si>
    <t>Спортивная подготовка по олимпийским видам спорта. Горнолыжный спорт. Тренировочный этап (этап спортивной специализации)</t>
  </si>
  <si>
    <t>Спортивная подготовка по олимпийским видам спорта. Горнолыжный спорт. Этап начальной подготовки</t>
  </si>
  <si>
    <t>Организация и проведение спортивно-оздоровительной работы по развитию физической культуры и спорта среди различных групп населения</t>
  </si>
  <si>
    <t>Обеспечение участия спортивных сборных команд в официальных спортивных мероприятиях. Международные</t>
  </si>
  <si>
    <t>Организация и проведение официальных спортивных мероприятий. Международные</t>
  </si>
  <si>
    <t>Организация и проведение официальных спортивных мероприятий. Межмуниципальные</t>
  </si>
  <si>
    <t>Организация и проведение официальных физкультурных (физкультурно-оздоровительных) мероприятий. Всероссийские</t>
  </si>
  <si>
    <t>Организация мероприятий по научно-методическому обеспечению спортивных сборных команд</t>
  </si>
  <si>
    <t>Организация и обеспечение координации деятельности физкультурно-спортивных организаций по подготовке спортивного резерва</t>
  </si>
  <si>
    <t>Обеспечение участия сборных команд Ленинградской области в официальных физкультурных (физкультурно-оздоровительных) мероприятиях. Всероссийские</t>
  </si>
  <si>
    <t>Пропаганда физической культуры, спорта и здорового образа жизни</t>
  </si>
  <si>
    <t>Обеспечение подготовки команд Ленинградской области к участию в межрегиональных, всероссийских и международных физкультурных мероприятиях</t>
  </si>
  <si>
    <t>Спортивная подготовка по олимпийским видам спорта. Фристайл. Этап совершенствования спортивного мастерства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</si>
  <si>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ГТО). Региональные</t>
  </si>
  <si>
    <t>Обеспечение участия сборных команд Ленинградской области в официальных физкультурных (физкультурно-оздоровительных) мероприятиях. Международные</t>
  </si>
  <si>
    <t>Спортивная подготовка по олимпийским видам спорта. Футбол. Тренировочный этап (этап спортивной специализации)</t>
  </si>
  <si>
    <t>Спортивная подготовка по олимпийским видам спорта. Футбол. Этап начальной подготовки</t>
  </si>
  <si>
    <t>час./год</t>
  </si>
  <si>
    <t>ед.</t>
  </si>
  <si>
    <t>-</t>
  </si>
  <si>
    <t>Норматив затрат на выполнение государственной услуги (работы)*, рублей</t>
  </si>
  <si>
    <t>Комитет по молодежной политике Ленинградской области</t>
  </si>
  <si>
    <t>мероприятия, единиц</t>
  </si>
  <si>
    <t>Комитет общего и профессионального образования Ленинградской области</t>
  </si>
  <si>
    <t>Реализация образовательных программ среднего профессионального образования- программ подготовки квалифицированных рабочих, служащих</t>
  </si>
  <si>
    <t>Реализация образовательных программ среднего профессионального образования- программ подготовки специалистов среднего звена (очное обучение)</t>
  </si>
  <si>
    <t>Реализация образовательных программ среднего профессионального образования- программ подготовки специалистов среднего звена (заочное обучение)</t>
  </si>
  <si>
    <t>Реализация основных профессиональных образовательных программ профессионального обучения - программ профессиональной подготовки по профессиям рабочих, должностям служащих</t>
  </si>
  <si>
    <t>чел/час</t>
  </si>
  <si>
    <t>Реализация  образовательных программ высшего образования – программ бакалавриата (очное обучение)</t>
  </si>
  <si>
    <t>Реализация  образовательных программ высшего образования – программ бакалавриата (очно-заочное обучение)</t>
  </si>
  <si>
    <t>Реализация  образовательных программ высшего образования – программ бакалавриата (заочное обучение)</t>
  </si>
  <si>
    <t>Реализация  образовательных программ высшего образования – программ магистратура (очное обучение)</t>
  </si>
  <si>
    <t xml:space="preserve"> Реализация  образовательных программ высшего образования – программ магистратуры (заочное)</t>
  </si>
  <si>
    <t>Реализация образовательных программ высшего образования – программ подготовки научно-педагогических кадров в аспирантуре (очное обучение)</t>
  </si>
  <si>
    <t xml:space="preserve"> Реализация образовательных программ высшего образования – программ подготовки научно-педагогических кадров в аспирантуре (заочное)</t>
  </si>
  <si>
    <t xml:space="preserve">Реализация дополнительных профессиональных программ профессиональной переподготовки </t>
  </si>
  <si>
    <t xml:space="preserve">Реализация дополнительных профессиональных образовательных программ повышения квалификации  </t>
  </si>
  <si>
    <t xml:space="preserve"> Предоставление социального обслуживания в полустационарной форме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</si>
  <si>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чел/дни</t>
  </si>
  <si>
    <t>Содержание и воспитание детей-сирот и детей, оставшихся без попечения родителей, детей, находящихся в трудной жизненной ситуации</t>
  </si>
  <si>
    <t>Содержание лиц из числа детей-сирот и детей, оставшихся без попечения родителей, завершивших пребывание в организации для детей-сирот, но не старше 23 лет</t>
  </si>
  <si>
    <t>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t>
  </si>
  <si>
    <t>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t>
  </si>
  <si>
    <t xml:space="preserve">Психолого-педагогическое консультирование обучающихся, их родителей (законных представителей) и педагогических работников        </t>
  </si>
  <si>
    <t xml:space="preserve">Психолого-медико-педагогическое обследование детей                                       </t>
  </si>
  <si>
    <t xml:space="preserve">Коррекционно-развивающая, компенсирующая и логопедическая помощь обучающимся  </t>
  </si>
  <si>
    <t>Реализация дополнительных общеразвивающих программ                                                       (очная)</t>
  </si>
  <si>
    <t>Организация проведения общественно-значимых мероприятий в сфере образования, науки и молодежной политики (работа)</t>
  </si>
  <si>
    <t>кол-во мероприятий</t>
  </si>
  <si>
    <t>Методическое обеспечение образовательной деятельности (работа) (постоянно)</t>
  </si>
  <si>
    <t>Методическое обеспечение образовательной деятельности (работа) (в плановой форме)</t>
  </si>
  <si>
    <t xml:space="preserve">Организация отдыха детей и молодежи </t>
  </si>
  <si>
    <t>чел.-дн.</t>
  </si>
  <si>
    <t>Реализация основных общеобразовательных программ начального общего образования</t>
  </si>
  <si>
    <t>Ведение региональной информационной системы обеспечения проведения ГИА обучающихся, освоивших основные образовательные программы основного общего и среднего общего образования, организационно-технологическое сопровождение проведения ГИА (Оценка качества образования) работа (работа)</t>
  </si>
  <si>
    <t>Информационно-технологическое обеспечение управления системой образования (работа)</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</si>
  <si>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 (работа)</t>
  </si>
  <si>
    <t>Комитет по культуре Ленинградской облсти</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</si>
  <si>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(Народное художественное творчество (по видам) - очная)</t>
  </si>
  <si>
    <t>человек</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</si>
  <si>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(Социально-культурная деятельность ( по видам) - очная)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</si>
  <si>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(Социально-культурная деятельность ( по видам) - заочная)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</si>
  <si>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(Музыкальное искусство эстрады (по видам) - очная)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</si>
  <si>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(Инструментальное исполнительство (по видам инструментов) - очная)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</si>
  <si>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(Декоративно-прикладное искусство и народные промыслы (по видам) - очная)</t>
  </si>
  <si>
    <t>Реализация дополнительных профессиональных образовательных программ повышения квалификации (очная)</t>
  </si>
  <si>
    <t>Показ спектаклей (театральных постановок) (драма:стационар, большая форма)</t>
  </si>
  <si>
    <t>Показ спектаклей (театральных постановок)                                                               (драма: на выезде, большая форма)</t>
  </si>
  <si>
    <t>Показ спектаклей (театральных постановок)                                                                  (драма: на гастролях, большая форма)</t>
  </si>
  <si>
    <t>Показ спектаклей (театральных постановок) (драма:стационар, малая форма)</t>
  </si>
  <si>
    <t>Показ спектаклей (театральных постановок)                                                                  (драма: на выезде, малая форма)</t>
  </si>
  <si>
    <t>Показ спектаклей (театральных постановок)                                                                  (драма: на гастролях, малая форма)</t>
  </si>
  <si>
    <t>Показ концертов и концертных программ (на выезде)</t>
  </si>
  <si>
    <t>Показ концертов и концертных программ (на гастролях)</t>
  </si>
  <si>
    <t>Оказание туристско-информационных услуг (в стационарных условиях)</t>
  </si>
  <si>
    <t>Количество посещений, ед.</t>
  </si>
  <si>
    <t>Количество туров, ед.</t>
  </si>
  <si>
    <t>Оказание туристско-информационных услуг (вне стационара)</t>
  </si>
  <si>
    <t>Формирование, ведение баз данных, в том числе интернет-ресурсов в сфере туризма</t>
  </si>
  <si>
    <t>Количество работ, ед.</t>
  </si>
  <si>
    <t>Количество посетителей интернет-сайта, ед.</t>
  </si>
  <si>
    <t>Работы по продвижению туристских возможностей Ленинградской области на внутреннем и международном рынках (Проведение событийных и специализированных мероприятий по продвижению туристского потенциала Ленинградской области, направленных на привлечение туристов в Ленинградскую область)</t>
  </si>
  <si>
    <t>Количество мероприятий, ед.</t>
  </si>
  <si>
    <t>Работы по продвижению туристских возможностей Ленинградской области на внутреннем и международном рынках (Проведение конгрессно-выставочных мероприятий, организация участия представителей сферы туризма Ленинградской области в конгрессно-выставочных мероприятиях, проводимых за пределами области)</t>
  </si>
  <si>
    <t>Работы по продвижению туристских возможностей Ленинградской области на внутреннем и международном рынках (Разработка и изготовление информационных материалов о туристском потенциале Ленинградской области с использованием туристского бренда Ленинградской области (изготовление печатных материалов: карт, буклетов, справочников, путеводителей и т.п.), в том числе на иностранных языках)</t>
  </si>
  <si>
    <t>Количество информационных материалов, ед.</t>
  </si>
  <si>
    <t>Работы по продвижению туристских возможностей Ленинградской области на внутреннем и международном рынках (Разработка и изготовление презентационных материалов и сувенирной продукции с использованием туристского бренда Ленинградской области для вручения участникам и гостям мероприятий, проводимых на территории Ленинградской области, субъектов Российской Федерации и за рубежом, в том числе на иностранных языках)</t>
  </si>
  <si>
    <t>Количество наименований, ед.</t>
  </si>
  <si>
    <t>чел.×час</t>
  </si>
  <si>
    <t>15427.50</t>
  </si>
  <si>
    <t>Подготовка руководителей и специалистов спасательной службы (пункт 1.11.5 регионального перечня)</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</si>
  <si>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</si>
  <si>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услуга</t>
  </si>
  <si>
    <t>Скорая, в том числе специализированная, медицинская помощь (за исключением санитарно-авиационной эвакуации)</t>
  </si>
  <si>
    <t>вызов</t>
  </si>
  <si>
    <t>Скорая, в том числе специализированная медицинская помощь (включая медицинскую эвакуацию) включенная в базовую программу обязательного медицинского страхования</t>
  </si>
  <si>
    <t>Первичная специализированная медицинская помощь, по профилю дерматовенерология (в части венерологии), не включенная в базовую программу обязательного медицинского страхования, амбулаторная помощь</t>
  </si>
  <si>
    <t>посещение</t>
  </si>
  <si>
    <t>Первичная медико-санитарная помощь, включенная в базовую программу ОМС, оказываемая в экстренной форме при внезапных острых заболеваниях, состояниях, обострении хронических заболеваний, представляющих угрозу жизни пациента, граждан, не застрахованных по ОМС</t>
  </si>
  <si>
    <t>Первичная специализированная медицинская помощь, по профилю  психиатрия- наркология, в части наркологии, амбулаторная помощь</t>
  </si>
  <si>
    <t>Первичная специализированная медицинская помощь, по профилю  фтизиатрия, амбулаторная помощь</t>
  </si>
  <si>
    <t>Первичная специализированная медицинская помощь, по профилю инфекционные болезни (в части синдрома приобретенного иммунодефицита (ВИЧ-инфекции), амбулаторная помощь</t>
  </si>
  <si>
    <t>Первичная медико-санитарная помощь, в части профилактики (лечебная физкультура и спортивная медицина)</t>
  </si>
  <si>
    <t>Первичная медико-санитарная помощь, в части профилактики (лечебная физкультура и спортивная медицина с УМО)</t>
  </si>
  <si>
    <t>Первичная медико-санитарная помощь, в части диагностики и лечения по профилю психотерапия</t>
  </si>
  <si>
    <t>Первичная медико-санитарная помощь, (Прием (осмотр, консультация) врача-генетика )</t>
  </si>
  <si>
    <t xml:space="preserve">Первичная специализированная медико-санитарная помощь в амбулаторных условиях - посещения выездной патронажной службы паллиативной медицинской помощи детям  </t>
  </si>
  <si>
    <t>Первичная специализированная медико-санитарная помощь в амбулаторных условиях - посещения выездной патронажной службы паллиативной медицинской помощи</t>
  </si>
  <si>
    <t>Паллиативная медицинская помощь в амбулаторных условиях</t>
  </si>
  <si>
    <t>Первичная специализированная медицинская помощь, по профилю дерматовенерология (в части венерологии) в условиях дневного стационара.</t>
  </si>
  <si>
    <t>случай лечения</t>
  </si>
  <si>
    <t>Первичная специализированная помощь в условиях дневного стационара по профилю: фтизиатрия</t>
  </si>
  <si>
    <t>Первичная специализированная помощь в условиях дневного стационара по профилю: психотерапия</t>
  </si>
  <si>
    <t xml:space="preserve">Высокотехнологичная медицинская помощь, не включенная в базовую программу обязательного медицинского страхования, по профилю онкология, в условиях стационара </t>
  </si>
  <si>
    <t>случай госпитализации</t>
  </si>
  <si>
    <t xml:space="preserve">Высокотехнологичная медицинская помощь, не включенная в базовую программу обязательного медицинского страхования, по профилю акушерство и гинекология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</si>
  <si>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комбустиология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</si>
  <si>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абдоминальная хирургия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</si>
  <si>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нейрохирургия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</si>
  <si>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офтальмология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</si>
  <si>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сердечно-сосудистая хирургия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</si>
  <si>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травматология и ортопедия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</si>
  <si>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трансплантация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</si>
  <si>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эндокринология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</si>
  <si>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челюстно-лицевая хирургия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</si>
  <si>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педиатрия в условиях стационара </t>
  </si>
  <si>
    <t xml:space="preserve">Высокотехнологичная медицинская помощь, не включенная в базовую программу обязательного медицинского страхования, по профилю урология в условиях стационара </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</si>
  <si>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профилю дерматовенерология (в части венерологии) в условиях  стационара.</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</si>
  <si>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профилю психиатрия, в условиях стационара</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</si>
  <si>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профилю наркология, в условиях стационара</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</si>
  <si>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Психотерапия в условиях стационара</t>
  </si>
  <si>
    <t>Специализированная медицинская помощь (за исключением высокотехнологичной медицинской помощи), включенная в базовую программу обязательного медицинского страхования</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</si>
  <si>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профилю инфекционные болезни (в части синдрома приобретенного иммунодефицита (ВИЧ-инфекции), в условиях стационара</t>
  </si>
  <si>
    <t xml:space="preserve">Санаторно-курортное лечение в условиях стационара: Туберкулез </t>
  </si>
  <si>
    <t>койко-день</t>
  </si>
  <si>
    <t>Паллиативная медицинская помощь в условиях стационара</t>
  </si>
  <si>
    <t>Экспертиза профессиональной пригодности и экспертиза связи заболевания с профессией</t>
  </si>
  <si>
    <t>экспертиза</t>
  </si>
  <si>
    <t>Изъятие, хранение и транспортировка органов и (или) тканей человека для трансплантации (работа)</t>
  </si>
  <si>
    <t>изъятие</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</si>
  <si>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t>
  </si>
  <si>
    <t>число обучающихся</t>
  </si>
  <si>
    <t>Реализация дополнительных профессиональных образовательных программ- программ повышения квалификации</t>
  </si>
  <si>
    <t>Медико-генетические консультации</t>
  </si>
  <si>
    <t>Медико-генетические лаборатории</t>
  </si>
  <si>
    <t>Профессиональное обучение и 
дополнительное профессиональное образование отдельных категорий граждан</t>
  </si>
  <si>
    <t>Профессиональное обучение и 
дополнительное профессиональное образование отдельных категорий граждан (охрана труда)</t>
  </si>
  <si>
    <t>Профессиональное обучение и 
дополнительное профессиональное образование отдельных категорий граждан (обучение граждан предпенсионного возраста)</t>
  </si>
  <si>
    <t xml:space="preserve">Реализация дополнительных профессиональных программ повышения квалификации </t>
  </si>
  <si>
    <t>чел./час</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</si>
  <si>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</si>
  <si>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Организация опережающего
 профессионального обучения
 или стажировки в целях приобретения
 новых профессиональных навыков
 работников, находящихся под угрозой 
увольнения, работников предприятий, 
реализующих инвестиционные проекты</t>
  </si>
  <si>
    <t>Психологическая поддержка безработных граждан</t>
  </si>
  <si>
    <t>Организация и проведение мероприятий по профилактике производственного травматизма с использованием мобильного комплекса по охране труда</t>
  </si>
  <si>
    <t>Организация и проведение конгресса по охране труда</t>
  </si>
  <si>
    <t>Организация и проведение мероприятий по вопросам условий и охраны труда, профилактики производственного травматизма и профессиональной заболеваемости, направленных на сохранение и укрепление здоровья работающих граждан;</t>
  </si>
  <si>
    <t>Организация мероприятия по проведению областного конкурса профессионального мастерства «Лучший работник центра занятости населения Ленинградской области»</t>
  </si>
  <si>
    <t>Организация и проведение ежегодного смотра-конкурса "Лучшая организация работы в области охраны труда»</t>
  </si>
  <si>
    <t>Организация и проведение ежегодного смотра-конкурса "Лучший специалист по охране труда"</t>
  </si>
  <si>
    <t>Организация проживания граждан в период обучения в другой местности по направлению органов службы занятости населения</t>
  </si>
  <si>
    <t>число чел.-суток, ед</t>
  </si>
  <si>
    <t>Организация медицинского освидетельствования граждан, направленных на профессиональное обучение органами службы занятости населения.</t>
  </si>
  <si>
    <t>число осмотров, ед.</t>
  </si>
  <si>
    <t>Комитет по охране, контролю и регулированию использования объектов животного мира Ленинградской области</t>
  </si>
  <si>
    <t>Обеспечение проведения мероприятий по сохранению объектов животного мира, включая редких и находящихся под угрозой исчезновения, и среды их обитания (Проведение подкормочных мероприятий)</t>
  </si>
  <si>
    <t>работа</t>
  </si>
  <si>
    <t>Обеспечение проведения мероприятий по сохранению объектов животного мира, включая редких и находящихся под угрозой исчезновения, и среды их обитания (Заготовка и хранение кормов)</t>
  </si>
  <si>
    <t>Обеспечение проведения мероприятий по сохранению объектов животного мира, включая редких и находящихся под угрозой исчезновения, и среды их обитания (Сохранение и поддержание видового разнообразия объектов животного мира, включая охотничьи ресурсы, на территории общедоступных охотничьих угодий, ООПТ и иных природных территориях)</t>
  </si>
  <si>
    <t>Проведение ветеринарно-санитарных мероприятий</t>
  </si>
  <si>
    <t>кв.м</t>
  </si>
  <si>
    <t>Оформление и выдача ветеринарных сопроводительных документов</t>
  </si>
  <si>
    <t>Проведение учёта и контроля за состоянием скотомогильников, включая сибиреязвенные</t>
  </si>
  <si>
    <t xml:space="preserve">Государственная работа
«Осуществление осмотра подконтрольных грузов и проведение дезинфекции транспортных средств»
</t>
  </si>
  <si>
    <t>Объем средств без норматива (постоянные затраты на содержание недвижимого имущества и на уплату налогов):</t>
  </si>
  <si>
    <t>Ленинградский областной комитет по управления государственным имуществом</t>
  </si>
  <si>
    <t>Представление в федеральный орган исполнительной власти, осуществляющий государственный кадастровый учет и государственную регистрацию прав, информации, необходимой для ведения Единого государственного реестра недвижимости (в электронном виде)</t>
  </si>
  <si>
    <t>Гб
(с 2019 - Единица)</t>
  </si>
  <si>
    <t>Представление в федеральный орган исполнительной власти, осуществляющий государственный кадастровый учет и государственную регистрацию прав, информации о данных рынка недвижимости (в электронном виде)</t>
  </si>
  <si>
    <t>Единица</t>
  </si>
  <si>
    <t>Представление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уполномоченным государственным органам по их требованию (в бумажном виде)</t>
  </si>
  <si>
    <t>Представление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уполномоченным государственным органам по их требованию (в электронном виде)</t>
  </si>
  <si>
    <t>Предоставление разъяснений, связанных с определением кадастровой стоимости (в электронном виде)</t>
  </si>
  <si>
    <t>Предоставление разъяснений, связанных с определением кадастровой стоимости (в бумажном виде)</t>
  </si>
  <si>
    <t>Рассмотрение обращений, связанных с наличием ошибок, допущенных при определении кадастровой стоимости (в электронном виде)</t>
  </si>
  <si>
    <t>Рассмотрение обращений, связанных с наличием ошибок, допущенных при определении кадастровой стоимости (в бумажном виде)</t>
  </si>
  <si>
    <t>Хранение копий отчетов и документов, формируемых в ходе определения кадастровой стоимости (в бумажном виде)</t>
  </si>
  <si>
    <t>Хранение копий отчетов и документов, формируемых в ходе определения кадастровой стоимости  (в электронном виде)</t>
  </si>
  <si>
    <t>Гб</t>
  </si>
  <si>
    <t>Хранение копий документов и материалов, использованных при определении кадастровой стоимости (в электронном виде)</t>
  </si>
  <si>
    <t>Хранение копий документов и материалов, использованных при определении кадастровой стоимости (на бумажном носителе)</t>
  </si>
  <si>
    <t>штука</t>
  </si>
  <si>
    <t>Определение кадастровой стоимости объектов недвижимости в соответствии со статьей 14 Федерального закона от 03.07.2016 № 237-ФЗ «О государственной кадастровой оценке» (в бумажном виде)</t>
  </si>
  <si>
    <t>Определение кадастровой стоимости объектов недвижимости в соответствии со статьей 14 Федерального закона от 03.07.2016 № 237-ФЗ «О государственной кадастровой оценке» (в электронном виде)</t>
  </si>
  <si>
    <t>Сбор, обработка, систематизация и накопление информации при определении кадастровой стоимости (в бумажном виде)</t>
  </si>
  <si>
    <t>Сбор, обработка, систематизация и накопление информации при определении кадастровой стоимости (в электронном виде)</t>
  </si>
  <si>
    <t>Определение кадастровой стоимости объектов недвижимости в соответствии со статьей 16 Федерального закона от 03.07.2016 № 237-ФЗ «О государственной кадастровой оценке» (в бумажном виде)</t>
  </si>
  <si>
    <t>Определение кадастровой стоимости объектов недвижимости в соответствии со статьей 16 Федерального закона от 03.07.2016 № 237-ФЗ «О государственной кадастровой оценке» (в электронном виде)</t>
  </si>
  <si>
    <t>Расходы на уплату налогов, в качестве объекта налогообложения по которым признается имущество государственного учреждения</t>
  </si>
  <si>
    <t>Комитет государственного заказа Ленинградской области</t>
  </si>
  <si>
    <t>Методическое и организационное обеспечение поддержки пользователей АИСГЗ ЛО по вопросам обеспечения, эксплуатации, сопровождения и развития региональной информационной системы "Государственный заказ Ленинградской области"</t>
  </si>
  <si>
    <t>- проведение консультаций</t>
  </si>
  <si>
    <t>- проведение семинаров</t>
  </si>
  <si>
    <t>- проведение рекомендаций</t>
  </si>
  <si>
    <t>8.1</t>
  </si>
  <si>
    <t>8.2</t>
  </si>
  <si>
    <t>8.3</t>
  </si>
  <si>
    <t>8.4</t>
  </si>
  <si>
    <t>8.5</t>
  </si>
  <si>
    <t>8.6</t>
  </si>
  <si>
    <t xml:space="preserve">Организация и проведение мероприятий </t>
  </si>
  <si>
    <t>Комитет по социальной защите населения Ленинградской области</t>
  </si>
  <si>
    <t>Государственные учреждения, предоставляющие социальные услуги получателям, в стационарной форме социального обслуживания с постоянным проживанием</t>
  </si>
  <si>
    <t>Государственные учреждения, предоставляющие социальные услуги получателям
в стационарной форме социального обслуживания с временным проживанием, в полустационарной форме социального обслуживания и на дому</t>
  </si>
  <si>
    <t>Комитет экономического развития и инвестиционной деятельности Ленинградской области</t>
  </si>
  <si>
    <r>
      <t xml:space="preserve">Проведение плановых диагностических мероприятий на особо опасные болезни животных (птиц) и болезни общие для человека и животных (птиц) - </t>
    </r>
    <r>
      <rPr>
        <sz val="11"/>
        <color indexed="8"/>
        <rFont val="Times New Roman"/>
        <family val="1"/>
        <charset val="204"/>
      </rPr>
      <t>туберкулинизация</t>
    </r>
  </si>
  <si>
    <r>
      <t xml:space="preserve">Проведение плановых диагностических мероприятий на особо опасные болезни животных (птиц) и болезни общие для человека и животных (птиц) - </t>
    </r>
    <r>
      <rPr>
        <sz val="11"/>
        <color indexed="8"/>
        <rFont val="Times New Roman"/>
        <family val="1"/>
        <charset val="204"/>
      </rPr>
      <t>отбор проб</t>
    </r>
  </si>
  <si>
    <r>
      <t xml:space="preserve">Проведение </t>
    </r>
    <r>
      <rPr>
        <sz val="11"/>
        <color indexed="8"/>
        <rFont val="Times New Roman"/>
        <family val="1"/>
        <charset val="204"/>
      </rPr>
      <t>плановых лабораторных исследований на особо опасные болезни животных (птиц), болезни общие для человека и животных (птиц), включая отбор проб и их транспортировку</t>
    </r>
  </si>
  <si>
    <r>
      <t xml:space="preserve">Проведение </t>
    </r>
    <r>
      <rPr>
        <sz val="11"/>
        <color indexed="8"/>
        <rFont val="Times New Roman"/>
        <family val="1"/>
        <charset val="204"/>
      </rPr>
      <t xml:space="preserve">плановых профилактических вакцинаций животных (птиц) против особо опасных болезней животных и болезней, общих для человека и животных (птиц)
</t>
    </r>
  </si>
  <si>
    <r>
      <t xml:space="preserve">Проведение </t>
    </r>
    <r>
      <rPr>
        <sz val="11"/>
        <color indexed="8"/>
        <rFont val="Times New Roman"/>
        <family val="1"/>
        <charset val="204"/>
      </rPr>
      <t>ветеринарных организационных работ, включая учет и ответственное хранение лекарственных средств и препаратов для ветеринарного применения</t>
    </r>
  </si>
  <si>
    <r>
      <t xml:space="preserve">Проведение </t>
    </r>
    <r>
      <rPr>
        <sz val="11"/>
        <color indexed="8"/>
        <rFont val="Times New Roman"/>
        <family val="1"/>
        <charset val="204"/>
      </rPr>
      <t>ветеринарных обследований объектов, связанных с содержанием животных, переработкой, хранением и реализацией продукции и сырья животного происхождения</t>
    </r>
  </si>
  <si>
    <r>
      <t xml:space="preserve">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 включая отбор проб и их транспортировку - </t>
    </r>
    <r>
      <rPr>
        <sz val="11"/>
        <color indexed="8"/>
        <rFont val="Times New Roman"/>
        <family val="1"/>
        <charset val="204"/>
      </rPr>
      <t>проведение исследований</t>
    </r>
  </si>
  <si>
    <r>
      <t>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 включая отбор проб и их транспортировку -</t>
    </r>
    <r>
      <rPr>
        <sz val="11"/>
        <color indexed="8"/>
        <rFont val="Times New Roman"/>
        <family val="1"/>
        <charset val="204"/>
      </rPr>
      <t xml:space="preserve"> отбор проб</t>
    </r>
  </si>
  <si>
    <t>Подготовка руководителей и специалистов противопожарной службы (пункт 1.11.3 регионального перечня)</t>
  </si>
  <si>
    <t>Подготовка должностных лиц и специалистов гражданской обороны и  РСЧС органов исполнительной власти Ленинградской области, органов местного самоуправления и организаций (пункт 1.11.1 регионального перечня)</t>
  </si>
  <si>
    <t>Комитет Ленинградской области по туризму</t>
  </si>
  <si>
    <t>Комитет правопорядка и безопасности Ленинградской области</t>
  </si>
  <si>
    <t>Комитет по здравоохранению Ленинградской области</t>
  </si>
  <si>
    <t>Управление ветеринарии Ленинградской области</t>
  </si>
  <si>
    <t>Комитет по труду и занятости населения Ленинградской области</t>
  </si>
  <si>
    <r>
      <t>2019 год</t>
    </r>
    <r>
      <rPr>
        <sz val="11"/>
        <color indexed="8"/>
        <rFont val="Times New Roman"/>
        <family val="1"/>
        <charset val="204"/>
      </rPr>
      <t xml:space="preserve"> (ожидаемое исполнение)</t>
    </r>
  </si>
  <si>
    <t>Экологическое просвещение населения</t>
  </si>
  <si>
    <t>Организация и проведение работ по учету, анализу численности объектов животного мира, отнесенных к объектам охоты, а также редких и находящихся под угрозой исчезновения объектов животного мира (Учет объектов животного мира, отнесенных к объектам охоты и среды их обитания)</t>
  </si>
  <si>
    <t>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 опасном положении</t>
  </si>
  <si>
    <t>Организация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</si>
  <si>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</si>
  <si>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t>
  </si>
  <si>
    <t xml:space="preserve">   Сведения о планируемых на очередной финансовый год и плановый период объемах оказания государственных услуг (работ) государственными бюджетными и государственными автономными учреждениями Ленинградской области, а также о планируемых объемах субсидий на их финансовое обеспечение в сравнении с ожидаемым исполнением за текущий 2019 финансовый год и исполнением за отчетный 2018 финансовый год</t>
  </si>
  <si>
    <t>1.1.</t>
  </si>
  <si>
    <t>1.2.</t>
  </si>
  <si>
    <t>1.3.</t>
  </si>
  <si>
    <t>Профессиональное обучение и 
дополнительное профессиональное образование отдельных категорий граждан (сотрудники службы занятости)</t>
  </si>
  <si>
    <t>*на работы не утверждаются нормативы затрат</t>
  </si>
  <si>
    <t>Реализация основных общеобразовательных программ дошкольного образования</t>
  </si>
  <si>
    <t>Методическое и организационное обеспечение поддержки пользователей АИСГЗ ЛО по вопросам обеспечения, эксплуатации, сопровождения и развития информационных систем</t>
  </si>
  <si>
    <t>- количество проведенных консультаций</t>
  </si>
  <si>
    <t>- количество проведеных семинаров</t>
  </si>
  <si>
    <t>- количество методических рекомендаций</t>
  </si>
  <si>
    <t xml:space="preserve">-количество пользователей, обеспеченных возможностью осуществления ЮЗЭД </t>
  </si>
  <si>
    <t>Отбор проб воды и их транспортировка для гидрохимических исследований</t>
  </si>
  <si>
    <t>Лабораторные исследования воды на гидрохимические показатели</t>
  </si>
  <si>
    <t>Предоставление разъяснений, связанных с определением кадастровой стоимости объектов недвижимости (в электронном виде)</t>
  </si>
  <si>
    <t>Предоставление разъяснений, связанных с определением кадастровой стоимости объектов недвижимости (в бумажном виде)</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</si>
  <si>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Организация предоставления государственных, муниципальных и иных услуг в многофункциональных центрах предоставления государственных и муниципальных услуг</t>
  </si>
  <si>
    <t>количество обращений, ед.</t>
  </si>
  <si>
    <t>Предоставление государственной услуги по государственной регистрации отдельных актов гражданского состояния</t>
  </si>
  <si>
    <t>единица</t>
  </si>
  <si>
    <t>гб</t>
  </si>
  <si>
    <t>гб
(с 2019 - единица)</t>
  </si>
  <si>
    <t>количество наименований, ед.</t>
  </si>
  <si>
    <t>количество информационных материалов, ед.</t>
  </si>
  <si>
    <t>количество туров, ед.</t>
  </si>
  <si>
    <t>количество посетителей интернет-сайта, ед.</t>
  </si>
  <si>
    <t>количество мероприятий, ед.</t>
  </si>
  <si>
    <t>Спортивная подготовка по олимпийским видам спорта. Волейбол. Этап высшего спортивного мастерства</t>
  </si>
  <si>
    <t>Спортивная подготовка по олимпийским видам спорта;Футбол;Этап высшего спортивного мастерства</t>
  </si>
  <si>
    <t>Организация и проведение официальных физкультурных (физкультурно-оздоровительных) мероприятий. Межмуниципальные</t>
  </si>
  <si>
    <r>
      <t xml:space="preserve">Проведение </t>
    </r>
    <r>
      <rPr>
        <sz val="11"/>
        <color indexed="8"/>
        <rFont val="Times New Roman"/>
        <family val="1"/>
        <charset val="204"/>
      </rPr>
      <t>плановых профилактических вакцинаций животных (птиц) против особо опасных болезней животных и болезней, общих для человека и животных (птиц)</t>
    </r>
  </si>
  <si>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(Народное художественное творчество (по видам) - очная) (услуга)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</si>
  <si>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(Социально-культурная деятельность ( по видам) - очная)(услуга)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</si>
  <si>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(Социально-культурная деятельность ( по видам) - заочная)(услуга)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</si>
  <si>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(Музыкальное искусство эстрады (по видам) - очная)(услуга)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</si>
  <si>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(Декоративно-прикладное искусство и народные промыслы (по видам) - очная)(услуга)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</si>
  <si>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(Хоровое дирижирование (по видам) - очная)(услуга)</t>
  </si>
  <si>
    <t>Реализация дополнительных профессиональных образовательных программ повышения квалификации (очная)(услуга)</t>
  </si>
  <si>
    <t>Создание спектаклей</t>
  </si>
  <si>
    <t>Создание концертов и концертных программ</t>
  </si>
  <si>
    <t xml:space="preserve">Обеспечение сохранности и целостности историко-архитектурного комплекса, исторической среды и ландшафтов                                                                                                                                 </t>
  </si>
  <si>
    <t>спектаклей</t>
  </si>
  <si>
    <t>концертов (программ)</t>
  </si>
  <si>
    <t>м2</t>
  </si>
  <si>
    <t>2.</t>
  </si>
  <si>
    <t>3.</t>
  </si>
  <si>
    <t>4.</t>
  </si>
  <si>
    <t>5.</t>
  </si>
  <si>
    <t>Скорая, в том числе специализированная медицинская помощь (включая медицинскую эвакуацию), включенная в базовую программу обязательного медицинского страхования</t>
  </si>
  <si>
    <t>Первичная специализированная медицинская помощь, по профилю психиатрия- наркология, в части наркологии, амбулаторная помощь</t>
  </si>
  <si>
    <t>Первичная специализированная медицинская помощь, по профилю фтизиатрия, амбулаторная помощь</t>
  </si>
  <si>
    <t>Первичная специализированная медицинская помощь, по профилю дерматовенерология (в части венерологии) в условиях дневного стационара</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</si>
  <si>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профилю дерматовенерология (в части венерологии) в условиях  стационара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</si>
  <si>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среднего образования</t>
  </si>
  <si>
    <t>Медико-генетические лаборатории (пренатальный скрининг, неонатальный скрининг, химико-токсикологические исследования, серологические исследования)</t>
  </si>
  <si>
    <t>Координация деятельности службы медицины катастроф Ленинградской области и обеспечение готовности ее сил и средств к ликвидации медико-санитарных последствий чрезвычайных ситуаций на территории Ленинградской области</t>
  </si>
  <si>
    <t>Высокотехнологичная медицинская помощь, не включенная в базовую программу обязательного медицинского страхования, по профилю акушерство и гинекология в условиях стационара</t>
  </si>
  <si>
    <t>Высокотехнологичная медицинская помощь, не включенная в базовую программу обязательного медицинского страхования, по профилю комбустиология в условиях стационара</t>
  </si>
  <si>
    <t>Высокотехнологичная медицинская помощь, не включенная в базовую программу обязательного медицинского страхования, по профилю нейрохирургия в условиях стационара</t>
  </si>
  <si>
    <t>Высокотехнологичная медицинская помощь, не включенная в базовую программу обязательного медицинского страхования, по профилю офтальмология в условиях стационара</t>
  </si>
  <si>
    <t>Высокотехнологичная медицинская помощь, не включенная в базовую программу обязательного медицинского страхования, по профилю сердечно-сосудистая хирургия в условиях стационара</t>
  </si>
  <si>
    <t>Высокотехнологичная медицинская помощь, не включенная в базовую программу обязательного медицинского страхования, по профилю травматология и ортопедия в условиях стационара</t>
  </si>
  <si>
    <t>Высокотехнологичная медицинская помощь, не включенная в базовую программу обязательного медицинского страхования, трансплантация в условиях стационара</t>
  </si>
  <si>
    <t>Высокотехнологичная медицинская помощь, не включенная в базовую программу обязательного медицинского страхования, по профилю педиатрия в условиях стационара</t>
  </si>
  <si>
    <t xml:space="preserve">ИТОГО </t>
  </si>
  <si>
    <t>2019 год (отчет, справочно)</t>
  </si>
  <si>
    <t>Государственная работа «Осуществление осмотра подконтрольных грузов и проведение дезинфекции транспортных средств»</t>
  </si>
  <si>
    <t>2021 год (первоначально утв.значения)</t>
  </si>
  <si>
    <t>2021 год (уточненные плановые значения)</t>
  </si>
  <si>
    <r>
      <t>2021 год</t>
    </r>
    <r>
      <rPr>
        <b/>
        <sz val="11"/>
        <color indexed="8"/>
        <rFont val="Times New Roman"/>
        <family val="1"/>
        <charset val="204"/>
      </rPr>
      <t xml:space="preserve"> (фактические значения)</t>
    </r>
  </si>
  <si>
    <t>2021 год (фактические значения)</t>
  </si>
  <si>
    <t>челоеко--часов</t>
  </si>
  <si>
    <t xml:space="preserve">Показ (организация показа) спектаклей (театральных постановок)  (стационар, во всех формах)(услуга) </t>
  </si>
  <si>
    <t xml:space="preserve">Показ (организация показа) спектаклей (театральных постановок)  (на выезде, во всех формах)(услуга) </t>
  </si>
  <si>
    <t xml:space="preserve">Показ (организация показа) спектаклей (театральных постановок) (на гастролях, во всех формах)(услуга) </t>
  </si>
  <si>
    <t>Показ (организация показа) концертных программ (на выезде)(услуга)</t>
  </si>
  <si>
    <t>Показ (организация показа) концертных программ (на гастролях)(услуга)</t>
  </si>
  <si>
    <t xml:space="preserve">Организация работы клубных формирований и формирований самодеятельного народного творчества на базе учреждений культуры               </t>
  </si>
  <si>
    <t>Организация и проведение культурно-массовых мероприятий</t>
  </si>
  <si>
    <t>количество проведенных мероприятий</t>
  </si>
  <si>
    <t>Постоянные затраты на содержание имущества</t>
  </si>
  <si>
    <t>Комитет по культуре и туризму Ленинградской области</t>
  </si>
  <si>
    <t>Управление делами Правительства Ленинградской области</t>
  </si>
  <si>
    <t>Комитет по сохранению культурного наследия Ленинградской области</t>
  </si>
  <si>
    <t>Публичный показ музейных предметов, музейных коллекций (в стационарных условиях)</t>
  </si>
  <si>
    <t>Публичный показ музейных предметов, музейных коллекций (вне стационара)</t>
  </si>
  <si>
    <t>Публичный показ музейных предметов, музейных коллекций (удалённо через интернет)</t>
  </si>
  <si>
    <t>Создание экспозиций (выставок) музеев, организация выездных выставок</t>
  </si>
  <si>
    <t>выставок (экспозиций)</t>
  </si>
  <si>
    <t>Формирование, учет, изучение, обеспечение физического сохранения и безопасности музейных предметов, музейных коллекций</t>
  </si>
  <si>
    <t>музейных предметов</t>
  </si>
  <si>
    <t>Осуществление автотранспортного обслуживания Администрации Ленинградской области</t>
  </si>
  <si>
    <t>Машино-час</t>
  </si>
  <si>
    <t>Осуществление автотранспортного обслуживания Законодательного собрания Ленинградской области</t>
  </si>
  <si>
    <t>Осуществление автотранспортного обслуживания государственных органов Ленинградской области</t>
  </si>
  <si>
    <t>Обеспечение автомобильным транспортом сенаторов Российской Федерации для осуществления ими своих полномочий на территории Ленинградской области</t>
  </si>
  <si>
    <t>Процент</t>
  </si>
  <si>
    <t>Обеспечение дежурным автотранспортом депутатов Государственной Думы Федерального Собрания Российской Федерации, осуществляющих свои полномочия на территории Ленинградской области</t>
  </si>
  <si>
    <t>Реализация адаптированных основных образовательных программ профессионального обучения в нетиповом учреждении</t>
  </si>
  <si>
    <t>чел.-час</t>
  </si>
  <si>
    <t>Организация проживания инвалидов и граждан с ограниченными возможностями здоровья (ОВЗ) 
в период обучения в нетиповом учреждении</t>
  </si>
  <si>
    <t>Сопровождение  трудоустройства инвалидов и граждан с ограниченными возможностями здоровья, получивших образовательную услугу  в нетиповом учреждении</t>
  </si>
  <si>
    <t>Организация сопровождаемого проживания инвалидов и лиц с ограниченными возможностями здоровья, получивших образовательную услугу в нетиповом учреждении</t>
  </si>
  <si>
    <t>Реализация адаптированной образовательной программы дошкольного образования обучающиеся с ограниченными озможностями здоровья (ЗПР, ТНР)</t>
  </si>
  <si>
    <t>Присмотр и уход (дошкольное)</t>
  </si>
  <si>
    <t xml:space="preserve">человеко-час </t>
  </si>
  <si>
    <t>Присмотр и уход</t>
  </si>
  <si>
    <t xml:space="preserve">Содержание детей </t>
  </si>
  <si>
    <t>Содержание детейв специальных учебно-воспитательных учреждениях</t>
  </si>
  <si>
    <t>Реализация адаптированных осовных общеобразовательных программ для детей с умственной отсталостью  Адаптированная основная общеобразовательная программа (УО, вариант 1)</t>
  </si>
  <si>
    <t>Реализация адаптированных осовных общеобразовательных программ для детей с умственной отсталостью Адаптированная основная общеобразовательная программа
(УО, вариант 2)</t>
  </si>
  <si>
    <t xml:space="preserve"> Реализация адаптированных основных общеобразовательных программ для обучающихся  с задержкой психического развития.</t>
  </si>
  <si>
    <t xml:space="preserve">Реализация адаптированных основных общеобразовательных программ начального общего образования для обучающихся с растройством аутистического спектра </t>
  </si>
  <si>
    <t>Реализация основной адаптированой  общеобразовательной программы начального общего образования (тяжелые нарушения речи)</t>
  </si>
  <si>
    <t xml:space="preserve">Реализация основных общеобразовательных программ начального общего образования.Проходящие обучение по состоянию здоровья на дому </t>
  </si>
  <si>
    <t>Реализация адаптированных основных общеобразовательных программ начального общего образования. Слабослышащие и позднооглохшие</t>
  </si>
  <si>
    <t xml:space="preserve">Реализация основных общеобразовательных программ начального общего образования. Адаптированная основная общеобразовательная программа. Нуждающиеся в длительном лечении, с ОВЗ </t>
  </si>
  <si>
    <t xml:space="preserve">Реализация адаптированных основных общеобразовательных программ (начального общего, основного общего, среднего общего образования. Обучающиеся с ограниченными возможностями здоровья.  </t>
  </si>
  <si>
    <t xml:space="preserve">Реализация основных общеобразовательных программ основного общего образования. Проходящие обучение </t>
  </si>
  <si>
    <t>Реализация основных общеобразовательных программ основного общего образования. обучающиеся с ограниченными возможностями здоровья (ОВЗ). Проходящие обучение в специальных учебно-воспитательных учреждениях закрытого типа</t>
  </si>
  <si>
    <t>Реализация адаптированных основных общеобразовательных программ для детей с умственной отсталостью.Проходящие обучение в специальных учебно-воспитательных учреждениях закрытого типа</t>
  </si>
  <si>
    <t>обращение</t>
  </si>
  <si>
    <t>исследование</t>
  </si>
  <si>
    <t>Расходы в части постоянных затрат на содержание недвижимого имущества и особо ценного движимого имущества</t>
  </si>
  <si>
    <t>6.1</t>
  </si>
  <si>
    <t>6.2</t>
  </si>
  <si>
    <t>6.3</t>
  </si>
  <si>
    <t>6.4</t>
  </si>
  <si>
    <t>6.5</t>
  </si>
  <si>
    <t>6.6</t>
  </si>
  <si>
    <t>Приложение 20</t>
  </si>
  <si>
    <t xml:space="preserve">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(выполнение работ), а также об объемах субсидий на финансовое обеспечение выполнения государственных заданий на оказание соответствующих услуг (выполнения работ) за 2021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</si>
</sst>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 _₽"/>
  </numFmts>
  <fonts count="19" x14ac:knownFonts="1">
    <font>
      <sz val="11"/>
      <color theme="1"/>
      <name val="Calibri"/>
      <family val="2"/>
      <charset val="204"/>
      <scheme val="minor"/>
    </font>
    <font>
      <sz val="11"/>
      <name val="Times New Roman"/>
      <family val="1"/>
      <charset val="204"/>
    </font>
    <font>
      <sz val="11"/>
      <color indexed="8"/>
      <name val="Times New Roman"/>
      <family val="1"/>
      <charset val="204"/>
    </font>
    <font>
      <b/>
      <sz val="11"/>
      <name val="Times New Roman"/>
      <family val="1"/>
      <charset val="204"/>
    </font>
    <font>
      <sz val="10"/>
      <name val="Arial"/>
      <family val="2"/>
      <charset val="204"/>
    </font>
    <font>
      <b/>
      <sz val="11"/>
      <color indexed="8"/>
      <name val="Times New Roman"/>
      <family val="1"/>
      <charset val="204"/>
    </font>
    <font>
      <sz val="11"/>
      <color theme="1"/>
      <name val="Calibri"/>
      <family val="2"/>
      <charset val="204"/>
      <scheme val="minor"/>
    </font>
    <font>
      <b/>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sz val="11"/>
      <color rgb="FFFF0000"/>
      <name val="Times New Roman"/>
      <family val="1"/>
      <charset val="204"/>
    </font>
    <font>
      <b/>
      <sz val="11"/>
      <color rgb="FF000000"/>
      <name val="Times New Roman"/>
      <family val="1"/>
      <charset val="204"/>
    </font>
    <font>
      <sz val="11"/>
      <color rgb="FF000000"/>
      <name val="Times New Roman"/>
      <family val="1"/>
      <charset val="204"/>
    </font>
    <font>
      <sz val="11"/>
      <name val="Calibri"/>
      <family val="2"/>
      <charset val="204"/>
      <scheme val="minor"/>
    </font>
    <font>
      <sz val="16"/>
      <color theme="1"/>
      <name val="Calibri"/>
      <family val="2"/>
      <charset val="204"/>
      <scheme val="minor"/>
    </font>
    <font>
      <b/>
      <sz val="13"/>
      <color theme="1"/>
      <name val="Times New Roman"/>
      <family val="1"/>
      <charset val="204"/>
    </font>
    <font>
      <sz val="11"/>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8" fillId="0" borderId="0"/>
    <xf numFmtId="0" fontId="4" fillId="0" borderId="0"/>
    <xf numFmtId="0" fontId="4" fillId="0" borderId="0"/>
    <xf numFmtId="164" fontId="6" fillId="0" borderId="0" applyFont="0" applyFill="0" applyBorder="0" applyAlignment="0" applyProtection="0"/>
    <xf numFmtId="164" fontId="6" fillId="0" borderId="0" applyFont="0" applyFill="0" applyBorder="0" applyAlignment="0" applyProtection="0"/>
  </cellStyleXfs>
  <cellXfs count="168">
    <xf numFmtId="0" fontId="0" fillId="0" borderId="0" xfId="0"/>
    <xf numFmtId="0" fontId="9" fillId="0" borderId="1" xfId="0" applyFont="1" applyFill="1" applyBorder="1" applyAlignment="1">
      <alignment horizontal="center" vertical="center" wrapText="1"/>
    </xf>
    <xf numFmtId="0" fontId="9" fillId="0" borderId="0" xfId="0" applyFont="1" applyFill="1"/>
    <xf numFmtId="0" fontId="10" fillId="0" borderId="1" xfId="0" applyFont="1" applyFill="1" applyBorder="1" applyAlignment="1">
      <alignment horizontal="center" vertical="center" wrapText="1"/>
    </xf>
    <xf numFmtId="0" fontId="0" fillId="0" borderId="0" xfId="0" applyFill="1"/>
    <xf numFmtId="166" fontId="9" fillId="0" borderId="0" xfId="0" applyNumberFormat="1" applyFont="1" applyFill="1"/>
    <xf numFmtId="4" fontId="9" fillId="0" borderId="0" xfId="0" applyNumberFormat="1" applyFont="1" applyFill="1"/>
    <xf numFmtId="166" fontId="9" fillId="0" borderId="0" xfId="0" applyNumberFormat="1" applyFont="1" applyFill="1" applyAlignment="1">
      <alignment horizontal="center"/>
    </xf>
    <xf numFmtId="0" fontId="9" fillId="0" borderId="1" xfId="0" applyFont="1" applyFill="1" applyBorder="1" applyAlignment="1">
      <alignment wrapText="1"/>
    </xf>
    <xf numFmtId="0" fontId="10" fillId="0" borderId="1" xfId="0" applyFont="1" applyFill="1" applyBorder="1" applyAlignment="1">
      <alignment horizontal="center" wrapText="1"/>
    </xf>
    <xf numFmtId="0" fontId="10" fillId="0" borderId="1" xfId="0" applyFont="1" applyFill="1" applyBorder="1" applyAlignment="1">
      <alignment wrapText="1"/>
    </xf>
    <xf numFmtId="4" fontId="10"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5" fontId="10" fillId="0" borderId="1" xfId="0" applyNumberFormat="1" applyFont="1" applyFill="1" applyBorder="1" applyAlignment="1">
      <alignment horizontal="center" wrapText="1"/>
    </xf>
    <xf numFmtId="2" fontId="10" fillId="0" borderId="1" xfId="0" applyNumberFormat="1" applyFont="1" applyFill="1" applyBorder="1" applyAlignment="1">
      <alignment horizontal="center" wrapText="1"/>
    </xf>
    <xf numFmtId="0" fontId="12" fillId="0" borderId="1" xfId="0" applyFont="1" applyFill="1" applyBorder="1" applyAlignment="1">
      <alignment horizontal="center" wrapText="1"/>
    </xf>
    <xf numFmtId="0" fontId="12" fillId="0" borderId="1" xfId="0" applyFont="1" applyFill="1" applyBorder="1" applyAlignment="1">
      <alignment wrapText="1"/>
    </xf>
    <xf numFmtId="4" fontId="12" fillId="0" borderId="1" xfId="0" applyNumberFormat="1" applyFont="1" applyFill="1" applyBorder="1" applyAlignment="1">
      <alignment horizontal="center" wrapText="1"/>
    </xf>
    <xf numFmtId="0" fontId="9" fillId="0" borderId="1" xfId="0" applyFont="1" applyFill="1" applyBorder="1" applyAlignment="1">
      <alignment horizontal="center" vertical="center"/>
    </xf>
    <xf numFmtId="2" fontId="10" fillId="0" borderId="1" xfId="4"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xf numFmtId="0" fontId="10" fillId="0" borderId="2" xfId="0" applyFont="1" applyFill="1" applyBorder="1" applyAlignment="1">
      <alignment vertical="center" wrapText="1"/>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0" fontId="9" fillId="2" borderId="3" xfId="0" applyFont="1" applyFill="1" applyBorder="1" applyAlignment="1">
      <alignment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xf>
    <xf numFmtId="0" fontId="9" fillId="2" borderId="4" xfId="0" applyFont="1" applyFill="1" applyBorder="1" applyAlignment="1">
      <alignment vertical="center" wrapText="1"/>
    </xf>
    <xf numFmtId="0" fontId="9" fillId="0" borderId="1" xfId="0" applyFont="1" applyBorder="1" applyAlignment="1">
      <alignment vertical="center" wrapText="1"/>
    </xf>
    <xf numFmtId="49" fontId="9" fillId="0" borderId="1" xfId="0" applyNumberFormat="1" applyFont="1" applyFill="1" applyBorder="1" applyAlignment="1">
      <alignment vertical="center" wrapText="1"/>
    </xf>
    <xf numFmtId="0" fontId="10" fillId="0" borderId="1" xfId="0" applyFont="1" applyFill="1" applyBorder="1" applyAlignment="1">
      <alignment horizontal="left" wrapText="1"/>
    </xf>
    <xf numFmtId="0" fontId="1" fillId="0" borderId="1" xfId="0" applyFont="1" applyFill="1" applyBorder="1" applyAlignment="1">
      <alignment vertical="center" wrapText="1"/>
    </xf>
    <xf numFmtId="0" fontId="13" fillId="0" borderId="1" xfId="0" applyFont="1" applyFill="1" applyBorder="1" applyAlignment="1">
      <alignment vertical="center" wrapText="1"/>
    </xf>
    <xf numFmtId="4" fontId="1" fillId="0" borderId="1" xfId="0" applyNumberFormat="1" applyFont="1" applyFill="1" applyBorder="1" applyAlignment="1">
      <alignment vertical="center" wrapText="1"/>
    </xf>
    <xf numFmtId="4" fontId="13" fillId="0" borderId="1" xfId="0" applyNumberFormat="1" applyFont="1" applyFill="1" applyBorder="1" applyAlignment="1">
      <alignment vertical="center" wrapText="1"/>
    </xf>
    <xf numFmtId="0" fontId="1" fillId="0" borderId="2" xfId="3" applyFont="1" applyFill="1" applyBorder="1" applyAlignment="1">
      <alignment vertical="center" wrapText="1"/>
    </xf>
    <xf numFmtId="0" fontId="1" fillId="0" borderId="1" xfId="3" applyFont="1" applyFill="1" applyBorder="1" applyAlignment="1">
      <alignment vertical="center" wrapText="1"/>
    </xf>
    <xf numFmtId="0" fontId="9" fillId="0" borderId="3" xfId="0" applyFont="1" applyFill="1" applyBorder="1" applyAlignment="1">
      <alignment vertical="center" wrapText="1"/>
    </xf>
    <xf numFmtId="0" fontId="9" fillId="0" borderId="1" xfId="0" applyFont="1" applyFill="1" applyBorder="1" applyAlignment="1">
      <alignment horizontal="center" wrapText="1"/>
    </xf>
    <xf numFmtId="2" fontId="13"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0" xfId="0" applyFont="1" applyFill="1" applyAlignment="1"/>
    <xf numFmtId="0" fontId="13" fillId="0" borderId="1" xfId="0" applyFont="1" applyFill="1" applyBorder="1" applyAlignment="1">
      <alignment horizontal="center" vertical="center" wrapText="1"/>
    </xf>
    <xf numFmtId="0" fontId="0" fillId="0" borderId="0" xfId="0" applyFont="1" applyFill="1" applyAlignment="1">
      <alignment horizontal="left"/>
    </xf>
    <xf numFmtId="0" fontId="7" fillId="0" borderId="0" xfId="0" applyFont="1" applyFill="1"/>
    <xf numFmtId="4" fontId="15" fillId="0" borderId="0" xfId="0" applyNumberFormat="1" applyFont="1" applyFill="1"/>
    <xf numFmtId="0" fontId="16" fillId="0" borderId="5" xfId="0" applyFont="1" applyFill="1" applyBorder="1" applyAlignment="1">
      <alignment horizontal="center" vertical="center" wrapText="1"/>
    </xf>
    <xf numFmtId="0" fontId="10" fillId="0" borderId="0" xfId="0" applyFont="1" applyFill="1"/>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2" xfId="0" applyNumberFormat="1" applyFont="1" applyFill="1" applyBorder="1" applyAlignment="1">
      <alignment horizontal="left" vertical="center" wrapText="1"/>
    </xf>
    <xf numFmtId="165" fontId="13" fillId="0" borderId="1" xfId="0" applyNumberFormat="1"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left" wrapText="1"/>
    </xf>
    <xf numFmtId="165" fontId="9" fillId="0" borderId="1"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left" wrapText="1"/>
    </xf>
    <xf numFmtId="165" fontId="9" fillId="0" borderId="1" xfId="0" applyNumberFormat="1" applyFont="1" applyFill="1" applyBorder="1" applyAlignment="1">
      <alignment horizontal="left" vertical="center" wrapText="1"/>
    </xf>
    <xf numFmtId="165" fontId="10" fillId="0" borderId="1" xfId="4"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left" vertical="center" wrapText="1"/>
    </xf>
    <xf numFmtId="165" fontId="9" fillId="0" borderId="1" xfId="0" applyNumberFormat="1" applyFont="1" applyFill="1" applyBorder="1" applyAlignment="1">
      <alignment vertical="center" wrapText="1"/>
    </xf>
    <xf numFmtId="165" fontId="0" fillId="0" borderId="1" xfId="0" applyNumberFormat="1" applyFont="1" applyFill="1" applyBorder="1"/>
    <xf numFmtId="165" fontId="10" fillId="0" borderId="1" xfId="0" applyNumberFormat="1" applyFont="1" applyFill="1" applyBorder="1" applyAlignment="1">
      <alignment wrapText="1"/>
    </xf>
    <xf numFmtId="165" fontId="3" fillId="0" borderId="1" xfId="0" applyNumberFormat="1" applyFont="1" applyFill="1" applyBorder="1" applyAlignment="1">
      <alignment horizontal="center" vertical="center" wrapText="1"/>
    </xf>
    <xf numFmtId="165" fontId="1" fillId="0" borderId="1" xfId="0" applyNumberFormat="1" applyFont="1" applyFill="1" applyBorder="1" applyAlignment="1">
      <alignment vertical="center" wrapText="1"/>
    </xf>
    <xf numFmtId="165" fontId="3" fillId="0" borderId="1" xfId="0" applyNumberFormat="1" applyFont="1" applyFill="1" applyBorder="1" applyAlignment="1">
      <alignment horizontal="center" wrapText="1"/>
    </xf>
    <xf numFmtId="165" fontId="1" fillId="0" borderId="3" xfId="0" applyNumberFormat="1" applyFont="1" applyFill="1" applyBorder="1" applyAlignment="1">
      <alignment horizontal="left" vertical="center" wrapText="1"/>
    </xf>
    <xf numFmtId="165" fontId="1" fillId="0" borderId="3" xfId="0" applyNumberFormat="1" applyFont="1" applyFill="1" applyBorder="1" applyAlignment="1">
      <alignment horizontal="left" vertical="center"/>
    </xf>
    <xf numFmtId="165" fontId="1" fillId="0" borderId="4" xfId="0" applyNumberFormat="1" applyFont="1" applyFill="1" applyBorder="1" applyAlignment="1">
      <alignment horizontal="left" vertical="center" wrapText="1"/>
    </xf>
    <xf numFmtId="165" fontId="3" fillId="0" borderId="1" xfId="0" applyNumberFormat="1" applyFont="1" applyFill="1" applyBorder="1" applyAlignment="1">
      <alignment wrapText="1"/>
    </xf>
    <xf numFmtId="165" fontId="14" fillId="0" borderId="0" xfId="0" applyNumberFormat="1" applyFont="1" applyFill="1"/>
    <xf numFmtId="165" fontId="1" fillId="0" borderId="0" xfId="0" applyNumberFormat="1" applyFont="1" applyFill="1" applyAlignment="1"/>
    <xf numFmtId="165" fontId="14" fillId="0" borderId="0" xfId="0" applyNumberFormat="1" applyFont="1" applyFill="1" applyAlignment="1">
      <alignment horizontal="center" vertical="center"/>
    </xf>
    <xf numFmtId="165" fontId="1" fillId="2" borderId="1" xfId="0" applyNumberFormat="1" applyFont="1" applyFill="1" applyBorder="1" applyAlignment="1">
      <alignment horizontal="left" vertical="center" wrapText="1"/>
    </xf>
    <xf numFmtId="165" fontId="12" fillId="0" borderId="1" xfId="0" applyNumberFormat="1" applyFont="1" applyFill="1" applyBorder="1" applyAlignment="1">
      <alignment horizontal="center" wrapText="1"/>
    </xf>
    <xf numFmtId="165" fontId="12" fillId="0" borderId="1" xfId="0" applyNumberFormat="1" applyFont="1" applyFill="1" applyBorder="1" applyAlignment="1">
      <alignment wrapText="1"/>
    </xf>
    <xf numFmtId="3" fontId="9"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5" fontId="10" fillId="0" borderId="2"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65" fontId="12" fillId="0" borderId="1" xfId="0" applyNumberFormat="1" applyFont="1" applyFill="1" applyBorder="1" applyAlignment="1">
      <alignment horizontal="left" wrapText="1"/>
    </xf>
    <xf numFmtId="165" fontId="10" fillId="0" borderId="1" xfId="0" applyNumberFormat="1" applyFont="1" applyFill="1" applyBorder="1" applyAlignment="1">
      <alignment horizontal="left" vertical="center" wrapText="1"/>
    </xf>
    <xf numFmtId="0" fontId="9" fillId="0" borderId="1" xfId="0" applyFont="1" applyFill="1" applyBorder="1" applyAlignment="1">
      <alignment horizontal="left" wrapText="1"/>
    </xf>
    <xf numFmtId="165" fontId="13" fillId="0" borderId="3"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2" borderId="1" xfId="0" applyNumberFormat="1" applyFont="1" applyFill="1" applyBorder="1" applyAlignment="1">
      <alignment vertical="center" wrapText="1"/>
    </xf>
    <xf numFmtId="165" fontId="1" fillId="2" borderId="2" xfId="3" applyNumberFormat="1" applyFont="1" applyFill="1" applyBorder="1" applyAlignment="1">
      <alignment vertical="center" wrapText="1"/>
    </xf>
    <xf numFmtId="165" fontId="1" fillId="2" borderId="1" xfId="3" applyNumberFormat="1" applyFont="1" applyFill="1" applyBorder="1" applyAlignment="1">
      <alignment vertical="center" wrapText="1"/>
    </xf>
    <xf numFmtId="165" fontId="1" fillId="2" borderId="1" xfId="0" applyNumberFormat="1" applyFont="1" applyFill="1" applyBorder="1" applyAlignment="1">
      <alignment vertical="center" wrapText="1"/>
    </xf>
    <xf numFmtId="3" fontId="13"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9" fillId="2" borderId="1" xfId="0" applyFont="1" applyFill="1" applyBorder="1" applyAlignment="1">
      <alignment wrapText="1"/>
    </xf>
    <xf numFmtId="165" fontId="12" fillId="2" borderId="1" xfId="0" applyNumberFormat="1" applyFont="1" applyFill="1" applyBorder="1" applyAlignment="1">
      <alignment horizontal="center" wrapText="1"/>
    </xf>
    <xf numFmtId="165" fontId="12" fillId="2" borderId="1" xfId="0" applyNumberFormat="1" applyFont="1" applyFill="1" applyBorder="1" applyAlignment="1">
      <alignment wrapText="1"/>
    </xf>
    <xf numFmtId="165" fontId="12"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left" wrapText="1"/>
    </xf>
    <xf numFmtId="166" fontId="1" fillId="0" borderId="1" xfId="0" applyNumberFormat="1" applyFont="1" applyFill="1" applyBorder="1" applyAlignment="1">
      <alignment horizontal="center" vertical="center" wrapText="1"/>
    </xf>
    <xf numFmtId="165" fontId="12" fillId="4" borderId="1" xfId="0" applyNumberFormat="1" applyFont="1" applyFill="1" applyBorder="1" applyAlignment="1">
      <alignment horizontal="center" wrapText="1"/>
    </xf>
    <xf numFmtId="165" fontId="17" fillId="0" borderId="1" xfId="0" applyNumberFormat="1" applyFont="1" applyBorder="1" applyAlignment="1">
      <alignment horizontal="left" wrapText="1"/>
    </xf>
    <xf numFmtId="49" fontId="1" fillId="0" borderId="1" xfId="0" applyNumberFormat="1" applyFont="1" applyFill="1" applyBorder="1" applyAlignment="1">
      <alignment horizontal="center" vertical="center" wrapText="1"/>
    </xf>
    <xf numFmtId="0" fontId="18" fillId="0" borderId="0" xfId="0" applyFont="1" applyFill="1" applyAlignment="1">
      <alignment horizontal="right"/>
    </xf>
    <xf numFmtId="0" fontId="10"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9" fillId="0" borderId="3" xfId="0" applyFont="1" applyFill="1" applyBorder="1" applyAlignment="1">
      <alignment vertical="center" wrapText="1"/>
    </xf>
    <xf numFmtId="0" fontId="0" fillId="0" borderId="4" xfId="0" applyFont="1" applyFill="1" applyBorder="1" applyAlignment="1">
      <alignment vertical="center" wrapText="1"/>
    </xf>
    <xf numFmtId="0" fontId="9"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2" xfId="0" applyFont="1" applyFill="1" applyBorder="1" applyAlignment="1">
      <alignment horizontal="left" vertical="center" wrapText="1"/>
    </xf>
    <xf numFmtId="165" fontId="10" fillId="0" borderId="2" xfId="0" applyNumberFormat="1" applyFont="1" applyFill="1" applyBorder="1" applyAlignment="1">
      <alignment horizontal="left" vertical="center" wrapText="1"/>
    </xf>
    <xf numFmtId="165" fontId="10" fillId="0" borderId="6" xfId="0" applyNumberFormat="1" applyFont="1" applyFill="1" applyBorder="1" applyAlignment="1">
      <alignment horizontal="left" vertical="center" wrapText="1"/>
    </xf>
    <xf numFmtId="165" fontId="10" fillId="0" borderId="7" xfId="0" applyNumberFormat="1" applyFont="1" applyFill="1" applyBorder="1" applyAlignment="1">
      <alignment horizontal="left" vertical="center" wrapText="1"/>
    </xf>
    <xf numFmtId="165" fontId="9" fillId="0" borderId="3" xfId="0" applyNumberFormat="1" applyFont="1" applyFill="1" applyBorder="1" applyAlignment="1">
      <alignment vertical="center" wrapText="1"/>
    </xf>
    <xf numFmtId="165" fontId="0" fillId="0" borderId="4" xfId="0" applyNumberFormat="1" applyFont="1" applyFill="1" applyBorder="1" applyAlignment="1">
      <alignment vertical="center" wrapText="1"/>
    </xf>
    <xf numFmtId="0" fontId="16"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left" vertical="center" wrapText="1"/>
    </xf>
    <xf numFmtId="165" fontId="12" fillId="0" borderId="6" xfId="0" applyNumberFormat="1" applyFont="1" applyFill="1" applyBorder="1" applyAlignment="1">
      <alignment horizontal="left" vertical="center" wrapText="1"/>
    </xf>
    <xf numFmtId="165" fontId="12" fillId="0" borderId="1" xfId="0" applyNumberFormat="1" applyFont="1" applyFill="1" applyBorder="1" applyAlignment="1">
      <alignment horizontal="left" wrapText="1"/>
    </xf>
    <xf numFmtId="165" fontId="3" fillId="0" borderId="2" xfId="0" applyNumberFormat="1" applyFont="1" applyFill="1" applyBorder="1" applyAlignment="1">
      <alignment horizontal="left" vertical="center" wrapText="1"/>
    </xf>
    <xf numFmtId="165" fontId="3" fillId="0" borderId="6" xfId="0" applyNumberFormat="1" applyFont="1" applyFill="1" applyBorder="1" applyAlignment="1">
      <alignment horizontal="left" vertical="center" wrapText="1"/>
    </xf>
    <xf numFmtId="165" fontId="10" fillId="0" borderId="1" xfId="0" applyNumberFormat="1" applyFont="1" applyFill="1" applyBorder="1" applyAlignment="1">
      <alignment horizontal="left" vertical="center" wrapText="1"/>
    </xf>
  </cellXfs>
  <cellStyles count="6">
    <cellStyle name="Обычный" xfId="0" builtinId="0"/>
    <cellStyle name="Обычный 2" xfId="1"/>
    <cellStyle name="Обычный 4" xfId="2"/>
    <cellStyle name="Обычный_по кодам" xfId="3"/>
    <cellStyle name="Финансовый" xfId="4"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39.xml"/><Relationship Id="rId38" Type="http://schemas.openxmlformats.org/officeDocument/2006/relationships/revisionLog" Target="revisionLog38.xml"/><Relationship Id="rId41" Type="http://schemas.openxmlformats.org/officeDocument/2006/relationships/revisionLog" Target="revisionLog41.xml"/><Relationship Id="rId40" Type="http://schemas.openxmlformats.org/officeDocument/2006/relationships/revisionLog" Target="revisionLog40.xml"/><Relationship Id="rId37" Type="http://schemas.openxmlformats.org/officeDocument/2006/relationships/revisionLog" Target="revisionLog3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3D867BD-366D-4496-8476-2722292CEA20}" diskRevisions="1" revisionId="2039" version="6">
  <header guid="{8183AF70-31E3-493C-A5BB-AAB866B1AB63}" dateTime="2022-03-15T14:47:48" maxSheetId="3" userName="Васютина Ольга Валерьевна" r:id="rId37">
    <sheetIdMap count="2">
      <sheetId val="1"/>
      <sheetId val="2"/>
    </sheetIdMap>
  </header>
  <header guid="{FBEC01B3-EFF4-4671-85D2-8E8A4540E1F4}" dateTime="2022-03-15T14:47:59" maxSheetId="3" userName="Васютина Ольга Валерьевна" r:id="rId38" minRId="2022">
    <sheetIdMap count="2">
      <sheetId val="1"/>
      <sheetId val="2"/>
    </sheetIdMap>
  </header>
  <header guid="{1C799B1C-F443-43F4-BA48-C5161310FDB5}" dateTime="2022-03-17T15:51:59" maxSheetId="3" userName="Васютина Ольга Валерьевна" r:id="rId39" minRId="2023">
    <sheetIdMap count="2">
      <sheetId val="1"/>
      <sheetId val="2"/>
    </sheetIdMap>
  </header>
  <header guid="{3268E745-B24B-415F-AE8B-6044D9CA349C}" dateTime="2022-03-23T18:29:06" maxSheetId="3" userName="Васютина Ольга Валерьевна" r:id="rId40" minRId="2029">
    <sheetIdMap count="2">
      <sheetId val="1"/>
      <sheetId val="2"/>
    </sheetIdMap>
  </header>
  <header guid="{53D867BD-366D-4496-8476-2722292CEA20}" dateTime="2022-03-23T18:36:46" maxSheetId="3" userName="Васютина Ольга Валерьевна" r:id="rId41">
    <sheetIdMap count="2">
      <sheetId val="1"/>
      <sheetId val="2"/>
    </sheetIdMap>
  </header>
</header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A612BCB_111F_4786_B98F_3B66BF1F01C7_.wvu.PrintTitles" hidden="1" oldHidden="1">
    <formula>'2019'!$2:$4</formula>
  </rdn>
  <rdn rId="0" localSheetId="1" customView="1" name="Z_CA612BCB_111F_4786_B98F_3B66BF1F01C7_.wvu.Rows" hidden="1" oldHidden="1">
    <formula>'2019'!$5:$239</formula>
  </rdn>
  <rdn rId="0" localSheetId="1" customView="1" name="Z_CA612BCB_111F_4786_B98F_3B66BF1F01C7_.wvu.Cols" hidden="1" oldHidden="1">
    <formula>'2019'!$I:$M</formula>
  </rdn>
  <rdn rId="0" localSheetId="2" customView="1" name="Z_CA612BCB_111F_4786_B98F_3B66BF1F01C7_.wvu.PrintTitles" hidden="1" oldHidden="1">
    <formula>'Для Заполнения'!$4:$6</formula>
  </rdn>
  <rdn rId="0" localSheetId="2" customView="1" name="Z_CA612BCB_111F_4786_B98F_3B66BF1F01C7_.wvu.Cols" hidden="1" oldHidden="1">
    <formula>'Для Заполнения'!$D:$D,'Для Заполнения'!$H:$H</formula>
  </rdn>
  <rcv guid="{CA612BCB-111F-4786-B98F-3B66BF1F01C7}"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2022" sheetId="2" oldName="[Сведения о выполнении ГЗ ГБУ и ГАУ ЛО за 2021.xlsx]Для Заполнения" newName="[Сведения о выполнении ГЗ ГБУ и ГАУ ЛО за 2021.xlsx]2021 год"/>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3" sId="2">
    <nc r="K1" t="inlineStr">
      <is>
        <t>Приложение 20</t>
      </is>
    </nc>
  </rcc>
  <rfmt sheetId="2" sqref="K1" start="0" length="2147483647">
    <dxf>
      <font>
        <name val="Times New Roman"/>
        <scheme val="none"/>
      </font>
    </dxf>
  </rfmt>
  <rfmt sheetId="2" sqref="K1">
    <dxf>
      <alignment horizontal="right" readingOrder="0"/>
    </dxf>
  </rfmt>
  <rfmt sheetId="2" sqref="K1" start="0" length="2147483647">
    <dxf>
      <font>
        <sz val="14"/>
      </font>
    </dxf>
  </rfmt>
  <rfmt sheetId="2" sqref="K1" start="0" length="2147483647">
    <dxf>
      <font>
        <b/>
      </font>
    </dxf>
  </rfmt>
  <rcv guid="{CA612BCB-111F-4786-B98F-3B66BF1F01C7}" action="delete"/>
  <rdn rId="0" localSheetId="1" customView="1" name="Z_CA612BCB_111F_4786_B98F_3B66BF1F01C7_.wvu.PrintTitles" hidden="1" oldHidden="1">
    <formula>'2019'!$2:$4</formula>
    <oldFormula>'2019'!$2:$4</oldFormula>
  </rdn>
  <rdn rId="0" localSheetId="1" customView="1" name="Z_CA612BCB_111F_4786_B98F_3B66BF1F01C7_.wvu.Rows" hidden="1" oldHidden="1">
    <formula>'2019'!$5:$239</formula>
    <oldFormula>'2019'!$5:$239</oldFormula>
  </rdn>
  <rdn rId="0" localSheetId="1" customView="1" name="Z_CA612BCB_111F_4786_B98F_3B66BF1F01C7_.wvu.Cols" hidden="1" oldHidden="1">
    <formula>'2019'!$I:$M</formula>
    <oldFormula>'2019'!$I:$M</oldFormula>
  </rdn>
  <rdn rId="0" localSheetId="2" customView="1" name="Z_CA612BCB_111F_4786_B98F_3B66BF1F01C7_.wvu.PrintTitles" hidden="1" oldHidden="1">
    <formula>'2021 год'!$4:$6</formula>
    <oldFormula>'2021 год'!$4:$6</oldFormula>
  </rdn>
  <rdn rId="0" localSheetId="2" customView="1" name="Z_CA612BCB_111F_4786_B98F_3B66BF1F01C7_.wvu.Cols" hidden="1" oldHidden="1">
    <formula>'2021 год'!$D:$D,'2021 год'!$H:$H</formula>
    <oldFormula>'2021 год'!$D:$D,'2021 год'!$H:$H</oldFormula>
  </rdn>
  <rcv guid="{CA612BCB-111F-4786-B98F-3B66BF1F01C7}"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9" sId="2">
    <oc r="A2" t="inlineStr">
      <is>
        <t>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(выполнение работ), а также об объемах субсидий на финансовое обеспечение выполнения государственных заданий на оказание соответствующих услуг (выполнения работ) за 2021 год (с учетом требований Методики составления рейтинга субъектов Российской Федерации по уровню открытости бюджетных данных ФГБУ "Научно-исследовательский институт Министерства финансов Российской Федерации")</t>
      </is>
    </oc>
    <nc r="A2" t="inlineStr">
      <is>
        <t xml:space="preserve">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(выполнение работ), а также об объемах субсидий на финансовое обеспечение выполнения государственных заданий на оказание соответствующих услуг (выполнения работ) за 2021 год </t>
      </is>
    </nc>
  </rcc>
  <rcv guid="{CA612BCB-111F-4786-B98F-3B66BF1F01C7}" action="delete"/>
  <rdn rId="0" localSheetId="1" customView="1" name="Z_CA612BCB_111F_4786_B98F_3B66BF1F01C7_.wvu.PrintTitles" hidden="1" oldHidden="1">
    <formula>'2019'!$2:$4</formula>
    <oldFormula>'2019'!$2:$4</oldFormula>
  </rdn>
  <rdn rId="0" localSheetId="1" customView="1" name="Z_CA612BCB_111F_4786_B98F_3B66BF1F01C7_.wvu.Rows" hidden="1" oldHidden="1">
    <formula>'2019'!$5:$239</formula>
    <oldFormula>'2019'!$5:$239</oldFormula>
  </rdn>
  <rdn rId="0" localSheetId="1" customView="1" name="Z_CA612BCB_111F_4786_B98F_3B66BF1F01C7_.wvu.Cols" hidden="1" oldHidden="1">
    <formula>'2019'!$I:$M</formula>
    <oldFormula>'2019'!$I:$M</oldFormula>
  </rdn>
  <rdn rId="0" localSheetId="2" customView="1" name="Z_CA612BCB_111F_4786_B98F_3B66BF1F01C7_.wvu.PrintTitles" hidden="1" oldHidden="1">
    <formula>'2021 год'!$4:$6</formula>
    <oldFormula>'2021 год'!$4:$6</oldFormula>
  </rdn>
  <rdn rId="0" localSheetId="2" customView="1" name="Z_CA612BCB_111F_4786_B98F_3B66BF1F01C7_.wvu.Cols" hidden="1" oldHidden="1">
    <formula>'2021 год'!$D:$D,'2021 год'!$H:$H</formula>
    <oldFormula>'2021 год'!$D:$D,'2021 год'!$H:$H</oldFormula>
  </rdn>
  <rcv guid="{CA612BCB-111F-4786-B98F-3B66BF1F01C7}"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612BCB-111F-4786-B98F-3B66BF1F01C7}" action="delete"/>
  <rdn rId="0" localSheetId="1" customView="1" name="Z_CA612BCB_111F_4786_B98F_3B66BF1F01C7_.wvu.PrintTitles" hidden="1" oldHidden="1">
    <formula>'2019'!$2:$4</formula>
    <oldFormula>'2019'!$2:$4</oldFormula>
  </rdn>
  <rdn rId="0" localSheetId="1" customView="1" name="Z_CA612BCB_111F_4786_B98F_3B66BF1F01C7_.wvu.Rows" hidden="1" oldHidden="1">
    <formula>'2019'!$5:$239</formula>
    <oldFormula>'2019'!$5:$239</oldFormula>
  </rdn>
  <rdn rId="0" localSheetId="1" customView="1" name="Z_CA612BCB_111F_4786_B98F_3B66BF1F01C7_.wvu.Cols" hidden="1" oldHidden="1">
    <formula>'2019'!$I:$M</formula>
    <oldFormula>'2019'!$I:$M</oldFormula>
  </rdn>
  <rdn rId="0" localSheetId="2" customView="1" name="Z_CA612BCB_111F_4786_B98F_3B66BF1F01C7_.wvu.PrintTitles" hidden="1" oldHidden="1">
    <formula>'2021 год'!$4:$6</formula>
    <oldFormula>'2021 год'!$4:$6</oldFormula>
  </rdn>
  <rdn rId="0" localSheetId="2" customView="1" name="Z_CA612BCB_111F_4786_B98F_3B66BF1F01C7_.wvu.Cols" hidden="1" oldHidden="1">
    <formula>'2021 год'!$D:$D,'2021 год'!$H:$H</formula>
    <oldFormula>'2021 год'!$D:$D,'2021 год'!$H:$H</oldFormula>
  </rdn>
  <rcv guid="{CA612BCB-111F-4786-B98F-3B66BF1F01C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3"/>
  <sheetViews>
    <sheetView zoomScale="90" zoomScaleNormal="90" workbookViewId="0">
      <pane ySplit="239" topLeftCell="A240" activePane="bottomLeft" state="frozen"/>
      <selection pane="bottomLeft" activeCell="N243" sqref="N243:R243"/>
    </sheetView>
  </sheetViews>
  <sheetFormatPr defaultColWidth="9.140625" defaultRowHeight="15" x14ac:dyDescent="0.25"/>
  <cols>
    <col min="1" max="1" width="7.7109375" style="4" customWidth="1"/>
    <col min="2" max="2" width="46.140625" style="52" customWidth="1"/>
    <col min="3" max="3" width="19" style="27" bestFit="1" customWidth="1"/>
    <col min="4" max="4" width="16.42578125" style="4" customWidth="1"/>
    <col min="5" max="5" width="13" style="4" customWidth="1"/>
    <col min="6" max="6" width="14.7109375" style="4" customWidth="1"/>
    <col min="7" max="7" width="13.28515625" style="4" customWidth="1"/>
    <col min="8" max="8" width="14.28515625" style="4" customWidth="1"/>
    <col min="9" max="9" width="14.140625" style="4" hidden="1" customWidth="1"/>
    <col min="10" max="10" width="15.140625" style="4" hidden="1" customWidth="1"/>
    <col min="11" max="12" width="15.5703125" style="4" hidden="1" customWidth="1"/>
    <col min="13" max="13" width="15.140625" style="4" hidden="1" customWidth="1"/>
    <col min="14" max="14" width="15.28515625" style="4" customWidth="1"/>
    <col min="15" max="15" width="14.140625" style="4" customWidth="1"/>
    <col min="16" max="16" width="15.5703125" style="4" customWidth="1"/>
    <col min="17" max="17" width="14.42578125" style="4" customWidth="1"/>
    <col min="18" max="18" width="14.140625" style="4" customWidth="1"/>
    <col min="19" max="20" width="14" style="4" customWidth="1"/>
    <col min="21" max="21" width="28.140625" style="4" customWidth="1"/>
    <col min="22" max="22" width="19" style="4" customWidth="1"/>
    <col min="23" max="23" width="17.28515625" style="4" customWidth="1"/>
    <col min="24" max="24" width="11.85546875" style="4" customWidth="1"/>
    <col min="25" max="25" width="12.28515625" style="4" customWidth="1"/>
    <col min="26" max="26" width="12.7109375" style="4" customWidth="1"/>
    <col min="27" max="16384" width="9.140625" style="4"/>
  </cols>
  <sheetData>
    <row r="1" spans="1:22" s="2" customFormat="1" ht="60.75" customHeight="1" x14ac:dyDescent="0.25">
      <c r="A1" s="141" t="s">
        <v>276</v>
      </c>
      <c r="B1" s="141"/>
      <c r="C1" s="141"/>
      <c r="D1" s="141"/>
      <c r="E1" s="141"/>
      <c r="F1" s="141"/>
      <c r="G1" s="141"/>
      <c r="H1" s="141"/>
      <c r="I1" s="141"/>
      <c r="J1" s="141"/>
      <c r="K1" s="141"/>
      <c r="L1" s="141"/>
      <c r="M1" s="141"/>
      <c r="N1" s="141"/>
      <c r="O1" s="141"/>
      <c r="P1" s="141"/>
      <c r="Q1" s="141"/>
      <c r="R1" s="141"/>
    </row>
    <row r="2" spans="1:22" s="2" customFormat="1" ht="54" customHeight="1" x14ac:dyDescent="0.25">
      <c r="A2" s="135" t="s">
        <v>1</v>
      </c>
      <c r="B2" s="142" t="s">
        <v>2</v>
      </c>
      <c r="C2" s="135" t="s">
        <v>3</v>
      </c>
      <c r="D2" s="135" t="s">
        <v>4</v>
      </c>
      <c r="E2" s="135"/>
      <c r="F2" s="135"/>
      <c r="G2" s="135"/>
      <c r="H2" s="135"/>
      <c r="I2" s="144" t="s">
        <v>59</v>
      </c>
      <c r="J2" s="145"/>
      <c r="K2" s="145"/>
      <c r="L2" s="145"/>
      <c r="M2" s="146"/>
      <c r="N2" s="135" t="s">
        <v>5</v>
      </c>
      <c r="O2" s="135"/>
      <c r="P2" s="135"/>
      <c r="Q2" s="135"/>
      <c r="R2" s="135"/>
    </row>
    <row r="3" spans="1:22" s="2" customFormat="1" ht="45" x14ac:dyDescent="0.25">
      <c r="A3" s="135"/>
      <c r="B3" s="143"/>
      <c r="C3" s="135"/>
      <c r="D3" s="28" t="s">
        <v>9</v>
      </c>
      <c r="E3" s="28" t="s">
        <v>269</v>
      </c>
      <c r="F3" s="28" t="s">
        <v>6</v>
      </c>
      <c r="G3" s="28" t="s">
        <v>7</v>
      </c>
      <c r="H3" s="28" t="s">
        <v>11</v>
      </c>
      <c r="I3" s="28" t="s">
        <v>9</v>
      </c>
      <c r="J3" s="28" t="s">
        <v>10</v>
      </c>
      <c r="K3" s="28" t="s">
        <v>6</v>
      </c>
      <c r="L3" s="28" t="s">
        <v>7</v>
      </c>
      <c r="M3" s="28" t="s">
        <v>11</v>
      </c>
      <c r="N3" s="28" t="s">
        <v>9</v>
      </c>
      <c r="O3" s="28" t="s">
        <v>10</v>
      </c>
      <c r="P3" s="28" t="s">
        <v>6</v>
      </c>
      <c r="Q3" s="28" t="s">
        <v>7</v>
      </c>
      <c r="R3" s="28" t="s">
        <v>11</v>
      </c>
    </row>
    <row r="4" spans="1:22" s="2" customFormat="1" ht="13.9" x14ac:dyDescent="0.25">
      <c r="A4" s="1">
        <v>1</v>
      </c>
      <c r="B4" s="48">
        <v>2</v>
      </c>
      <c r="C4" s="1">
        <v>3</v>
      </c>
      <c r="D4" s="1">
        <v>4</v>
      </c>
      <c r="E4" s="1">
        <v>5</v>
      </c>
      <c r="F4" s="1">
        <v>6</v>
      </c>
      <c r="G4" s="1">
        <v>7</v>
      </c>
      <c r="H4" s="1">
        <v>8</v>
      </c>
      <c r="I4" s="1">
        <v>9</v>
      </c>
      <c r="J4" s="1">
        <v>10</v>
      </c>
      <c r="K4" s="1">
        <v>11</v>
      </c>
      <c r="L4" s="1">
        <v>12</v>
      </c>
      <c r="M4" s="1">
        <v>13</v>
      </c>
      <c r="N4" s="28">
        <v>14</v>
      </c>
      <c r="O4" s="28">
        <v>15</v>
      </c>
      <c r="P4" s="28">
        <v>16</v>
      </c>
      <c r="Q4" s="28">
        <v>17</v>
      </c>
      <c r="R4" s="28">
        <v>18</v>
      </c>
    </row>
    <row r="5" spans="1:22" s="2" customFormat="1" ht="13.9" hidden="1" x14ac:dyDescent="0.25">
      <c r="A5" s="134" t="s">
        <v>12</v>
      </c>
      <c r="B5" s="134"/>
      <c r="C5" s="134"/>
      <c r="D5" s="134"/>
      <c r="E5" s="134"/>
      <c r="F5" s="134"/>
      <c r="G5" s="134"/>
      <c r="H5" s="134"/>
      <c r="I5" s="134"/>
      <c r="J5" s="134"/>
      <c r="K5" s="134"/>
      <c r="L5" s="134"/>
      <c r="M5" s="134"/>
      <c r="N5" s="134"/>
      <c r="O5" s="134"/>
      <c r="P5" s="134"/>
      <c r="Q5" s="134"/>
      <c r="R5" s="134"/>
    </row>
    <row r="6" spans="1:22" s="2" customFormat="1" ht="41.45" hidden="1" x14ac:dyDescent="0.25">
      <c r="A6" s="1">
        <v>1</v>
      </c>
      <c r="B6" s="33" t="s">
        <v>13</v>
      </c>
      <c r="C6" s="1" t="s">
        <v>14</v>
      </c>
      <c r="D6" s="14">
        <v>1</v>
      </c>
      <c r="E6" s="14">
        <v>2</v>
      </c>
      <c r="F6" s="14">
        <v>2</v>
      </c>
      <c r="G6" s="14">
        <v>2</v>
      </c>
      <c r="H6" s="14">
        <v>2</v>
      </c>
      <c r="I6" s="14">
        <v>185810.03639999998</v>
      </c>
      <c r="J6" s="14">
        <v>508241.70399999997</v>
      </c>
      <c r="K6" s="14">
        <v>698832.34299999999</v>
      </c>
      <c r="L6" s="14">
        <v>889422.98200000008</v>
      </c>
      <c r="M6" s="14">
        <v>1080013.621</v>
      </c>
      <c r="N6" s="14">
        <f>D6*I6/1000</f>
        <v>185.81003639999997</v>
      </c>
      <c r="O6" s="14">
        <f>J6*E6/1000</f>
        <v>1016.4834079999999</v>
      </c>
      <c r="P6" s="14">
        <f>K6*F6/1000</f>
        <v>1397.6646860000001</v>
      </c>
      <c r="Q6" s="14">
        <f>L6*G6/1000</f>
        <v>1778.8459640000001</v>
      </c>
      <c r="R6" s="14">
        <f>M6*H6/1000</f>
        <v>2160.0272420000001</v>
      </c>
      <c r="S6" s="5"/>
      <c r="T6" s="5"/>
      <c r="U6" s="5"/>
      <c r="V6" s="5"/>
    </row>
    <row r="7" spans="1:22" s="2" customFormat="1" ht="41.45" hidden="1" x14ac:dyDescent="0.25">
      <c r="A7" s="1">
        <v>2</v>
      </c>
      <c r="B7" s="33" t="s">
        <v>30</v>
      </c>
      <c r="C7" s="1" t="s">
        <v>14</v>
      </c>
      <c r="D7" s="14">
        <v>6</v>
      </c>
      <c r="E7" s="14">
        <v>7</v>
      </c>
      <c r="F7" s="14">
        <v>7</v>
      </c>
      <c r="G7" s="14">
        <v>7</v>
      </c>
      <c r="H7" s="14">
        <v>7</v>
      </c>
      <c r="I7" s="14">
        <v>186916.29929999998</v>
      </c>
      <c r="J7" s="14">
        <v>276276.89199999999</v>
      </c>
      <c r="K7" s="14">
        <v>379880.72649999999</v>
      </c>
      <c r="L7" s="14">
        <v>483484.56099999999</v>
      </c>
      <c r="M7" s="14">
        <v>587088.39549999998</v>
      </c>
      <c r="N7" s="14">
        <f t="shared" ref="N7:N22" si="0">D7*I7/1000</f>
        <v>1121.4977957999999</v>
      </c>
      <c r="O7" s="14">
        <f t="shared" ref="O7:O24" si="1">J7*E7/1000</f>
        <v>1933.9382439999999</v>
      </c>
      <c r="P7" s="14">
        <f t="shared" ref="P7:P24" si="2">K7*F7/1000</f>
        <v>2659.1650855000003</v>
      </c>
      <c r="Q7" s="14">
        <f t="shared" ref="Q7:Q24" si="3">L7*G7/1000</f>
        <v>3384.3919270000001</v>
      </c>
      <c r="R7" s="14">
        <f t="shared" ref="R7:R24" si="4">M7*H7/1000</f>
        <v>4109.6187684999995</v>
      </c>
      <c r="S7" s="5"/>
      <c r="T7" s="5"/>
      <c r="U7" s="5"/>
      <c r="V7" s="5"/>
    </row>
    <row r="8" spans="1:22" s="2" customFormat="1" ht="41.45" hidden="1" x14ac:dyDescent="0.25">
      <c r="A8" s="1">
        <v>3</v>
      </c>
      <c r="B8" s="33" t="s">
        <v>29</v>
      </c>
      <c r="C8" s="1" t="s">
        <v>14</v>
      </c>
      <c r="D8" s="14">
        <v>5</v>
      </c>
      <c r="E8" s="14">
        <v>6</v>
      </c>
      <c r="F8" s="14">
        <v>6</v>
      </c>
      <c r="G8" s="14">
        <v>6</v>
      </c>
      <c r="H8" s="14">
        <v>6</v>
      </c>
      <c r="I8" s="14">
        <v>291649.2831</v>
      </c>
      <c r="J8" s="14">
        <v>409729.97599999997</v>
      </c>
      <c r="K8" s="14">
        <v>563378.71699999995</v>
      </c>
      <c r="L8" s="14">
        <v>717027.45799999998</v>
      </c>
      <c r="M8" s="14">
        <v>870676.19899999991</v>
      </c>
      <c r="N8" s="14">
        <f t="shared" si="0"/>
        <v>1458.2464155</v>
      </c>
      <c r="O8" s="14">
        <f t="shared" si="1"/>
        <v>2458.3798559999996</v>
      </c>
      <c r="P8" s="14">
        <f t="shared" si="2"/>
        <v>3380.2723019999999</v>
      </c>
      <c r="Q8" s="14">
        <f t="shared" si="3"/>
        <v>4302.1647479999992</v>
      </c>
      <c r="R8" s="14">
        <f t="shared" si="4"/>
        <v>5224.0571939999991</v>
      </c>
      <c r="S8" s="5"/>
      <c r="T8" s="5"/>
      <c r="U8" s="5"/>
      <c r="V8" s="5"/>
    </row>
    <row r="9" spans="1:22" s="2" customFormat="1" ht="41.45" hidden="1" x14ac:dyDescent="0.25">
      <c r="A9" s="1">
        <v>4</v>
      </c>
      <c r="B9" s="33" t="s">
        <v>28</v>
      </c>
      <c r="C9" s="1" t="s">
        <v>14</v>
      </c>
      <c r="D9" s="14">
        <v>9</v>
      </c>
      <c r="E9" s="14">
        <v>8</v>
      </c>
      <c r="F9" s="14">
        <v>8</v>
      </c>
      <c r="G9" s="14">
        <v>8</v>
      </c>
      <c r="H9" s="14">
        <v>8</v>
      </c>
      <c r="I9" s="14">
        <v>215014.55129999999</v>
      </c>
      <c r="J9" s="14">
        <v>292956.51200000005</v>
      </c>
      <c r="K9" s="14">
        <v>402815.20399999997</v>
      </c>
      <c r="L9" s="14">
        <v>512673.89600000001</v>
      </c>
      <c r="M9" s="14">
        <v>622532.58799999999</v>
      </c>
      <c r="N9" s="14">
        <f t="shared" si="0"/>
        <v>1935.1309616999999</v>
      </c>
      <c r="O9" s="14">
        <f t="shared" si="1"/>
        <v>2343.6520960000003</v>
      </c>
      <c r="P9" s="14">
        <f t="shared" si="2"/>
        <v>3222.521632</v>
      </c>
      <c r="Q9" s="14">
        <f t="shared" si="3"/>
        <v>4101.3911680000001</v>
      </c>
      <c r="R9" s="14">
        <f t="shared" si="4"/>
        <v>4980.2607040000003</v>
      </c>
      <c r="S9" s="5"/>
      <c r="T9" s="5"/>
      <c r="U9" s="5"/>
      <c r="V9" s="5"/>
    </row>
    <row r="10" spans="1:22" s="2" customFormat="1" ht="41.45" hidden="1" x14ac:dyDescent="0.25">
      <c r="A10" s="1">
        <v>5</v>
      </c>
      <c r="B10" s="33" t="s">
        <v>27</v>
      </c>
      <c r="C10" s="1" t="s">
        <v>14</v>
      </c>
      <c r="D10" s="14">
        <v>6</v>
      </c>
      <c r="E10" s="14">
        <v>12</v>
      </c>
      <c r="F10" s="14">
        <v>24</v>
      </c>
      <c r="G10" s="14">
        <v>24</v>
      </c>
      <c r="H10" s="14">
        <v>24</v>
      </c>
      <c r="I10" s="14">
        <v>159679.47149999999</v>
      </c>
      <c r="J10" s="14">
        <v>231793.47200000004</v>
      </c>
      <c r="K10" s="14">
        <v>318716.02400000003</v>
      </c>
      <c r="L10" s="14">
        <v>405638.576</v>
      </c>
      <c r="M10" s="14">
        <v>492561.12800000003</v>
      </c>
      <c r="N10" s="14">
        <f t="shared" si="0"/>
        <v>958.07682899999986</v>
      </c>
      <c r="O10" s="14">
        <f t="shared" si="1"/>
        <v>2781.5216640000003</v>
      </c>
      <c r="P10" s="14">
        <f t="shared" si="2"/>
        <v>7649.1845760000015</v>
      </c>
      <c r="Q10" s="14">
        <f t="shared" si="3"/>
        <v>9735.3258240000014</v>
      </c>
      <c r="R10" s="14">
        <f t="shared" si="4"/>
        <v>11821.467072000001</v>
      </c>
      <c r="S10" s="5"/>
      <c r="T10" s="5"/>
      <c r="U10" s="5"/>
      <c r="V10" s="5"/>
    </row>
    <row r="11" spans="1:22" s="2" customFormat="1" ht="41.45" hidden="1" x14ac:dyDescent="0.25">
      <c r="A11" s="1">
        <v>6</v>
      </c>
      <c r="B11" s="33" t="s">
        <v>24</v>
      </c>
      <c r="C11" s="1" t="s">
        <v>14</v>
      </c>
      <c r="D11" s="14">
        <v>10</v>
      </c>
      <c r="E11" s="14">
        <v>12</v>
      </c>
      <c r="F11" s="14">
        <v>12</v>
      </c>
      <c r="G11" s="14">
        <v>12</v>
      </c>
      <c r="H11" s="14">
        <v>12</v>
      </c>
      <c r="I11" s="14">
        <v>140860.24739999999</v>
      </c>
      <c r="J11" s="14">
        <v>215346.63599999997</v>
      </c>
      <c r="K11" s="14">
        <v>296101.62449999998</v>
      </c>
      <c r="L11" s="14">
        <v>376856.61299999995</v>
      </c>
      <c r="M11" s="14">
        <v>457611.60149999999</v>
      </c>
      <c r="N11" s="14">
        <f t="shared" si="0"/>
        <v>1408.602474</v>
      </c>
      <c r="O11" s="14">
        <f t="shared" si="1"/>
        <v>2584.1596319999999</v>
      </c>
      <c r="P11" s="14">
        <f t="shared" si="2"/>
        <v>3553.2194939999999</v>
      </c>
      <c r="Q11" s="14">
        <f t="shared" si="3"/>
        <v>4522.279356</v>
      </c>
      <c r="R11" s="14">
        <f t="shared" si="4"/>
        <v>5491.3392180000001</v>
      </c>
      <c r="S11" s="5"/>
      <c r="T11" s="5"/>
      <c r="U11" s="5"/>
      <c r="V11" s="5"/>
    </row>
    <row r="12" spans="1:22" s="2" customFormat="1" ht="41.45" hidden="1" x14ac:dyDescent="0.25">
      <c r="A12" s="1">
        <v>7</v>
      </c>
      <c r="B12" s="33" t="s">
        <v>25</v>
      </c>
      <c r="C12" s="1" t="s">
        <v>14</v>
      </c>
      <c r="D12" s="14">
        <v>27</v>
      </c>
      <c r="E12" s="14">
        <v>19</v>
      </c>
      <c r="F12" s="14">
        <v>19</v>
      </c>
      <c r="G12" s="14">
        <v>19</v>
      </c>
      <c r="H12" s="14">
        <v>19</v>
      </c>
      <c r="I12" s="14">
        <v>145056.54689999999</v>
      </c>
      <c r="J12" s="14">
        <v>213543.44</v>
      </c>
      <c r="K12" s="14">
        <v>293622.23</v>
      </c>
      <c r="L12" s="14">
        <v>373701.02</v>
      </c>
      <c r="M12" s="14">
        <v>453779.81</v>
      </c>
      <c r="N12" s="14">
        <f t="shared" si="0"/>
        <v>3916.5267663</v>
      </c>
      <c r="O12" s="14">
        <f t="shared" si="1"/>
        <v>4057.3253599999998</v>
      </c>
      <c r="P12" s="14">
        <f t="shared" si="2"/>
        <v>5578.822369999999</v>
      </c>
      <c r="Q12" s="14">
        <f t="shared" si="3"/>
        <v>7100.3193800000008</v>
      </c>
      <c r="R12" s="14">
        <f t="shared" si="4"/>
        <v>8621.81639</v>
      </c>
      <c r="S12" s="5"/>
      <c r="T12" s="5"/>
      <c r="U12" s="5"/>
      <c r="V12" s="5"/>
    </row>
    <row r="13" spans="1:22" s="2" customFormat="1" ht="41.45" hidden="1" x14ac:dyDescent="0.25">
      <c r="A13" s="1">
        <v>8</v>
      </c>
      <c r="B13" s="33" t="s">
        <v>26</v>
      </c>
      <c r="C13" s="1" t="s">
        <v>14</v>
      </c>
      <c r="D13" s="14">
        <v>36</v>
      </c>
      <c r="E13" s="14">
        <v>53</v>
      </c>
      <c r="F13" s="14">
        <v>78</v>
      </c>
      <c r="G13" s="14">
        <v>78</v>
      </c>
      <c r="H13" s="14">
        <v>78</v>
      </c>
      <c r="I13" s="14">
        <v>119953.4886</v>
      </c>
      <c r="J13" s="14">
        <v>177225.39199999999</v>
      </c>
      <c r="K13" s="14">
        <v>243684.91399999999</v>
      </c>
      <c r="L13" s="14">
        <v>310144.43599999999</v>
      </c>
      <c r="M13" s="14">
        <v>376603.95799999998</v>
      </c>
      <c r="N13" s="14">
        <f t="shared" si="0"/>
        <v>4318.3255895999991</v>
      </c>
      <c r="O13" s="14">
        <f t="shared" si="1"/>
        <v>9392.9457760000005</v>
      </c>
      <c r="P13" s="14">
        <f t="shared" si="2"/>
        <v>19007.423291999999</v>
      </c>
      <c r="Q13" s="14">
        <f t="shared" si="3"/>
        <v>24191.266007999999</v>
      </c>
      <c r="R13" s="14">
        <f t="shared" si="4"/>
        <v>29375.108723999998</v>
      </c>
      <c r="S13" s="5"/>
      <c r="T13" s="5"/>
      <c r="U13" s="5"/>
      <c r="V13" s="5"/>
    </row>
    <row r="14" spans="1:22" s="2" customFormat="1" ht="41.45" hidden="1" x14ac:dyDescent="0.25">
      <c r="A14" s="1">
        <v>9</v>
      </c>
      <c r="B14" s="33" t="s">
        <v>23</v>
      </c>
      <c r="C14" s="1" t="s">
        <v>14</v>
      </c>
      <c r="D14" s="14">
        <v>43</v>
      </c>
      <c r="E14" s="14">
        <v>43</v>
      </c>
      <c r="F14" s="14">
        <v>43</v>
      </c>
      <c r="G14" s="14">
        <v>43</v>
      </c>
      <c r="H14" s="14">
        <v>43</v>
      </c>
      <c r="I14" s="14">
        <v>155656.77929999999</v>
      </c>
      <c r="J14" s="14">
        <v>229367.95600000001</v>
      </c>
      <c r="K14" s="14">
        <v>315380.93949999998</v>
      </c>
      <c r="L14" s="14">
        <v>401393.92300000007</v>
      </c>
      <c r="M14" s="14">
        <v>487406.90649999998</v>
      </c>
      <c r="N14" s="14">
        <f t="shared" si="0"/>
        <v>6693.2415099</v>
      </c>
      <c r="O14" s="14">
        <f t="shared" si="1"/>
        <v>9862.8221080000003</v>
      </c>
      <c r="P14" s="14">
        <f t="shared" si="2"/>
        <v>13561.3803985</v>
      </c>
      <c r="Q14" s="14">
        <f t="shared" si="3"/>
        <v>17259.938689000002</v>
      </c>
      <c r="R14" s="14">
        <f t="shared" si="4"/>
        <v>20958.4969795</v>
      </c>
      <c r="S14" s="5"/>
      <c r="T14" s="5"/>
      <c r="U14" s="5"/>
      <c r="V14" s="5"/>
    </row>
    <row r="15" spans="1:22" s="2" customFormat="1" ht="41.45" hidden="1" x14ac:dyDescent="0.25">
      <c r="A15" s="1">
        <v>10</v>
      </c>
      <c r="B15" s="33" t="s">
        <v>31</v>
      </c>
      <c r="C15" s="1" t="s">
        <v>14</v>
      </c>
      <c r="D15" s="14">
        <v>24</v>
      </c>
      <c r="E15" s="14">
        <v>24</v>
      </c>
      <c r="F15" s="14">
        <v>24</v>
      </c>
      <c r="G15" s="14">
        <v>24</v>
      </c>
      <c r="H15" s="14">
        <v>24</v>
      </c>
      <c r="I15" s="14">
        <v>144564.6096</v>
      </c>
      <c r="J15" s="14">
        <v>212438.89600000001</v>
      </c>
      <c r="K15" s="14">
        <v>292103.48200000002</v>
      </c>
      <c r="L15" s="14">
        <v>371768.06799999997</v>
      </c>
      <c r="M15" s="14">
        <v>451432.65399999998</v>
      </c>
      <c r="N15" s="14">
        <f t="shared" si="0"/>
        <v>3469.5506304</v>
      </c>
      <c r="O15" s="14">
        <f t="shared" si="1"/>
        <v>5098.5335040000009</v>
      </c>
      <c r="P15" s="14">
        <f t="shared" si="2"/>
        <v>7010.4835679999997</v>
      </c>
      <c r="Q15" s="14">
        <f t="shared" si="3"/>
        <v>8922.4336319999984</v>
      </c>
      <c r="R15" s="14">
        <f t="shared" si="4"/>
        <v>10834.383695999999</v>
      </c>
      <c r="S15" s="5"/>
      <c r="T15" s="5"/>
      <c r="U15" s="5"/>
      <c r="V15" s="5"/>
    </row>
    <row r="16" spans="1:22" s="2" customFormat="1" ht="41.45" hidden="1" x14ac:dyDescent="0.25">
      <c r="A16" s="1">
        <v>11</v>
      </c>
      <c r="B16" s="33" t="s">
        <v>35</v>
      </c>
      <c r="C16" s="1" t="s">
        <v>14</v>
      </c>
      <c r="D16" s="14">
        <v>1</v>
      </c>
      <c r="E16" s="14">
        <v>2</v>
      </c>
      <c r="F16" s="14">
        <v>2</v>
      </c>
      <c r="G16" s="14">
        <v>2</v>
      </c>
      <c r="H16" s="14">
        <v>2</v>
      </c>
      <c r="I16" s="14">
        <v>338940</v>
      </c>
      <c r="J16" s="14">
        <v>538447.62</v>
      </c>
      <c r="K16" s="14">
        <v>740365.47750000004</v>
      </c>
      <c r="L16" s="14">
        <v>942283.33499999996</v>
      </c>
      <c r="M16" s="14">
        <v>1144201.1924999999</v>
      </c>
      <c r="N16" s="14">
        <f t="shared" si="0"/>
        <v>338.94</v>
      </c>
      <c r="O16" s="14">
        <f t="shared" si="1"/>
        <v>1076.8952400000001</v>
      </c>
      <c r="P16" s="14">
        <f t="shared" si="2"/>
        <v>1480.730955</v>
      </c>
      <c r="Q16" s="14">
        <f t="shared" si="3"/>
        <v>1884.5666699999999</v>
      </c>
      <c r="R16" s="14">
        <f t="shared" si="4"/>
        <v>2288.4023849999999</v>
      </c>
      <c r="S16" s="5"/>
      <c r="T16" s="5"/>
      <c r="U16" s="5"/>
      <c r="V16" s="5"/>
    </row>
    <row r="17" spans="1:26" s="2" customFormat="1" ht="41.45" hidden="1" x14ac:dyDescent="0.25">
      <c r="A17" s="1">
        <v>12</v>
      </c>
      <c r="B17" s="33" t="s">
        <v>51</v>
      </c>
      <c r="C17" s="1" t="s">
        <v>14</v>
      </c>
      <c r="D17" s="14">
        <v>0</v>
      </c>
      <c r="E17" s="14">
        <v>2</v>
      </c>
      <c r="F17" s="14">
        <v>2</v>
      </c>
      <c r="G17" s="14">
        <v>2</v>
      </c>
      <c r="H17" s="14">
        <v>2</v>
      </c>
      <c r="I17" s="14" t="s">
        <v>58</v>
      </c>
      <c r="J17" s="14">
        <v>483441.52</v>
      </c>
      <c r="K17" s="14">
        <v>664732.09</v>
      </c>
      <c r="L17" s="14">
        <v>846022.66</v>
      </c>
      <c r="M17" s="14">
        <v>1027313.23</v>
      </c>
      <c r="N17" s="14">
        <v>0</v>
      </c>
      <c r="O17" s="14">
        <f t="shared" si="1"/>
        <v>966.88304000000005</v>
      </c>
      <c r="P17" s="14">
        <f t="shared" si="2"/>
        <v>1329.4641799999999</v>
      </c>
      <c r="Q17" s="14">
        <f t="shared" si="3"/>
        <v>1692.0453200000002</v>
      </c>
      <c r="R17" s="14">
        <f t="shared" si="4"/>
        <v>2054.62646</v>
      </c>
      <c r="S17" s="5"/>
      <c r="T17" s="5"/>
      <c r="U17" s="5"/>
      <c r="V17" s="5"/>
    </row>
    <row r="18" spans="1:26" s="2" customFormat="1" ht="41.45" hidden="1" x14ac:dyDescent="0.25">
      <c r="A18" s="1">
        <v>13</v>
      </c>
      <c r="B18" s="33" t="s">
        <v>36</v>
      </c>
      <c r="C18" s="1" t="s">
        <v>14</v>
      </c>
      <c r="D18" s="14">
        <v>7</v>
      </c>
      <c r="E18" s="14">
        <v>15</v>
      </c>
      <c r="F18" s="14">
        <v>17</v>
      </c>
      <c r="G18" s="14">
        <v>19</v>
      </c>
      <c r="H18" s="14">
        <v>19</v>
      </c>
      <c r="I18" s="14">
        <v>169271.39099999997</v>
      </c>
      <c r="J18" s="14">
        <v>217914.76</v>
      </c>
      <c r="K18" s="14">
        <v>299632.79499999998</v>
      </c>
      <c r="L18" s="14">
        <v>381350.83</v>
      </c>
      <c r="M18" s="14">
        <v>463068.86499999999</v>
      </c>
      <c r="N18" s="14">
        <f t="shared" si="0"/>
        <v>1184.8997369999997</v>
      </c>
      <c r="O18" s="14">
        <f t="shared" si="1"/>
        <v>3268.7214000000004</v>
      </c>
      <c r="P18" s="14">
        <f t="shared" si="2"/>
        <v>5093.7575149999993</v>
      </c>
      <c r="Q18" s="14">
        <f t="shared" si="3"/>
        <v>7245.6657700000005</v>
      </c>
      <c r="R18" s="14">
        <f t="shared" si="4"/>
        <v>8798.3084350000008</v>
      </c>
      <c r="S18" s="5"/>
      <c r="T18" s="5"/>
      <c r="U18" s="5"/>
      <c r="V18" s="5"/>
    </row>
    <row r="19" spans="1:26" s="2" customFormat="1" ht="41.45" hidden="1" x14ac:dyDescent="0.25">
      <c r="A19" s="1">
        <v>14</v>
      </c>
      <c r="B19" s="33" t="s">
        <v>37</v>
      </c>
      <c r="C19" s="1" t="s">
        <v>14</v>
      </c>
      <c r="D19" s="14">
        <v>1</v>
      </c>
      <c r="E19" s="14">
        <v>1</v>
      </c>
      <c r="F19" s="14">
        <v>2</v>
      </c>
      <c r="G19" s="14">
        <v>2</v>
      </c>
      <c r="H19" s="14">
        <v>2</v>
      </c>
      <c r="I19" s="14">
        <v>338938.53899999999</v>
      </c>
      <c r="J19" s="14">
        <v>452700.32</v>
      </c>
      <c r="K19" s="14">
        <v>622462.93999999994</v>
      </c>
      <c r="L19" s="14">
        <v>792225.56</v>
      </c>
      <c r="M19" s="14">
        <v>961988.18</v>
      </c>
      <c r="N19" s="14">
        <f t="shared" si="0"/>
        <v>338.93853899999999</v>
      </c>
      <c r="O19" s="14">
        <f t="shared" si="1"/>
        <v>452.70032000000003</v>
      </c>
      <c r="P19" s="14">
        <f t="shared" si="2"/>
        <v>1244.9258799999998</v>
      </c>
      <c r="Q19" s="14">
        <f t="shared" si="3"/>
        <v>1584.4511200000002</v>
      </c>
      <c r="R19" s="14">
        <f t="shared" si="4"/>
        <v>1923.9763600000001</v>
      </c>
      <c r="S19" s="5"/>
      <c r="T19" s="5"/>
      <c r="U19" s="5"/>
      <c r="V19" s="5"/>
    </row>
    <row r="20" spans="1:26" s="2" customFormat="1" ht="41.45" hidden="1" x14ac:dyDescent="0.25">
      <c r="A20" s="1">
        <v>15</v>
      </c>
      <c r="B20" s="33" t="s">
        <v>38</v>
      </c>
      <c r="C20" s="1" t="s">
        <v>14</v>
      </c>
      <c r="D20" s="14">
        <v>2</v>
      </c>
      <c r="E20" s="14">
        <v>2</v>
      </c>
      <c r="F20" s="14">
        <v>3</v>
      </c>
      <c r="G20" s="14">
        <v>5</v>
      </c>
      <c r="H20" s="14">
        <v>5</v>
      </c>
      <c r="I20" s="14">
        <v>276377.43599999999</v>
      </c>
      <c r="J20" s="14">
        <v>368267.848</v>
      </c>
      <c r="K20" s="14">
        <v>506368.29100000003</v>
      </c>
      <c r="L20" s="14">
        <v>644468.73399999994</v>
      </c>
      <c r="M20" s="14">
        <v>782569.17700000003</v>
      </c>
      <c r="N20" s="14">
        <f t="shared" si="0"/>
        <v>552.75487199999998</v>
      </c>
      <c r="O20" s="14">
        <f t="shared" si="1"/>
        <v>736.53569600000003</v>
      </c>
      <c r="P20" s="14">
        <f t="shared" si="2"/>
        <v>1519.1048730000002</v>
      </c>
      <c r="Q20" s="14">
        <f t="shared" si="3"/>
        <v>3222.3436699999997</v>
      </c>
      <c r="R20" s="14">
        <f t="shared" si="4"/>
        <v>3912.8458850000002</v>
      </c>
      <c r="S20" s="5"/>
      <c r="T20" s="5"/>
      <c r="U20" s="5"/>
      <c r="V20" s="5"/>
    </row>
    <row r="21" spans="1:26" s="2" customFormat="1" ht="41.45" hidden="1" x14ac:dyDescent="0.25">
      <c r="A21" s="1">
        <v>16</v>
      </c>
      <c r="B21" s="33" t="s">
        <v>39</v>
      </c>
      <c r="C21" s="1" t="s">
        <v>14</v>
      </c>
      <c r="D21" s="14">
        <v>75</v>
      </c>
      <c r="E21" s="14">
        <v>109</v>
      </c>
      <c r="F21" s="14">
        <v>124</v>
      </c>
      <c r="G21" s="14">
        <v>126</v>
      </c>
      <c r="H21" s="14">
        <v>126</v>
      </c>
      <c r="I21" s="14">
        <v>182311.755</v>
      </c>
      <c r="J21" s="14">
        <v>243681.908</v>
      </c>
      <c r="K21" s="14">
        <v>335062.62349999999</v>
      </c>
      <c r="L21" s="14">
        <v>426443.33899999998</v>
      </c>
      <c r="M21" s="14">
        <v>517824.05450000003</v>
      </c>
      <c r="N21" s="14">
        <f t="shared" si="0"/>
        <v>13673.381625</v>
      </c>
      <c r="O21" s="14">
        <f t="shared" si="1"/>
        <v>26561.327971999999</v>
      </c>
      <c r="P21" s="14">
        <f t="shared" si="2"/>
        <v>41547.765313999997</v>
      </c>
      <c r="Q21" s="14">
        <f t="shared" si="3"/>
        <v>53731.860713999995</v>
      </c>
      <c r="R21" s="14">
        <f t="shared" si="4"/>
        <v>65245.830867000004</v>
      </c>
      <c r="S21" s="5"/>
      <c r="T21" s="5"/>
      <c r="U21" s="5"/>
      <c r="V21" s="5"/>
    </row>
    <row r="22" spans="1:26" s="2" customFormat="1" ht="41.45" hidden="1" x14ac:dyDescent="0.25">
      <c r="A22" s="1">
        <v>17</v>
      </c>
      <c r="B22" s="33" t="s">
        <v>40</v>
      </c>
      <c r="C22" s="1" t="s">
        <v>14</v>
      </c>
      <c r="D22" s="14">
        <v>125</v>
      </c>
      <c r="E22" s="14">
        <v>113</v>
      </c>
      <c r="F22" s="14">
        <v>110</v>
      </c>
      <c r="G22" s="14">
        <v>110</v>
      </c>
      <c r="H22" s="14">
        <v>110</v>
      </c>
      <c r="I22" s="14">
        <v>38355.851999999999</v>
      </c>
      <c r="J22" s="14">
        <v>51196.167999999998</v>
      </c>
      <c r="K22" s="14">
        <v>70394.731</v>
      </c>
      <c r="L22" s="14">
        <v>89593.294000000009</v>
      </c>
      <c r="M22" s="14">
        <v>108791.85699999999</v>
      </c>
      <c r="N22" s="14">
        <f t="shared" si="0"/>
        <v>4794.4814999999999</v>
      </c>
      <c r="O22" s="14">
        <f t="shared" si="1"/>
        <v>5785.1669840000004</v>
      </c>
      <c r="P22" s="14">
        <f t="shared" si="2"/>
        <v>7743.4204099999997</v>
      </c>
      <c r="Q22" s="14">
        <f t="shared" si="3"/>
        <v>9855.2623400000011</v>
      </c>
      <c r="R22" s="14">
        <f t="shared" si="4"/>
        <v>11967.10427</v>
      </c>
      <c r="S22" s="5"/>
      <c r="T22" s="5"/>
      <c r="U22" s="5"/>
      <c r="V22" s="5"/>
    </row>
    <row r="23" spans="1:26" s="2" customFormat="1" ht="41.45" hidden="1" x14ac:dyDescent="0.25">
      <c r="A23" s="1">
        <v>18</v>
      </c>
      <c r="B23" s="33" t="s">
        <v>54</v>
      </c>
      <c r="C23" s="1" t="s">
        <v>14</v>
      </c>
      <c r="D23" s="14">
        <v>0</v>
      </c>
      <c r="E23" s="14">
        <v>94</v>
      </c>
      <c r="F23" s="14">
        <v>94</v>
      </c>
      <c r="G23" s="14">
        <v>94</v>
      </c>
      <c r="H23" s="14">
        <v>94</v>
      </c>
      <c r="I23" s="14" t="s">
        <v>58</v>
      </c>
      <c r="J23" s="14">
        <v>286951.28399999999</v>
      </c>
      <c r="K23" s="14">
        <v>394558.01549999998</v>
      </c>
      <c r="L23" s="14">
        <v>502164.74699999997</v>
      </c>
      <c r="M23" s="14">
        <v>609771.47849999997</v>
      </c>
      <c r="N23" s="14">
        <v>0</v>
      </c>
      <c r="O23" s="14">
        <f t="shared" si="1"/>
        <v>26973.420695999997</v>
      </c>
      <c r="P23" s="14">
        <f t="shared" si="2"/>
        <v>37088.453456999996</v>
      </c>
      <c r="Q23" s="14">
        <f t="shared" si="3"/>
        <v>47203.486217999998</v>
      </c>
      <c r="R23" s="14">
        <f t="shared" si="4"/>
        <v>57318.518978999993</v>
      </c>
      <c r="S23" s="5"/>
      <c r="T23" s="5"/>
      <c r="U23" s="5"/>
      <c r="V23" s="5"/>
    </row>
    <row r="24" spans="1:26" s="2" customFormat="1" ht="27.6" hidden="1" x14ac:dyDescent="0.25">
      <c r="A24" s="1">
        <v>19</v>
      </c>
      <c r="B24" s="33" t="s">
        <v>55</v>
      </c>
      <c r="C24" s="1" t="s">
        <v>14</v>
      </c>
      <c r="D24" s="14">
        <v>0</v>
      </c>
      <c r="E24" s="14">
        <v>156</v>
      </c>
      <c r="F24" s="14">
        <v>156</v>
      </c>
      <c r="G24" s="14">
        <v>156</v>
      </c>
      <c r="H24" s="14">
        <v>156</v>
      </c>
      <c r="I24" s="14" t="s">
        <v>58</v>
      </c>
      <c r="J24" s="14">
        <v>70919.583999999988</v>
      </c>
      <c r="K24" s="14">
        <v>97514.427999999985</v>
      </c>
      <c r="L24" s="14">
        <v>124109.272</v>
      </c>
      <c r="M24" s="14">
        <v>150704.11600000001</v>
      </c>
      <c r="N24" s="14">
        <v>0</v>
      </c>
      <c r="O24" s="14">
        <f t="shared" si="1"/>
        <v>11063.455103999999</v>
      </c>
      <c r="P24" s="14">
        <f t="shared" si="2"/>
        <v>15212.250767999998</v>
      </c>
      <c r="Q24" s="14">
        <f t="shared" si="3"/>
        <v>19361.046431999999</v>
      </c>
      <c r="R24" s="14">
        <f t="shared" si="4"/>
        <v>23509.842096</v>
      </c>
      <c r="S24" s="5"/>
      <c r="T24" s="5"/>
      <c r="U24" s="5"/>
      <c r="V24" s="5"/>
    </row>
    <row r="25" spans="1:26" s="2" customFormat="1" ht="55.15" hidden="1" x14ac:dyDescent="0.25">
      <c r="A25" s="1">
        <v>20</v>
      </c>
      <c r="B25" s="33" t="s">
        <v>48</v>
      </c>
      <c r="C25" s="1" t="s">
        <v>16</v>
      </c>
      <c r="D25" s="14">
        <v>30</v>
      </c>
      <c r="E25" s="14">
        <v>34</v>
      </c>
      <c r="F25" s="14">
        <v>34</v>
      </c>
      <c r="G25" s="14">
        <v>34</v>
      </c>
      <c r="H25" s="14">
        <v>34</v>
      </c>
      <c r="I25" s="14" t="s">
        <v>58</v>
      </c>
      <c r="J25" s="14" t="s">
        <v>58</v>
      </c>
      <c r="K25" s="14" t="s">
        <v>58</v>
      </c>
      <c r="L25" s="14" t="s">
        <v>58</v>
      </c>
      <c r="M25" s="14" t="s">
        <v>58</v>
      </c>
      <c r="N25" s="14">
        <v>5599.6127000000006</v>
      </c>
      <c r="O25" s="14">
        <v>7619.2595600000004</v>
      </c>
      <c r="P25" s="14">
        <v>7924.0299423999995</v>
      </c>
      <c r="Q25" s="14">
        <v>8240.9911400960009</v>
      </c>
      <c r="R25" s="14">
        <v>8570.630785699841</v>
      </c>
      <c r="S25" s="7"/>
      <c r="T25" s="7"/>
      <c r="U25" s="7"/>
      <c r="V25" s="7"/>
      <c r="W25" s="6"/>
      <c r="X25" s="6"/>
      <c r="Y25" s="6"/>
      <c r="Z25" s="6"/>
    </row>
    <row r="26" spans="1:26" s="2" customFormat="1" ht="55.15" hidden="1" x14ac:dyDescent="0.25">
      <c r="A26" s="1">
        <v>21</v>
      </c>
      <c r="B26" s="33" t="s">
        <v>34</v>
      </c>
      <c r="C26" s="1" t="s">
        <v>16</v>
      </c>
      <c r="D26" s="14">
        <v>4</v>
      </c>
      <c r="E26" s="14">
        <v>12</v>
      </c>
      <c r="F26" s="14">
        <v>12</v>
      </c>
      <c r="G26" s="14">
        <v>12</v>
      </c>
      <c r="H26" s="14">
        <v>12</v>
      </c>
      <c r="I26" s="14" t="s">
        <v>58</v>
      </c>
      <c r="J26" s="14" t="s">
        <v>58</v>
      </c>
      <c r="K26" s="14" t="s">
        <v>58</v>
      </c>
      <c r="L26" s="14" t="s">
        <v>58</v>
      </c>
      <c r="M26" s="14" t="s">
        <v>58</v>
      </c>
      <c r="N26" s="14">
        <v>451.72270000000003</v>
      </c>
      <c r="O26" s="14">
        <v>1602.4492</v>
      </c>
      <c r="P26" s="14">
        <v>1666.5471680000001</v>
      </c>
      <c r="Q26" s="14">
        <v>1733.20905472</v>
      </c>
      <c r="R26" s="14">
        <v>1802.5374169088</v>
      </c>
      <c r="S26" s="7"/>
      <c r="T26" s="7"/>
      <c r="U26" s="7"/>
      <c r="V26" s="7"/>
      <c r="W26" s="6"/>
      <c r="X26" s="6"/>
      <c r="Y26" s="6"/>
    </row>
    <row r="27" spans="1:26" s="2" customFormat="1" ht="41.45" hidden="1" x14ac:dyDescent="0.25">
      <c r="A27" s="1">
        <v>22</v>
      </c>
      <c r="B27" s="33" t="s">
        <v>17</v>
      </c>
      <c r="C27" s="1" t="s">
        <v>16</v>
      </c>
      <c r="D27" s="14">
        <v>378</v>
      </c>
      <c r="E27" s="14">
        <v>345</v>
      </c>
      <c r="F27" s="14">
        <v>340</v>
      </c>
      <c r="G27" s="14">
        <v>340</v>
      </c>
      <c r="H27" s="14">
        <v>340</v>
      </c>
      <c r="I27" s="14" t="s">
        <v>58</v>
      </c>
      <c r="J27" s="14" t="s">
        <v>58</v>
      </c>
      <c r="K27" s="14" t="s">
        <v>58</v>
      </c>
      <c r="L27" s="14" t="s">
        <v>58</v>
      </c>
      <c r="M27" s="14" t="s">
        <v>58</v>
      </c>
      <c r="N27" s="14">
        <v>44910.083869999995</v>
      </c>
      <c r="O27" s="14">
        <v>68854.593639999992</v>
      </c>
      <c r="P27" s="14">
        <v>70570.96901769274</v>
      </c>
      <c r="Q27" s="14">
        <v>73393.807778400456</v>
      </c>
      <c r="R27" s="14">
        <v>76329.560089536477</v>
      </c>
      <c r="S27" s="7"/>
      <c r="T27" s="7"/>
      <c r="U27" s="7"/>
      <c r="V27" s="7"/>
      <c r="W27" s="6"/>
      <c r="X27" s="6"/>
      <c r="Y27" s="6"/>
    </row>
    <row r="28" spans="1:26" s="2" customFormat="1" ht="41.45" hidden="1" x14ac:dyDescent="0.25">
      <c r="A28" s="1">
        <v>23</v>
      </c>
      <c r="B28" s="33" t="s">
        <v>42</v>
      </c>
      <c r="C28" s="1" t="s">
        <v>16</v>
      </c>
      <c r="D28" s="14">
        <v>65</v>
      </c>
      <c r="E28" s="14">
        <v>59</v>
      </c>
      <c r="F28" s="14">
        <v>52</v>
      </c>
      <c r="G28" s="14">
        <v>52</v>
      </c>
      <c r="H28" s="14">
        <v>52</v>
      </c>
      <c r="I28" s="14" t="s">
        <v>58</v>
      </c>
      <c r="J28" s="14" t="s">
        <v>58</v>
      </c>
      <c r="K28" s="14" t="s">
        <v>58</v>
      </c>
      <c r="L28" s="14" t="s">
        <v>58</v>
      </c>
      <c r="M28" s="14" t="s">
        <v>58</v>
      </c>
      <c r="N28" s="14">
        <v>7478.7225899999994</v>
      </c>
      <c r="O28" s="14">
        <v>11653.554759999999</v>
      </c>
      <c r="P28" s="14">
        <v>10681.766803742372</v>
      </c>
      <c r="Q28" s="14">
        <v>11109.037475892066</v>
      </c>
      <c r="R28" s="14">
        <v>11553.398974927748</v>
      </c>
      <c r="S28" s="7"/>
      <c r="T28" s="7"/>
      <c r="U28" s="7"/>
      <c r="V28" s="7"/>
      <c r="W28" s="6"/>
      <c r="X28" s="6"/>
      <c r="Y28" s="6"/>
    </row>
    <row r="29" spans="1:26" s="2" customFormat="1" ht="41.45" hidden="1" x14ac:dyDescent="0.25">
      <c r="A29" s="1">
        <v>24</v>
      </c>
      <c r="B29" s="33" t="s">
        <v>18</v>
      </c>
      <c r="C29" s="1" t="s">
        <v>16</v>
      </c>
      <c r="D29" s="14">
        <v>64</v>
      </c>
      <c r="E29" s="14">
        <v>59</v>
      </c>
      <c r="F29" s="14">
        <v>59</v>
      </c>
      <c r="G29" s="14">
        <v>59</v>
      </c>
      <c r="H29" s="14">
        <v>59</v>
      </c>
      <c r="I29" s="14" t="s">
        <v>58</v>
      </c>
      <c r="J29" s="14" t="s">
        <v>58</v>
      </c>
      <c r="K29" s="14" t="s">
        <v>58</v>
      </c>
      <c r="L29" s="14" t="s">
        <v>58</v>
      </c>
      <c r="M29" s="14" t="s">
        <v>58</v>
      </c>
      <c r="N29" s="14">
        <v>8591.1547399999999</v>
      </c>
      <c r="O29" s="14">
        <v>16419.745340000001</v>
      </c>
      <c r="P29" s="14">
        <v>17076.535153600002</v>
      </c>
      <c r="Q29" s="14">
        <v>17759.596559744001</v>
      </c>
      <c r="R29" s="14">
        <v>18469.980422133758</v>
      </c>
      <c r="S29" s="7"/>
      <c r="T29" s="7"/>
      <c r="U29" s="7"/>
      <c r="V29" s="7"/>
      <c r="W29" s="6"/>
      <c r="X29" s="6"/>
      <c r="Y29" s="6"/>
    </row>
    <row r="30" spans="1:26" s="2" customFormat="1" ht="27.6" hidden="1" x14ac:dyDescent="0.25">
      <c r="A30" s="1">
        <v>25</v>
      </c>
      <c r="B30" s="33" t="s">
        <v>49</v>
      </c>
      <c r="C30" s="1" t="s">
        <v>16</v>
      </c>
      <c r="D30" s="14">
        <v>1827</v>
      </c>
      <c r="E30" s="14">
        <v>5</v>
      </c>
      <c r="F30" s="14">
        <v>5</v>
      </c>
      <c r="G30" s="14">
        <v>5</v>
      </c>
      <c r="H30" s="14">
        <v>5</v>
      </c>
      <c r="I30" s="14" t="s">
        <v>58</v>
      </c>
      <c r="J30" s="14" t="s">
        <v>58</v>
      </c>
      <c r="K30" s="14" t="s">
        <v>58</v>
      </c>
      <c r="L30" s="14" t="s">
        <v>58</v>
      </c>
      <c r="M30" s="14" t="s">
        <v>58</v>
      </c>
      <c r="N30" s="14">
        <v>75584.3</v>
      </c>
      <c r="O30" s="14">
        <v>3214.9300000000003</v>
      </c>
      <c r="P30" s="14">
        <v>3343.5272000000004</v>
      </c>
      <c r="Q30" s="14">
        <v>3477.2682880000002</v>
      </c>
      <c r="R30" s="14">
        <v>3616.3590195200004</v>
      </c>
      <c r="S30" s="7"/>
      <c r="T30" s="7"/>
      <c r="U30" s="7"/>
      <c r="V30" s="7"/>
      <c r="W30" s="6"/>
      <c r="X30" s="6"/>
      <c r="Y30" s="6"/>
    </row>
    <row r="31" spans="1:26" s="2" customFormat="1" ht="41.45" hidden="1" x14ac:dyDescent="0.25">
      <c r="A31" s="1">
        <v>26</v>
      </c>
      <c r="B31" s="33" t="s">
        <v>46</v>
      </c>
      <c r="C31" s="1" t="s">
        <v>16</v>
      </c>
      <c r="D31" s="14">
        <v>14</v>
      </c>
      <c r="E31" s="14">
        <v>12</v>
      </c>
      <c r="F31" s="14">
        <v>12</v>
      </c>
      <c r="G31" s="14">
        <v>12</v>
      </c>
      <c r="H31" s="14">
        <v>12</v>
      </c>
      <c r="I31" s="14" t="s">
        <v>58</v>
      </c>
      <c r="J31" s="14" t="s">
        <v>58</v>
      </c>
      <c r="K31" s="14" t="s">
        <v>58</v>
      </c>
      <c r="L31" s="14" t="s">
        <v>58</v>
      </c>
      <c r="M31" s="14" t="s">
        <v>58</v>
      </c>
      <c r="N31" s="14">
        <v>1832.6</v>
      </c>
      <c r="O31" s="14">
        <v>2334.64</v>
      </c>
      <c r="P31" s="14">
        <v>2428.0255999999995</v>
      </c>
      <c r="Q31" s="14">
        <v>2525.146624</v>
      </c>
      <c r="R31" s="14">
        <v>2626.1524889599996</v>
      </c>
      <c r="S31" s="7"/>
      <c r="T31" s="7"/>
      <c r="U31" s="7"/>
      <c r="V31" s="7"/>
      <c r="W31" s="6"/>
      <c r="X31" s="6"/>
      <c r="Y31" s="6"/>
    </row>
    <row r="32" spans="1:26" s="2" customFormat="1" ht="27.6" hidden="1" x14ac:dyDescent="0.25">
      <c r="A32" s="1">
        <v>27</v>
      </c>
      <c r="B32" s="33" t="s">
        <v>43</v>
      </c>
      <c r="C32" s="1" t="s">
        <v>16</v>
      </c>
      <c r="D32" s="14">
        <v>7</v>
      </c>
      <c r="E32" s="14">
        <v>5</v>
      </c>
      <c r="F32" s="14">
        <v>6</v>
      </c>
      <c r="G32" s="14">
        <v>6</v>
      </c>
      <c r="H32" s="14">
        <v>6</v>
      </c>
      <c r="I32" s="14" t="s">
        <v>58</v>
      </c>
      <c r="J32" s="14" t="s">
        <v>58</v>
      </c>
      <c r="K32" s="14" t="s">
        <v>58</v>
      </c>
      <c r="L32" s="14" t="s">
        <v>58</v>
      </c>
      <c r="M32" s="14" t="s">
        <v>58</v>
      </c>
      <c r="N32" s="14">
        <v>6356.97577</v>
      </c>
      <c r="O32" s="14">
        <v>1410.8813</v>
      </c>
      <c r="P32" s="14">
        <v>1760.7798624000002</v>
      </c>
      <c r="Q32" s="14">
        <v>1831.2110568960002</v>
      </c>
      <c r="R32" s="14">
        <v>1904.45949917184</v>
      </c>
      <c r="S32" s="7"/>
      <c r="T32" s="7"/>
      <c r="U32" s="7"/>
      <c r="V32" s="7"/>
      <c r="W32" s="6"/>
      <c r="X32" s="6"/>
      <c r="Y32" s="6"/>
    </row>
    <row r="33" spans="1:25" s="2" customFormat="1" ht="27.6" hidden="1" x14ac:dyDescent="0.25">
      <c r="A33" s="1">
        <v>28</v>
      </c>
      <c r="B33" s="33" t="s">
        <v>44</v>
      </c>
      <c r="C33" s="1" t="s">
        <v>16</v>
      </c>
      <c r="D33" s="14">
        <v>4</v>
      </c>
      <c r="E33" s="14">
        <v>15</v>
      </c>
      <c r="F33" s="14">
        <v>15</v>
      </c>
      <c r="G33" s="14">
        <v>15</v>
      </c>
      <c r="H33" s="14">
        <v>15</v>
      </c>
      <c r="I33" s="14" t="s">
        <v>58</v>
      </c>
      <c r="J33" s="14" t="s">
        <v>58</v>
      </c>
      <c r="K33" s="14" t="s">
        <v>58</v>
      </c>
      <c r="L33" s="14" t="s">
        <v>58</v>
      </c>
      <c r="M33" s="14" t="s">
        <v>58</v>
      </c>
      <c r="N33" s="14">
        <v>163.6</v>
      </c>
      <c r="O33" s="14">
        <v>2530.3454000000002</v>
      </c>
      <c r="P33" s="14">
        <v>2631.5592160000001</v>
      </c>
      <c r="Q33" s="14">
        <v>2736.8215846400003</v>
      </c>
      <c r="R33" s="14">
        <v>2846.2944480256001</v>
      </c>
      <c r="S33" s="7"/>
      <c r="T33" s="7"/>
      <c r="U33" s="7"/>
      <c r="V33" s="7"/>
      <c r="W33" s="6"/>
      <c r="X33" s="6"/>
      <c r="Y33" s="6"/>
    </row>
    <row r="34" spans="1:25" s="2" customFormat="1" ht="27.6" hidden="1" x14ac:dyDescent="0.25">
      <c r="A34" s="1">
        <v>29</v>
      </c>
      <c r="B34" s="33" t="s">
        <v>22</v>
      </c>
      <c r="C34" s="1" t="s">
        <v>16</v>
      </c>
      <c r="D34" s="14">
        <v>274</v>
      </c>
      <c r="E34" s="14">
        <v>347</v>
      </c>
      <c r="F34" s="14">
        <v>345</v>
      </c>
      <c r="G34" s="14">
        <v>345</v>
      </c>
      <c r="H34" s="14">
        <v>345</v>
      </c>
      <c r="I34" s="14" t="s">
        <v>58</v>
      </c>
      <c r="J34" s="14" t="s">
        <v>58</v>
      </c>
      <c r="K34" s="14" t="s">
        <v>58</v>
      </c>
      <c r="L34" s="14" t="s">
        <v>58</v>
      </c>
      <c r="M34" s="14" t="s">
        <v>58</v>
      </c>
      <c r="N34" s="14">
        <v>25146.114999999998</v>
      </c>
      <c r="O34" s="14">
        <v>60442.121549999996</v>
      </c>
      <c r="P34" s="14">
        <v>62497.502052276657</v>
      </c>
      <c r="Q34" s="14">
        <v>64997.402134367723</v>
      </c>
      <c r="R34" s="14">
        <v>67597.298219742428</v>
      </c>
      <c r="S34" s="7"/>
      <c r="T34" s="7"/>
      <c r="U34" s="7"/>
      <c r="V34" s="7"/>
      <c r="W34" s="6"/>
      <c r="X34" s="6"/>
      <c r="Y34" s="6"/>
    </row>
    <row r="35" spans="1:25" s="2" customFormat="1" ht="27.6" hidden="1" x14ac:dyDescent="0.25">
      <c r="A35" s="1">
        <v>30</v>
      </c>
      <c r="B35" s="33" t="s">
        <v>21</v>
      </c>
      <c r="C35" s="1" t="s">
        <v>16</v>
      </c>
      <c r="D35" s="14">
        <v>27</v>
      </c>
      <c r="E35" s="14">
        <v>31</v>
      </c>
      <c r="F35" s="14">
        <v>33</v>
      </c>
      <c r="G35" s="14">
        <v>33</v>
      </c>
      <c r="H35" s="14">
        <v>33</v>
      </c>
      <c r="I35" s="14" t="s">
        <v>58</v>
      </c>
      <c r="J35" s="14" t="s">
        <v>58</v>
      </c>
      <c r="K35" s="14" t="s">
        <v>58</v>
      </c>
      <c r="L35" s="14" t="s">
        <v>58</v>
      </c>
      <c r="M35" s="14" t="s">
        <v>58</v>
      </c>
      <c r="N35" s="14">
        <v>3792.4445999999998</v>
      </c>
      <c r="O35" s="14">
        <v>5643.69679</v>
      </c>
      <c r="P35" s="14">
        <v>6248.1185107354841</v>
      </c>
      <c r="Q35" s="14">
        <v>6498.0432511649033</v>
      </c>
      <c r="R35" s="14">
        <v>6757.9649812114985</v>
      </c>
      <c r="S35" s="7"/>
      <c r="T35" s="7"/>
      <c r="U35" s="7"/>
      <c r="V35" s="7"/>
      <c r="W35" s="6"/>
      <c r="X35" s="6"/>
      <c r="Y35" s="6"/>
    </row>
    <row r="36" spans="1:25" s="2" customFormat="1" ht="27.6" hidden="1" x14ac:dyDescent="0.25">
      <c r="A36" s="1">
        <v>31</v>
      </c>
      <c r="B36" s="33" t="s">
        <v>20</v>
      </c>
      <c r="C36" s="1" t="s">
        <v>16</v>
      </c>
      <c r="D36" s="14">
        <v>40</v>
      </c>
      <c r="E36" s="14">
        <v>56</v>
      </c>
      <c r="F36" s="14">
        <v>56</v>
      </c>
      <c r="G36" s="14">
        <v>56</v>
      </c>
      <c r="H36" s="14">
        <v>56</v>
      </c>
      <c r="I36" s="14" t="s">
        <v>58</v>
      </c>
      <c r="J36" s="14" t="s">
        <v>58</v>
      </c>
      <c r="K36" s="14" t="s">
        <v>58</v>
      </c>
      <c r="L36" s="14" t="s">
        <v>58</v>
      </c>
      <c r="M36" s="14" t="s">
        <v>58</v>
      </c>
      <c r="N36" s="14">
        <v>6257.4646299999995</v>
      </c>
      <c r="O36" s="14">
        <v>10980.761259999999</v>
      </c>
      <c r="P36" s="14">
        <v>11419.9917104</v>
      </c>
      <c r="Q36" s="14">
        <v>11876.791378815999</v>
      </c>
      <c r="R36" s="14">
        <v>12351.863033968639</v>
      </c>
      <c r="S36" s="7"/>
      <c r="T36" s="7"/>
      <c r="U36" s="7"/>
      <c r="V36" s="7"/>
      <c r="W36" s="6"/>
      <c r="X36" s="6"/>
      <c r="Y36" s="6"/>
    </row>
    <row r="37" spans="1:25" s="2" customFormat="1" ht="41.45" hidden="1" x14ac:dyDescent="0.25">
      <c r="A37" s="1">
        <v>32</v>
      </c>
      <c r="B37" s="33" t="s">
        <v>47</v>
      </c>
      <c r="C37" s="1" t="s">
        <v>16</v>
      </c>
      <c r="D37" s="14">
        <v>14</v>
      </c>
      <c r="E37" s="14">
        <v>0</v>
      </c>
      <c r="F37" s="14">
        <v>0</v>
      </c>
      <c r="G37" s="14">
        <v>0</v>
      </c>
      <c r="H37" s="14">
        <v>0</v>
      </c>
      <c r="I37" s="14" t="s">
        <v>58</v>
      </c>
      <c r="J37" s="14" t="s">
        <v>58</v>
      </c>
      <c r="K37" s="14" t="s">
        <v>58</v>
      </c>
      <c r="L37" s="14" t="s">
        <v>58</v>
      </c>
      <c r="M37" s="14" t="s">
        <v>58</v>
      </c>
      <c r="N37" s="14">
        <v>572.6</v>
      </c>
      <c r="O37" s="14">
        <v>0</v>
      </c>
      <c r="P37" s="14">
        <v>0</v>
      </c>
      <c r="Q37" s="14">
        <v>0</v>
      </c>
      <c r="R37" s="14">
        <v>0</v>
      </c>
      <c r="S37" s="7"/>
      <c r="T37" s="7"/>
      <c r="U37" s="7"/>
      <c r="V37" s="7"/>
      <c r="W37" s="6"/>
      <c r="X37" s="6"/>
      <c r="Y37" s="6"/>
    </row>
    <row r="38" spans="1:25" s="2" customFormat="1" ht="55.15" hidden="1" x14ac:dyDescent="0.25">
      <c r="A38" s="1">
        <v>33</v>
      </c>
      <c r="B38" s="33" t="s">
        <v>32</v>
      </c>
      <c r="C38" s="1" t="s">
        <v>16</v>
      </c>
      <c r="D38" s="14">
        <v>4</v>
      </c>
      <c r="E38" s="14">
        <v>0</v>
      </c>
      <c r="F38" s="14">
        <v>0</v>
      </c>
      <c r="G38" s="14">
        <v>0</v>
      </c>
      <c r="H38" s="14">
        <v>0</v>
      </c>
      <c r="I38" s="14" t="s">
        <v>58</v>
      </c>
      <c r="J38" s="14" t="s">
        <v>58</v>
      </c>
      <c r="K38" s="14" t="s">
        <v>58</v>
      </c>
      <c r="L38" s="14" t="s">
        <v>58</v>
      </c>
      <c r="M38" s="14" t="s">
        <v>58</v>
      </c>
      <c r="N38" s="14">
        <v>163.6</v>
      </c>
      <c r="O38" s="14">
        <v>0</v>
      </c>
      <c r="P38" s="14">
        <v>0</v>
      </c>
      <c r="Q38" s="14">
        <v>0</v>
      </c>
      <c r="R38" s="14">
        <v>0</v>
      </c>
      <c r="S38" s="7"/>
      <c r="T38" s="7"/>
      <c r="U38" s="7"/>
      <c r="V38" s="7"/>
      <c r="W38" s="6"/>
      <c r="X38" s="6"/>
      <c r="Y38" s="6"/>
    </row>
    <row r="39" spans="1:25" s="2" customFormat="1" ht="82.9" hidden="1" x14ac:dyDescent="0.25">
      <c r="A39" s="1">
        <v>34</v>
      </c>
      <c r="B39" s="33" t="s">
        <v>52</v>
      </c>
      <c r="C39" s="1" t="s">
        <v>16</v>
      </c>
      <c r="D39" s="14">
        <v>7</v>
      </c>
      <c r="E39" s="14">
        <v>11</v>
      </c>
      <c r="F39" s="14">
        <v>11</v>
      </c>
      <c r="G39" s="14">
        <v>11</v>
      </c>
      <c r="H39" s="14">
        <v>11</v>
      </c>
      <c r="I39" s="14" t="s">
        <v>58</v>
      </c>
      <c r="J39" s="14" t="s">
        <v>58</v>
      </c>
      <c r="K39" s="14" t="s">
        <v>58</v>
      </c>
      <c r="L39" s="14" t="s">
        <v>58</v>
      </c>
      <c r="M39" s="14" t="s">
        <v>58</v>
      </c>
      <c r="N39" s="14">
        <v>1486.3</v>
      </c>
      <c r="O39" s="14">
        <v>6288.2764800000004</v>
      </c>
      <c r="P39" s="14">
        <v>6539.8075392000019</v>
      </c>
      <c r="Q39" s="14">
        <v>6801.3998407680019</v>
      </c>
      <c r="R39" s="14">
        <v>7073.4558343987219</v>
      </c>
      <c r="S39" s="7"/>
      <c r="T39" s="7"/>
      <c r="U39" s="7"/>
      <c r="V39" s="7"/>
      <c r="W39" s="6"/>
      <c r="X39" s="6"/>
      <c r="Y39" s="6"/>
    </row>
    <row r="40" spans="1:25" s="2" customFormat="1" ht="27.6" hidden="1" x14ac:dyDescent="0.25">
      <c r="A40" s="1">
        <v>35</v>
      </c>
      <c r="B40" s="33" t="s">
        <v>15</v>
      </c>
      <c r="C40" s="1" t="s">
        <v>16</v>
      </c>
      <c r="D40" s="14">
        <v>190</v>
      </c>
      <c r="E40" s="14">
        <v>194</v>
      </c>
      <c r="F40" s="14">
        <v>194</v>
      </c>
      <c r="G40" s="14">
        <v>194</v>
      </c>
      <c r="H40" s="14">
        <v>194</v>
      </c>
      <c r="I40" s="14" t="s">
        <v>58</v>
      </c>
      <c r="J40" s="14" t="s">
        <v>58</v>
      </c>
      <c r="K40" s="14" t="s">
        <v>58</v>
      </c>
      <c r="L40" s="14" t="s">
        <v>58</v>
      </c>
      <c r="M40" s="14" t="s">
        <v>58</v>
      </c>
      <c r="N40" s="14">
        <v>30760.555899999999</v>
      </c>
      <c r="O40" s="14">
        <v>43074.041980000002</v>
      </c>
      <c r="P40" s="14">
        <v>44797.003659200003</v>
      </c>
      <c r="Q40" s="14">
        <v>46588.883805568003</v>
      </c>
      <c r="R40" s="14">
        <v>48452.439157790723</v>
      </c>
      <c r="S40" s="7"/>
      <c r="T40" s="7"/>
      <c r="U40" s="7"/>
      <c r="V40" s="7"/>
      <c r="W40" s="6"/>
      <c r="X40" s="6"/>
      <c r="Y40" s="6"/>
    </row>
    <row r="41" spans="1:25" s="2" customFormat="1" ht="41.45" hidden="1" x14ac:dyDescent="0.25">
      <c r="A41" s="1">
        <v>36</v>
      </c>
      <c r="B41" s="33" t="s">
        <v>19</v>
      </c>
      <c r="C41" s="1" t="s">
        <v>16</v>
      </c>
      <c r="D41" s="14">
        <v>65</v>
      </c>
      <c r="E41" s="14">
        <v>84</v>
      </c>
      <c r="F41" s="14">
        <v>81</v>
      </c>
      <c r="G41" s="14">
        <v>81</v>
      </c>
      <c r="H41" s="14">
        <v>81</v>
      </c>
      <c r="I41" s="14" t="s">
        <v>58</v>
      </c>
      <c r="J41" s="14" t="s">
        <v>58</v>
      </c>
      <c r="K41" s="14" t="s">
        <v>58</v>
      </c>
      <c r="L41" s="14" t="s">
        <v>58</v>
      </c>
      <c r="M41" s="14" t="s">
        <v>58</v>
      </c>
      <c r="N41" s="14">
        <v>6483.5103600000002</v>
      </c>
      <c r="O41" s="14">
        <v>23081.58152</v>
      </c>
      <c r="P41" s="14">
        <v>23147.528895771429</v>
      </c>
      <c r="Q41" s="14">
        <v>24073.430051602285</v>
      </c>
      <c r="R41" s="14">
        <v>25036.367253666376</v>
      </c>
      <c r="S41" s="7"/>
      <c r="T41" s="7"/>
      <c r="U41" s="7"/>
      <c r="V41" s="7"/>
      <c r="W41" s="6"/>
      <c r="X41" s="6"/>
      <c r="Y41" s="6"/>
    </row>
    <row r="42" spans="1:25" s="2" customFormat="1" ht="41.45" hidden="1" x14ac:dyDescent="0.25">
      <c r="A42" s="1">
        <v>37</v>
      </c>
      <c r="B42" s="33" t="s">
        <v>45</v>
      </c>
      <c r="C42" s="1" t="s">
        <v>16</v>
      </c>
      <c r="D42" s="14">
        <v>8</v>
      </c>
      <c r="E42" s="14">
        <v>36</v>
      </c>
      <c r="F42" s="14">
        <v>33</v>
      </c>
      <c r="G42" s="14">
        <v>33</v>
      </c>
      <c r="H42" s="14">
        <v>33</v>
      </c>
      <c r="I42" s="14" t="s">
        <v>58</v>
      </c>
      <c r="J42" s="14" t="s">
        <v>58</v>
      </c>
      <c r="K42" s="14" t="s">
        <v>58</v>
      </c>
      <c r="L42" s="14" t="s">
        <v>58</v>
      </c>
      <c r="M42" s="14" t="s">
        <v>58</v>
      </c>
      <c r="N42" s="14">
        <v>1191.22522</v>
      </c>
      <c r="O42" s="14">
        <v>12896.84</v>
      </c>
      <c r="P42" s="14">
        <v>12294.987466666666</v>
      </c>
      <c r="Q42" s="14">
        <v>12786.786965333333</v>
      </c>
      <c r="R42" s="14">
        <v>13298.258443946666</v>
      </c>
      <c r="S42" s="7"/>
      <c r="T42" s="7"/>
      <c r="U42" s="7"/>
      <c r="V42" s="7"/>
      <c r="W42" s="6"/>
      <c r="X42" s="6"/>
      <c r="Y42" s="6"/>
    </row>
    <row r="43" spans="1:25" s="2" customFormat="1" ht="13.9" hidden="1" x14ac:dyDescent="0.25">
      <c r="A43" s="1">
        <v>38</v>
      </c>
      <c r="B43" s="33" t="s">
        <v>33</v>
      </c>
      <c r="C43" s="1" t="s">
        <v>56</v>
      </c>
      <c r="D43" s="14">
        <v>43845.38</v>
      </c>
      <c r="E43" s="14">
        <v>84476</v>
      </c>
      <c r="F43" s="14">
        <v>84476</v>
      </c>
      <c r="G43" s="14">
        <v>84476</v>
      </c>
      <c r="H43" s="14">
        <v>84476</v>
      </c>
      <c r="I43" s="14" t="s">
        <v>58</v>
      </c>
      <c r="J43" s="14" t="s">
        <v>58</v>
      </c>
      <c r="K43" s="14" t="s">
        <v>58</v>
      </c>
      <c r="L43" s="14" t="s">
        <v>58</v>
      </c>
      <c r="M43" s="14" t="s">
        <v>58</v>
      </c>
      <c r="N43" s="14">
        <v>75270.720000000001</v>
      </c>
      <c r="O43" s="14">
        <v>96330.880000000005</v>
      </c>
      <c r="P43" s="14">
        <v>129921.3</v>
      </c>
      <c r="Q43" s="14">
        <v>104015.7</v>
      </c>
      <c r="R43" s="14">
        <v>108176.33</v>
      </c>
      <c r="S43" s="7"/>
      <c r="T43" s="7"/>
      <c r="U43" s="7"/>
      <c r="V43" s="7"/>
      <c r="W43" s="6"/>
      <c r="X43" s="6"/>
      <c r="Y43" s="6"/>
    </row>
    <row r="44" spans="1:25" s="2" customFormat="1" ht="13.9" hidden="1" x14ac:dyDescent="0.25">
      <c r="A44" s="139">
        <v>39</v>
      </c>
      <c r="B44" s="137" t="s">
        <v>41</v>
      </c>
      <c r="C44" s="1" t="s">
        <v>14</v>
      </c>
      <c r="D44" s="14">
        <v>90</v>
      </c>
      <c r="E44" s="14">
        <v>183</v>
      </c>
      <c r="F44" s="14">
        <v>169</v>
      </c>
      <c r="G44" s="14">
        <v>167</v>
      </c>
      <c r="H44" s="14">
        <v>167</v>
      </c>
      <c r="I44" s="14" t="s">
        <v>58</v>
      </c>
      <c r="J44" s="14" t="s">
        <v>58</v>
      </c>
      <c r="K44" s="14" t="s">
        <v>58</v>
      </c>
      <c r="L44" s="14" t="s">
        <v>58</v>
      </c>
      <c r="M44" s="14" t="s">
        <v>58</v>
      </c>
      <c r="N44" s="14">
        <v>0</v>
      </c>
      <c r="O44" s="14">
        <v>693</v>
      </c>
      <c r="P44" s="14">
        <v>720.72</v>
      </c>
      <c r="Q44" s="14">
        <v>749.54880000000003</v>
      </c>
      <c r="R44" s="14">
        <v>779.53075200000001</v>
      </c>
      <c r="S44" s="7"/>
      <c r="T44" s="7"/>
      <c r="U44" s="7"/>
      <c r="V44" s="7"/>
      <c r="W44" s="6"/>
      <c r="X44" s="6"/>
      <c r="Y44" s="6"/>
    </row>
    <row r="45" spans="1:25" s="2" customFormat="1" ht="13.9" hidden="1" x14ac:dyDescent="0.25">
      <c r="A45" s="140"/>
      <c r="B45" s="138"/>
      <c r="C45" s="1" t="s">
        <v>57</v>
      </c>
      <c r="D45" s="14">
        <v>81</v>
      </c>
      <c r="E45" s="14">
        <v>203</v>
      </c>
      <c r="F45" s="14">
        <v>203</v>
      </c>
      <c r="G45" s="14">
        <v>203</v>
      </c>
      <c r="H45" s="14">
        <v>203</v>
      </c>
      <c r="I45" s="14" t="s">
        <v>58</v>
      </c>
      <c r="J45" s="14" t="s">
        <v>58</v>
      </c>
      <c r="K45" s="14" t="s">
        <v>58</v>
      </c>
      <c r="L45" s="14" t="s">
        <v>58</v>
      </c>
      <c r="M45" s="14" t="s">
        <v>58</v>
      </c>
      <c r="N45" s="14">
        <v>0</v>
      </c>
      <c r="O45" s="14">
        <v>0</v>
      </c>
      <c r="P45" s="14">
        <v>0</v>
      </c>
      <c r="Q45" s="14">
        <v>0</v>
      </c>
      <c r="R45" s="14">
        <v>0</v>
      </c>
      <c r="S45" s="7"/>
      <c r="T45" s="7"/>
      <c r="U45" s="7"/>
      <c r="V45" s="7"/>
      <c r="W45" s="6"/>
      <c r="X45" s="6"/>
      <c r="Y45" s="6"/>
    </row>
    <row r="46" spans="1:25" s="2" customFormat="1" ht="55.15" hidden="1" x14ac:dyDescent="0.25">
      <c r="A46" s="1">
        <v>40</v>
      </c>
      <c r="B46" s="33" t="s">
        <v>50</v>
      </c>
      <c r="C46" s="1" t="s">
        <v>16</v>
      </c>
      <c r="D46" s="14">
        <v>2</v>
      </c>
      <c r="E46" s="14">
        <v>2</v>
      </c>
      <c r="F46" s="14">
        <v>2</v>
      </c>
      <c r="G46" s="14">
        <v>2</v>
      </c>
      <c r="H46" s="14">
        <v>2</v>
      </c>
      <c r="I46" s="14" t="s">
        <v>58</v>
      </c>
      <c r="J46" s="14" t="s">
        <v>58</v>
      </c>
      <c r="K46" s="14" t="s">
        <v>58</v>
      </c>
      <c r="L46" s="14" t="s">
        <v>58</v>
      </c>
      <c r="M46" s="14" t="s">
        <v>58</v>
      </c>
      <c r="N46" s="14">
        <v>245.73</v>
      </c>
      <c r="O46" s="14">
        <v>300.2398</v>
      </c>
      <c r="P46" s="14">
        <v>312.249392</v>
      </c>
      <c r="Q46" s="14">
        <v>324.73936767999999</v>
      </c>
      <c r="R46" s="14">
        <v>337.72894238719999</v>
      </c>
      <c r="S46" s="7"/>
      <c r="T46" s="7"/>
      <c r="U46" s="7"/>
      <c r="V46" s="7"/>
      <c r="W46" s="6"/>
      <c r="X46" s="6"/>
      <c r="Y46" s="6"/>
    </row>
    <row r="47" spans="1:25" s="2" customFormat="1" ht="55.15" hidden="1" x14ac:dyDescent="0.25">
      <c r="A47" s="1">
        <v>41</v>
      </c>
      <c r="B47" s="33" t="s">
        <v>53</v>
      </c>
      <c r="C47" s="1" t="s">
        <v>16</v>
      </c>
      <c r="D47" s="14">
        <v>0</v>
      </c>
      <c r="E47" s="14">
        <v>4</v>
      </c>
      <c r="F47" s="14">
        <v>2</v>
      </c>
      <c r="G47" s="14">
        <v>3</v>
      </c>
      <c r="H47" s="14">
        <v>3</v>
      </c>
      <c r="I47" s="14" t="s">
        <v>58</v>
      </c>
      <c r="J47" s="14" t="s">
        <v>58</v>
      </c>
      <c r="K47" s="14" t="s">
        <v>58</v>
      </c>
      <c r="L47" s="14" t="s">
        <v>58</v>
      </c>
      <c r="M47" s="14" t="s">
        <v>58</v>
      </c>
      <c r="N47" s="14">
        <v>0</v>
      </c>
      <c r="O47" s="14">
        <v>1920</v>
      </c>
      <c r="P47" s="14">
        <v>998.4</v>
      </c>
      <c r="Q47" s="14">
        <v>1557.5039999999999</v>
      </c>
      <c r="R47" s="14">
        <v>1619.8041599999999</v>
      </c>
      <c r="S47" s="7"/>
      <c r="T47" s="7"/>
      <c r="U47" s="7"/>
      <c r="V47" s="7"/>
      <c r="W47" s="6"/>
      <c r="X47" s="6"/>
      <c r="Y47" s="6"/>
    </row>
    <row r="48" spans="1:25" s="2" customFormat="1" ht="14.45" hidden="1" x14ac:dyDescent="0.3">
      <c r="A48" s="30"/>
      <c r="B48" s="10" t="s">
        <v>0</v>
      </c>
      <c r="C48" s="3" t="s">
        <v>8</v>
      </c>
      <c r="D48" s="3" t="s">
        <v>8</v>
      </c>
      <c r="E48" s="3" t="s">
        <v>8</v>
      </c>
      <c r="F48" s="3" t="s">
        <v>8</v>
      </c>
      <c r="G48" s="3" t="s">
        <v>8</v>
      </c>
      <c r="H48" s="3" t="s">
        <v>8</v>
      </c>
      <c r="I48" s="3" t="s">
        <v>8</v>
      </c>
      <c r="J48" s="3" t="s">
        <v>8</v>
      </c>
      <c r="K48" s="3" t="s">
        <v>8</v>
      </c>
      <c r="L48" s="3" t="s">
        <v>8</v>
      </c>
      <c r="M48" s="3" t="s">
        <v>8</v>
      </c>
      <c r="N48" s="51">
        <f>SUM(N6:N47)</f>
        <v>348687.44336160005</v>
      </c>
      <c r="O48" s="51">
        <f>SUM(O6:O47)</f>
        <v>495706.70668</v>
      </c>
      <c r="P48" s="51">
        <f>SUM(P6:P47)</f>
        <v>596261.35994608537</v>
      </c>
      <c r="Q48" s="51">
        <f>SUM(Q6:Q47)</f>
        <v>634156.40410768881</v>
      </c>
      <c r="R48" s="51">
        <f>SUM(R6:R47)</f>
        <v>699796.44564899639</v>
      </c>
      <c r="S48" s="5"/>
    </row>
    <row r="49" spans="1:19" s="2" customFormat="1" ht="13.9" hidden="1" x14ac:dyDescent="0.25">
      <c r="A49" s="134" t="s">
        <v>60</v>
      </c>
      <c r="B49" s="134"/>
      <c r="C49" s="134"/>
      <c r="D49" s="134"/>
      <c r="E49" s="134"/>
      <c r="F49" s="134"/>
      <c r="G49" s="134"/>
      <c r="H49" s="134"/>
      <c r="I49" s="134"/>
      <c r="J49" s="134"/>
      <c r="K49" s="134"/>
      <c r="L49" s="134"/>
      <c r="M49" s="134"/>
      <c r="N49" s="134"/>
      <c r="O49" s="134"/>
      <c r="P49" s="134"/>
      <c r="Q49" s="134"/>
      <c r="R49" s="134"/>
    </row>
    <row r="50" spans="1:19" s="2" customFormat="1" ht="110.45" hidden="1" x14ac:dyDescent="0.25">
      <c r="A50" s="1">
        <v>1</v>
      </c>
      <c r="B50" s="33" t="s">
        <v>275</v>
      </c>
      <c r="C50" s="1" t="s">
        <v>61</v>
      </c>
      <c r="D50" s="14">
        <v>10</v>
      </c>
      <c r="E50" s="14">
        <v>23</v>
      </c>
      <c r="F50" s="14">
        <v>22</v>
      </c>
      <c r="G50" s="14">
        <v>22</v>
      </c>
      <c r="H50" s="14">
        <v>22</v>
      </c>
      <c r="I50" s="14"/>
      <c r="J50" s="14"/>
      <c r="K50" s="14"/>
      <c r="L50" s="14"/>
      <c r="M50" s="14"/>
      <c r="N50" s="14">
        <v>9465.5</v>
      </c>
      <c r="O50" s="14">
        <v>13057.7</v>
      </c>
      <c r="P50" s="14">
        <v>13000</v>
      </c>
      <c r="Q50" s="14">
        <v>13500</v>
      </c>
      <c r="R50" s="14">
        <v>14000</v>
      </c>
      <c r="S50" s="6"/>
    </row>
    <row r="51" spans="1:19" s="2" customFormat="1" ht="82.9" hidden="1" x14ac:dyDescent="0.25">
      <c r="A51" s="1">
        <v>2</v>
      </c>
      <c r="B51" s="33" t="s">
        <v>274</v>
      </c>
      <c r="C51" s="1" t="s">
        <v>61</v>
      </c>
      <c r="D51" s="14">
        <v>20</v>
      </c>
      <c r="E51" s="14">
        <v>15</v>
      </c>
      <c r="F51" s="14">
        <v>5</v>
      </c>
      <c r="G51" s="14">
        <v>5</v>
      </c>
      <c r="H51" s="14">
        <v>5</v>
      </c>
      <c r="I51" s="14"/>
      <c r="J51" s="14"/>
      <c r="K51" s="14"/>
      <c r="L51" s="14"/>
      <c r="M51" s="14"/>
      <c r="N51" s="14">
        <v>8930.7000000000007</v>
      </c>
      <c r="O51" s="14">
        <v>11583.442999999999</v>
      </c>
      <c r="P51" s="14">
        <v>10000</v>
      </c>
      <c r="Q51" s="14">
        <v>10000</v>
      </c>
      <c r="R51" s="14">
        <v>10000</v>
      </c>
    </row>
    <row r="52" spans="1:19" s="2" customFormat="1" ht="82.9" hidden="1" x14ac:dyDescent="0.25">
      <c r="A52" s="1">
        <v>3</v>
      </c>
      <c r="B52" s="33" t="s">
        <v>273</v>
      </c>
      <c r="C52" s="1" t="s">
        <v>61</v>
      </c>
      <c r="D52" s="14">
        <v>30</v>
      </c>
      <c r="E52" s="14">
        <v>33</v>
      </c>
      <c r="F52" s="14">
        <v>32</v>
      </c>
      <c r="G52" s="14">
        <v>32</v>
      </c>
      <c r="H52" s="14">
        <v>32</v>
      </c>
      <c r="I52" s="14"/>
      <c r="J52" s="14"/>
      <c r="K52" s="14"/>
      <c r="L52" s="14"/>
      <c r="M52" s="14"/>
      <c r="N52" s="14">
        <v>25317</v>
      </c>
      <c r="O52" s="14">
        <v>29056.857</v>
      </c>
      <c r="P52" s="14">
        <v>23300</v>
      </c>
      <c r="Q52" s="14">
        <v>27170</v>
      </c>
      <c r="R52" s="14">
        <v>27200</v>
      </c>
    </row>
    <row r="53" spans="1:19" s="2" customFormat="1" ht="69" hidden="1" x14ac:dyDescent="0.25">
      <c r="A53" s="1">
        <v>4</v>
      </c>
      <c r="B53" s="33" t="s">
        <v>272</v>
      </c>
      <c r="C53" s="1" t="s">
        <v>61</v>
      </c>
      <c r="D53" s="14">
        <v>6</v>
      </c>
      <c r="E53" s="14">
        <v>16</v>
      </c>
      <c r="F53" s="14">
        <v>4</v>
      </c>
      <c r="G53" s="14">
        <v>4</v>
      </c>
      <c r="H53" s="14">
        <v>4</v>
      </c>
      <c r="I53" s="14"/>
      <c r="J53" s="14"/>
      <c r="K53" s="14"/>
      <c r="L53" s="14"/>
      <c r="M53" s="14"/>
      <c r="N53" s="14">
        <v>25650</v>
      </c>
      <c r="O53" s="14">
        <v>18008</v>
      </c>
      <c r="P53" s="14">
        <v>14500</v>
      </c>
      <c r="Q53" s="14">
        <v>15000</v>
      </c>
      <c r="R53" s="14">
        <v>15000</v>
      </c>
    </row>
    <row r="54" spans="1:19" s="2" customFormat="1" ht="13.9" hidden="1" x14ac:dyDescent="0.25">
      <c r="A54" s="9"/>
      <c r="B54" s="10" t="s">
        <v>0</v>
      </c>
      <c r="C54" s="3"/>
      <c r="D54" s="11" t="s">
        <v>8</v>
      </c>
      <c r="E54" s="11" t="s">
        <v>8</v>
      </c>
      <c r="F54" s="11" t="s">
        <v>8</v>
      </c>
      <c r="G54" s="11" t="s">
        <v>8</v>
      </c>
      <c r="H54" s="11" t="s">
        <v>8</v>
      </c>
      <c r="I54" s="11" t="s">
        <v>8</v>
      </c>
      <c r="J54" s="11" t="s">
        <v>8</v>
      </c>
      <c r="K54" s="11" t="s">
        <v>8</v>
      </c>
      <c r="L54" s="11" t="s">
        <v>8</v>
      </c>
      <c r="M54" s="11" t="s">
        <v>8</v>
      </c>
      <c r="N54" s="51">
        <f>N50+N51+N52+N53</f>
        <v>69363.199999999997</v>
      </c>
      <c r="O54" s="51">
        <f>O50+O51+O52+O53</f>
        <v>71706</v>
      </c>
      <c r="P54" s="51">
        <f>P50+P51+P52+P53</f>
        <v>60800</v>
      </c>
      <c r="Q54" s="51">
        <f>Q50+Q51+Q52+Q53</f>
        <v>65670</v>
      </c>
      <c r="R54" s="51">
        <f>R50+R51+R52+R53</f>
        <v>66200</v>
      </c>
    </row>
    <row r="55" spans="1:19" s="2" customFormat="1" ht="13.9" hidden="1" x14ac:dyDescent="0.25">
      <c r="A55" s="136" t="s">
        <v>62</v>
      </c>
      <c r="B55" s="136"/>
      <c r="C55" s="136"/>
      <c r="D55" s="136"/>
      <c r="E55" s="136"/>
      <c r="F55" s="136"/>
      <c r="G55" s="136"/>
      <c r="H55" s="136"/>
      <c r="I55" s="136"/>
      <c r="J55" s="136"/>
      <c r="K55" s="136"/>
      <c r="L55" s="136"/>
      <c r="M55" s="136"/>
      <c r="N55" s="136"/>
      <c r="O55" s="136"/>
      <c r="P55" s="136"/>
      <c r="Q55" s="136"/>
      <c r="R55" s="136"/>
    </row>
    <row r="56" spans="1:19" s="2" customFormat="1" ht="55.15" hidden="1" x14ac:dyDescent="0.25">
      <c r="A56" s="28">
        <v>1</v>
      </c>
      <c r="B56" s="42" t="s">
        <v>63</v>
      </c>
      <c r="C56" s="28" t="s">
        <v>14</v>
      </c>
      <c r="D56" s="49">
        <v>3401</v>
      </c>
      <c r="E56" s="14">
        <v>3429</v>
      </c>
      <c r="F56" s="14">
        <v>3383</v>
      </c>
      <c r="G56" s="14">
        <v>3383</v>
      </c>
      <c r="H56" s="14">
        <v>3383</v>
      </c>
      <c r="I56" s="14">
        <v>85290</v>
      </c>
      <c r="J56" s="14">
        <v>90000</v>
      </c>
      <c r="K56" s="14">
        <v>93600</v>
      </c>
      <c r="L56" s="14">
        <v>97344</v>
      </c>
      <c r="M56" s="14">
        <f>L56*1.06</f>
        <v>103184.64</v>
      </c>
      <c r="N56" s="49">
        <v>350520.4</v>
      </c>
      <c r="O56" s="14">
        <v>345337.4</v>
      </c>
      <c r="P56" s="14">
        <f>ROUND(1.0758*O56,0)</f>
        <v>371514</v>
      </c>
      <c r="Q56" s="14">
        <f>ROUND(1.050797*P56,0)</f>
        <v>390386</v>
      </c>
      <c r="R56" s="14">
        <f>ROUND(1.06*Q56,0)</f>
        <v>413809</v>
      </c>
    </row>
    <row r="57" spans="1:19" s="2" customFormat="1" ht="55.15" hidden="1" x14ac:dyDescent="0.25">
      <c r="A57" s="28">
        <v>2</v>
      </c>
      <c r="B57" s="42" t="s">
        <v>64</v>
      </c>
      <c r="C57" s="28" t="s">
        <v>14</v>
      </c>
      <c r="D57" s="49">
        <f>7823+920+469</f>
        <v>9212</v>
      </c>
      <c r="E57" s="14">
        <v>9709</v>
      </c>
      <c r="F57" s="14">
        <f>8396+1150+446</f>
        <v>9992</v>
      </c>
      <c r="G57" s="14">
        <f>8396+1150+446</f>
        <v>9992</v>
      </c>
      <c r="H57" s="14">
        <f>8396+1150+446</f>
        <v>9992</v>
      </c>
      <c r="I57" s="14">
        <v>86330</v>
      </c>
      <c r="J57" s="14">
        <v>91500</v>
      </c>
      <c r="K57" s="14">
        <v>95200</v>
      </c>
      <c r="L57" s="14">
        <v>99008</v>
      </c>
      <c r="M57" s="14">
        <f>L57*1.06</f>
        <v>104948.48000000001</v>
      </c>
      <c r="N57" s="49">
        <f>1358829.8-N56-N58-N59+119912.3</f>
        <v>1035867.04</v>
      </c>
      <c r="O57" s="49">
        <f>1467230.2-O56-O58-O59+151939.2</f>
        <v>1172173.1999999997</v>
      </c>
      <c r="P57" s="49">
        <f>1578517.8-P56-P58-P59</f>
        <v>1101171.7</v>
      </c>
      <c r="Q57" s="49">
        <f>1658701.2-Q56-Q58-Q59+158016.7</f>
        <v>1315540.0359999998</v>
      </c>
      <c r="R57" s="49">
        <f>1758223.3-R56-R58-R59+172285.77</f>
        <v>1399260.6141600001</v>
      </c>
    </row>
    <row r="58" spans="1:19" s="2" customFormat="1" ht="55.15" hidden="1" x14ac:dyDescent="0.25">
      <c r="A58" s="28">
        <v>3</v>
      </c>
      <c r="B58" s="42" t="s">
        <v>65</v>
      </c>
      <c r="C58" s="28" t="s">
        <v>14</v>
      </c>
      <c r="D58" s="49">
        <f>949+119</f>
        <v>1068</v>
      </c>
      <c r="E58" s="14">
        <v>1068</v>
      </c>
      <c r="F58" s="14">
        <f>912+99</f>
        <v>1011</v>
      </c>
      <c r="G58" s="14">
        <f>912+99</f>
        <v>1011</v>
      </c>
      <c r="H58" s="14">
        <f>912+99</f>
        <v>1011</v>
      </c>
      <c r="I58" s="14">
        <v>34520</v>
      </c>
      <c r="J58" s="14">
        <v>36600</v>
      </c>
      <c r="K58" s="14">
        <v>38100</v>
      </c>
      <c r="L58" s="14">
        <v>39624</v>
      </c>
      <c r="M58" s="14">
        <f>L58*1.06</f>
        <v>42001.440000000002</v>
      </c>
      <c r="N58" s="49">
        <f>D58*I58/1000</f>
        <v>36867.360000000001</v>
      </c>
      <c r="O58" s="49">
        <f>E58*J58/1000</f>
        <v>39088.800000000003</v>
      </c>
      <c r="P58" s="49">
        <f>F58*K58/1000</f>
        <v>38519.1</v>
      </c>
      <c r="Q58" s="49">
        <f>G58*L58/1000</f>
        <v>40059.864000000001</v>
      </c>
      <c r="R58" s="49">
        <f>H58*M58/1000</f>
        <v>42463.455840000002</v>
      </c>
    </row>
    <row r="59" spans="1:19" s="2" customFormat="1" ht="69" hidden="1" x14ac:dyDescent="0.25">
      <c r="A59" s="28">
        <v>4</v>
      </c>
      <c r="B59" s="42" t="s">
        <v>66</v>
      </c>
      <c r="C59" s="28" t="s">
        <v>67</v>
      </c>
      <c r="D59" s="49">
        <f>226800</f>
        <v>226800</v>
      </c>
      <c r="E59" s="14">
        <f>237600</f>
        <v>237600</v>
      </c>
      <c r="F59" s="14">
        <f>272700</f>
        <v>272700</v>
      </c>
      <c r="G59" s="14">
        <f>272700</f>
        <v>272700</v>
      </c>
      <c r="H59" s="14">
        <f>272700</f>
        <v>272700</v>
      </c>
      <c r="I59" s="14">
        <v>184</v>
      </c>
      <c r="J59" s="14">
        <v>197</v>
      </c>
      <c r="K59" s="14">
        <v>200</v>
      </c>
      <c r="L59" s="14">
        <v>208</v>
      </c>
      <c r="M59" s="14">
        <v>220</v>
      </c>
      <c r="N59" s="49">
        <v>55487.3</v>
      </c>
      <c r="O59" s="14">
        <v>62570</v>
      </c>
      <c r="P59" s="14">
        <f>ROUND(1.0758*O59,0)</f>
        <v>67313</v>
      </c>
      <c r="Q59" s="14">
        <f>ROUND(1.050797*P59,0)</f>
        <v>70732</v>
      </c>
      <c r="R59" s="14">
        <f>ROUND(1.06*Q59,0)</f>
        <v>74976</v>
      </c>
    </row>
    <row r="60" spans="1:19" s="2" customFormat="1" ht="69" hidden="1" x14ac:dyDescent="0.25">
      <c r="A60" s="28">
        <v>5</v>
      </c>
      <c r="B60" s="42" t="s">
        <v>66</v>
      </c>
      <c r="C60" s="28" t="s">
        <v>67</v>
      </c>
      <c r="D60" s="49">
        <f>72866</f>
        <v>72866</v>
      </c>
      <c r="E60" s="14">
        <f>75634</f>
        <v>75634</v>
      </c>
      <c r="F60" s="14">
        <f>81356</f>
        <v>81356</v>
      </c>
      <c r="G60" s="14">
        <f>81356</f>
        <v>81356</v>
      </c>
      <c r="H60" s="14">
        <f>81356</f>
        <v>81356</v>
      </c>
      <c r="I60" s="14">
        <v>809.3</v>
      </c>
      <c r="J60" s="14">
        <v>820</v>
      </c>
      <c r="K60" s="14">
        <v>860</v>
      </c>
      <c r="L60" s="14">
        <v>900</v>
      </c>
      <c r="M60" s="14">
        <v>950</v>
      </c>
      <c r="N60" s="49">
        <f>D60*I60/1000</f>
        <v>58970.453799999996</v>
      </c>
      <c r="O60" s="49">
        <f>E60*J60/1000</f>
        <v>62019.88</v>
      </c>
      <c r="P60" s="49">
        <f>F60*K60/1000</f>
        <v>69966.16</v>
      </c>
      <c r="Q60" s="49">
        <f>G60*L60/1000</f>
        <v>73220.399999999994</v>
      </c>
      <c r="R60" s="49">
        <f>H60*M60/1000</f>
        <v>77288.2</v>
      </c>
    </row>
    <row r="61" spans="1:19" s="2" customFormat="1" ht="41.45" hidden="1" x14ac:dyDescent="0.25">
      <c r="A61" s="28">
        <v>6</v>
      </c>
      <c r="B61" s="42" t="s">
        <v>68</v>
      </c>
      <c r="C61" s="28" t="s">
        <v>14</v>
      </c>
      <c r="D61" s="49">
        <f>696+1558</f>
        <v>2254</v>
      </c>
      <c r="E61" s="14">
        <v>2336</v>
      </c>
      <c r="F61" s="14">
        <f>778+1716</f>
        <v>2494</v>
      </c>
      <c r="G61" s="14">
        <f>778+1716</f>
        <v>2494</v>
      </c>
      <c r="H61" s="14">
        <f>778+1716</f>
        <v>2494</v>
      </c>
      <c r="I61" s="14">
        <v>146890</v>
      </c>
      <c r="J61" s="14">
        <v>155820</v>
      </c>
      <c r="K61" s="14">
        <v>162100</v>
      </c>
      <c r="L61" s="14">
        <v>168584</v>
      </c>
      <c r="M61" s="14">
        <v>178700</v>
      </c>
      <c r="N61" s="49">
        <v>331090.06</v>
      </c>
      <c r="O61" s="49">
        <v>363995.52</v>
      </c>
      <c r="P61" s="49">
        <v>404277.4</v>
      </c>
      <c r="Q61" s="49">
        <v>420448.49599999998</v>
      </c>
      <c r="R61" s="49">
        <v>445677.8</v>
      </c>
    </row>
    <row r="62" spans="1:19" s="2" customFormat="1" ht="41.45" hidden="1" x14ac:dyDescent="0.25">
      <c r="A62" s="28">
        <v>7</v>
      </c>
      <c r="B62" s="42" t="s">
        <v>69</v>
      </c>
      <c r="C62" s="28" t="s">
        <v>14</v>
      </c>
      <c r="D62" s="49">
        <v>18</v>
      </c>
      <c r="E62" s="14">
        <v>28</v>
      </c>
      <c r="F62" s="14">
        <v>58</v>
      </c>
      <c r="G62" s="14">
        <v>59</v>
      </c>
      <c r="H62" s="14">
        <v>60</v>
      </c>
      <c r="I62" s="14">
        <v>73450</v>
      </c>
      <c r="J62" s="14">
        <v>77910</v>
      </c>
      <c r="K62" s="14">
        <v>81050</v>
      </c>
      <c r="L62" s="14">
        <v>84300</v>
      </c>
      <c r="M62" s="14">
        <v>89350</v>
      </c>
      <c r="N62" s="49">
        <v>1322.1</v>
      </c>
      <c r="O62" s="49">
        <v>2181.48</v>
      </c>
      <c r="P62" s="49">
        <v>4700.8999999999996</v>
      </c>
      <c r="Q62" s="49">
        <v>4973.7</v>
      </c>
      <c r="R62" s="49">
        <v>5361</v>
      </c>
    </row>
    <row r="63" spans="1:19" s="2" customFormat="1" ht="41.45" hidden="1" x14ac:dyDescent="0.25">
      <c r="A63" s="28">
        <v>8</v>
      </c>
      <c r="B63" s="42" t="s">
        <v>70</v>
      </c>
      <c r="C63" s="28" t="s">
        <v>14</v>
      </c>
      <c r="D63" s="49">
        <f>158+875</f>
        <v>1033</v>
      </c>
      <c r="E63" s="14">
        <v>1016</v>
      </c>
      <c r="F63" s="14">
        <f>194+869</f>
        <v>1063</v>
      </c>
      <c r="G63" s="14">
        <f>194+869</f>
        <v>1063</v>
      </c>
      <c r="H63" s="14">
        <f>194+869</f>
        <v>1063</v>
      </c>
      <c r="I63" s="14">
        <v>58760</v>
      </c>
      <c r="J63" s="14">
        <v>62330</v>
      </c>
      <c r="K63" s="14">
        <v>64800</v>
      </c>
      <c r="L63" s="14">
        <v>67400</v>
      </c>
      <c r="M63" s="14">
        <v>71500</v>
      </c>
      <c r="N63" s="49">
        <v>60699.08</v>
      </c>
      <c r="O63" s="49">
        <v>63327.28</v>
      </c>
      <c r="P63" s="49">
        <v>68882.399999999994</v>
      </c>
      <c r="Q63" s="49">
        <v>71646.2</v>
      </c>
      <c r="R63" s="49">
        <v>76004.5</v>
      </c>
    </row>
    <row r="64" spans="1:19" s="2" customFormat="1" ht="41.45" hidden="1" x14ac:dyDescent="0.25">
      <c r="A64" s="28">
        <v>9</v>
      </c>
      <c r="B64" s="42" t="s">
        <v>71</v>
      </c>
      <c r="C64" s="28" t="s">
        <v>14</v>
      </c>
      <c r="D64" s="49">
        <f>53+210</f>
        <v>263</v>
      </c>
      <c r="E64" s="14">
        <v>288</v>
      </c>
      <c r="F64" s="14">
        <f>111+262</f>
        <v>373</v>
      </c>
      <c r="G64" s="14">
        <f>111+262</f>
        <v>373</v>
      </c>
      <c r="H64" s="14">
        <f>111+262</f>
        <v>373</v>
      </c>
      <c r="I64" s="14">
        <v>146890</v>
      </c>
      <c r="J64" s="14">
        <v>155820</v>
      </c>
      <c r="K64" s="14">
        <v>162100</v>
      </c>
      <c r="L64" s="14">
        <v>168584</v>
      </c>
      <c r="M64" s="14">
        <v>175350</v>
      </c>
      <c r="N64" s="49">
        <v>38632.07</v>
      </c>
      <c r="O64" s="49">
        <v>44876.160000000003</v>
      </c>
      <c r="P64" s="49">
        <v>60463.3</v>
      </c>
      <c r="Q64" s="49">
        <v>62881.832000000002</v>
      </c>
      <c r="R64" s="49">
        <v>65405.55</v>
      </c>
    </row>
    <row r="65" spans="1:18" s="2" customFormat="1" ht="27.6" hidden="1" x14ac:dyDescent="0.25">
      <c r="A65" s="28">
        <v>10</v>
      </c>
      <c r="B65" s="45" t="s">
        <v>72</v>
      </c>
      <c r="C65" s="28" t="s">
        <v>14</v>
      </c>
      <c r="D65" s="49">
        <v>184</v>
      </c>
      <c r="E65" s="14">
        <v>184</v>
      </c>
      <c r="F65" s="14">
        <v>186</v>
      </c>
      <c r="G65" s="14">
        <v>186</v>
      </c>
      <c r="H65" s="14">
        <v>186</v>
      </c>
      <c r="I65" s="14">
        <v>100409</v>
      </c>
      <c r="J65" s="14">
        <v>110000</v>
      </c>
      <c r="K65" s="14">
        <v>114000</v>
      </c>
      <c r="L65" s="14">
        <v>118500</v>
      </c>
      <c r="M65" s="14">
        <v>123200</v>
      </c>
      <c r="N65" s="49">
        <v>18475.256000000001</v>
      </c>
      <c r="O65" s="49">
        <v>20240</v>
      </c>
      <c r="P65" s="49">
        <v>21204</v>
      </c>
      <c r="Q65" s="49">
        <v>22041</v>
      </c>
      <c r="R65" s="49">
        <v>22915.200000000001</v>
      </c>
    </row>
    <row r="66" spans="1:18" s="2" customFormat="1" ht="55.15" hidden="1" x14ac:dyDescent="0.25">
      <c r="A66" s="28">
        <v>11</v>
      </c>
      <c r="B66" s="42" t="s">
        <v>73</v>
      </c>
      <c r="C66" s="28" t="s">
        <v>14</v>
      </c>
      <c r="D66" s="49">
        <f>9+28</f>
        <v>37</v>
      </c>
      <c r="E66" s="14">
        <v>37</v>
      </c>
      <c r="F66" s="49">
        <f>9+30</f>
        <v>39</v>
      </c>
      <c r="G66" s="49">
        <f>9+30</f>
        <v>39</v>
      </c>
      <c r="H66" s="49">
        <f>9+30</f>
        <v>39</v>
      </c>
      <c r="I66" s="14">
        <v>158100</v>
      </c>
      <c r="J66" s="14">
        <v>167590</v>
      </c>
      <c r="K66" s="14">
        <v>174290</v>
      </c>
      <c r="L66" s="14">
        <v>181260</v>
      </c>
      <c r="M66" s="14">
        <v>188510</v>
      </c>
      <c r="N66" s="49">
        <v>5849.7</v>
      </c>
      <c r="O66" s="49">
        <v>6200.83</v>
      </c>
      <c r="P66" s="49">
        <v>6797.31</v>
      </c>
      <c r="Q66" s="49">
        <v>7069.14</v>
      </c>
      <c r="R66" s="49">
        <v>7351.89</v>
      </c>
    </row>
    <row r="67" spans="1:18" s="2" customFormat="1" ht="41.45" hidden="1" x14ac:dyDescent="0.25">
      <c r="A67" s="28">
        <v>12</v>
      </c>
      <c r="B67" s="45" t="s">
        <v>74</v>
      </c>
      <c r="C67" s="28" t="s">
        <v>14</v>
      </c>
      <c r="D67" s="49">
        <v>116</v>
      </c>
      <c r="E67" s="14">
        <v>115</v>
      </c>
      <c r="F67" s="14">
        <v>121</v>
      </c>
      <c r="G67" s="14">
        <v>121</v>
      </c>
      <c r="H67" s="14">
        <v>121</v>
      </c>
      <c r="I67" s="14">
        <v>92164.42</v>
      </c>
      <c r="J67" s="14">
        <v>110000</v>
      </c>
      <c r="K67" s="14">
        <v>114000</v>
      </c>
      <c r="L67" s="14">
        <v>118500</v>
      </c>
      <c r="M67" s="14">
        <v>123200</v>
      </c>
      <c r="N67" s="49">
        <v>10691.07272</v>
      </c>
      <c r="O67" s="49">
        <v>12650</v>
      </c>
      <c r="P67" s="49">
        <v>13794</v>
      </c>
      <c r="Q67" s="49">
        <v>14338.5</v>
      </c>
      <c r="R67" s="49">
        <v>14907.2</v>
      </c>
    </row>
    <row r="68" spans="1:18" s="2" customFormat="1" ht="27.6" hidden="1" x14ac:dyDescent="0.25">
      <c r="A68" s="28">
        <v>13</v>
      </c>
      <c r="B68" s="42" t="s">
        <v>75</v>
      </c>
      <c r="C68" s="28" t="s">
        <v>67</v>
      </c>
      <c r="D68" s="49">
        <f>21550+358906+165541</f>
        <v>545997</v>
      </c>
      <c r="E68" s="14">
        <v>554386</v>
      </c>
      <c r="F68" s="14">
        <v>539292</v>
      </c>
      <c r="G68" s="14">
        <v>539292</v>
      </c>
      <c r="H68" s="14">
        <v>539292</v>
      </c>
      <c r="I68" s="14">
        <v>89.3</v>
      </c>
      <c r="J68" s="14">
        <v>92.87</v>
      </c>
      <c r="K68" s="14">
        <v>100</v>
      </c>
      <c r="L68" s="14">
        <v>104</v>
      </c>
      <c r="M68" s="14">
        <v>108</v>
      </c>
      <c r="N68" s="49">
        <v>48757.532100000004</v>
      </c>
      <c r="O68" s="49">
        <v>51485.827819999999</v>
      </c>
      <c r="P68" s="49">
        <v>53929.2</v>
      </c>
      <c r="Q68" s="49">
        <v>56086.368000000002</v>
      </c>
      <c r="R68" s="49">
        <v>58243.536</v>
      </c>
    </row>
    <row r="69" spans="1:18" s="2" customFormat="1" ht="41.45" hidden="1" x14ac:dyDescent="0.25">
      <c r="A69" s="28">
        <v>14</v>
      </c>
      <c r="B69" s="46" t="s">
        <v>76</v>
      </c>
      <c r="C69" s="28" t="s">
        <v>67</v>
      </c>
      <c r="D69" s="49">
        <f>560126+160396</f>
        <v>720522</v>
      </c>
      <c r="E69" s="14">
        <v>809300</v>
      </c>
      <c r="F69" s="14">
        <v>1120059</v>
      </c>
      <c r="G69" s="14">
        <v>1120059</v>
      </c>
      <c r="H69" s="14">
        <v>1120059</v>
      </c>
      <c r="I69" s="14">
        <v>89.3</v>
      </c>
      <c r="J69" s="14">
        <v>92.87</v>
      </c>
      <c r="K69" s="14">
        <v>100</v>
      </c>
      <c r="L69" s="14">
        <v>104</v>
      </c>
      <c r="M69" s="14">
        <v>108</v>
      </c>
      <c r="N69" s="49">
        <v>64342.614600000001</v>
      </c>
      <c r="O69" s="49">
        <v>75159.691000000006</v>
      </c>
      <c r="P69" s="49">
        <v>112005.9</v>
      </c>
      <c r="Q69" s="49">
        <v>116486.136</v>
      </c>
      <c r="R69" s="49">
        <v>120966.372</v>
      </c>
    </row>
    <row r="70" spans="1:18" s="2" customFormat="1" ht="151.9" hidden="1" x14ac:dyDescent="0.25">
      <c r="A70" s="28">
        <v>15</v>
      </c>
      <c r="B70" s="42" t="s">
        <v>77</v>
      </c>
      <c r="C70" s="28" t="s">
        <v>78</v>
      </c>
      <c r="D70" s="49">
        <v>12355</v>
      </c>
      <c r="E70" s="14">
        <v>12921</v>
      </c>
      <c r="F70" s="14">
        <v>13898</v>
      </c>
      <c r="G70" s="14">
        <v>13898</v>
      </c>
      <c r="H70" s="14">
        <v>13898</v>
      </c>
      <c r="I70" s="14">
        <v>1490</v>
      </c>
      <c r="J70" s="14">
        <v>1800</v>
      </c>
      <c r="K70" s="14">
        <v>1900</v>
      </c>
      <c r="L70" s="14">
        <v>2000</v>
      </c>
      <c r="M70" s="14">
        <v>2100</v>
      </c>
      <c r="N70" s="14">
        <v>18408.900000000001</v>
      </c>
      <c r="O70" s="14">
        <v>23257.8</v>
      </c>
      <c r="P70" s="14">
        <v>26406.2</v>
      </c>
      <c r="Q70" s="14">
        <v>27796</v>
      </c>
      <c r="R70" s="14">
        <v>29185.8</v>
      </c>
    </row>
    <row r="71" spans="1:18" s="2" customFormat="1" ht="41.45" hidden="1" x14ac:dyDescent="0.25">
      <c r="A71" s="28">
        <v>16</v>
      </c>
      <c r="B71" s="42" t="s">
        <v>79</v>
      </c>
      <c r="C71" s="28" t="s">
        <v>14</v>
      </c>
      <c r="D71" s="49">
        <v>310</v>
      </c>
      <c r="E71" s="14">
        <v>316</v>
      </c>
      <c r="F71" s="14">
        <v>316</v>
      </c>
      <c r="G71" s="14">
        <v>316</v>
      </c>
      <c r="H71" s="14">
        <v>316</v>
      </c>
      <c r="I71" s="14">
        <v>995100</v>
      </c>
      <c r="J71" s="14">
        <v>1044900</v>
      </c>
      <c r="K71" s="14">
        <v>1086700</v>
      </c>
      <c r="L71" s="14">
        <v>1130100</v>
      </c>
      <c r="M71" s="14">
        <v>1175400</v>
      </c>
      <c r="N71" s="14">
        <v>308481</v>
      </c>
      <c r="O71" s="14">
        <v>330188.40000000002</v>
      </c>
      <c r="P71" s="14">
        <v>343397.2</v>
      </c>
      <c r="Q71" s="14">
        <v>357111.6</v>
      </c>
      <c r="R71" s="14">
        <v>371426.4</v>
      </c>
    </row>
    <row r="72" spans="1:18" s="2" customFormat="1" ht="55.15" hidden="1" x14ac:dyDescent="0.25">
      <c r="A72" s="28">
        <v>17</v>
      </c>
      <c r="B72" s="43" t="s">
        <v>80</v>
      </c>
      <c r="C72" s="28" t="s">
        <v>14</v>
      </c>
      <c r="D72" s="49">
        <v>10</v>
      </c>
      <c r="E72" s="14">
        <v>11</v>
      </c>
      <c r="F72" s="14">
        <v>11</v>
      </c>
      <c r="G72" s="14">
        <v>11</v>
      </c>
      <c r="H72" s="14">
        <v>11</v>
      </c>
      <c r="I72" s="14">
        <v>995100</v>
      </c>
      <c r="J72" s="14">
        <v>1044900</v>
      </c>
      <c r="K72" s="14">
        <v>1086700</v>
      </c>
      <c r="L72" s="14">
        <v>1130100</v>
      </c>
      <c r="M72" s="14">
        <v>1175400</v>
      </c>
      <c r="N72" s="14">
        <v>9951</v>
      </c>
      <c r="O72" s="14">
        <v>11493.9</v>
      </c>
      <c r="P72" s="14">
        <v>11953.7</v>
      </c>
      <c r="Q72" s="14">
        <v>12431.1</v>
      </c>
      <c r="R72" s="14">
        <v>12929.4</v>
      </c>
    </row>
    <row r="73" spans="1:18" s="2" customFormat="1" ht="55.15" hidden="1" x14ac:dyDescent="0.25">
      <c r="A73" s="28">
        <v>18</v>
      </c>
      <c r="B73" s="43" t="s">
        <v>81</v>
      </c>
      <c r="C73" s="28" t="s">
        <v>14</v>
      </c>
      <c r="D73" s="49">
        <v>284</v>
      </c>
      <c r="E73" s="14">
        <v>284</v>
      </c>
      <c r="F73" s="14">
        <v>284</v>
      </c>
      <c r="G73" s="14">
        <v>284</v>
      </c>
      <c r="H73" s="14">
        <v>284</v>
      </c>
      <c r="I73" s="14">
        <v>57300</v>
      </c>
      <c r="J73" s="14">
        <v>60200</v>
      </c>
      <c r="K73" s="14">
        <v>62600</v>
      </c>
      <c r="L73" s="14">
        <v>65100</v>
      </c>
      <c r="M73" s="14">
        <v>67700</v>
      </c>
      <c r="N73" s="14">
        <v>70425.399999999994</v>
      </c>
      <c r="O73" s="14">
        <v>17096.8</v>
      </c>
      <c r="P73" s="14">
        <v>17778.400000000001</v>
      </c>
      <c r="Q73" s="14">
        <v>18488.400000000001</v>
      </c>
      <c r="R73" s="14">
        <v>19226.8</v>
      </c>
    </row>
    <row r="74" spans="1:18" s="2" customFormat="1" ht="55.15" hidden="1" x14ac:dyDescent="0.25">
      <c r="A74" s="28">
        <v>19</v>
      </c>
      <c r="B74" s="44" t="s">
        <v>82</v>
      </c>
      <c r="C74" s="28" t="s">
        <v>14</v>
      </c>
      <c r="D74" s="49">
        <v>173</v>
      </c>
      <c r="E74" s="14">
        <v>156</v>
      </c>
      <c r="F74" s="14">
        <v>165</v>
      </c>
      <c r="G74" s="14">
        <v>165</v>
      </c>
      <c r="H74" s="14">
        <v>165</v>
      </c>
      <c r="I74" s="14">
        <v>94500</v>
      </c>
      <c r="J74" s="14">
        <v>99200</v>
      </c>
      <c r="K74" s="14">
        <v>103200</v>
      </c>
      <c r="L74" s="14">
        <v>107200</v>
      </c>
      <c r="M74" s="14">
        <v>111500</v>
      </c>
      <c r="N74" s="14">
        <v>16348.5</v>
      </c>
      <c r="O74" s="14">
        <v>15475.2</v>
      </c>
      <c r="P74" s="14">
        <v>17028</v>
      </c>
      <c r="Q74" s="14">
        <v>17688</v>
      </c>
      <c r="R74" s="14">
        <v>18397.5</v>
      </c>
    </row>
    <row r="75" spans="1:18" s="2" customFormat="1" ht="41.45" hidden="1" x14ac:dyDescent="0.25">
      <c r="A75" s="28">
        <v>20</v>
      </c>
      <c r="B75" s="42" t="s">
        <v>83</v>
      </c>
      <c r="C75" s="28" t="s">
        <v>14</v>
      </c>
      <c r="D75" s="49">
        <v>6164</v>
      </c>
      <c r="E75" s="14">
        <v>6164</v>
      </c>
      <c r="F75" s="49">
        <v>6164</v>
      </c>
      <c r="G75" s="14">
        <v>6164</v>
      </c>
      <c r="H75" s="49">
        <v>6165</v>
      </c>
      <c r="I75" s="14">
        <v>190</v>
      </c>
      <c r="J75" s="14">
        <v>200</v>
      </c>
      <c r="K75" s="14">
        <v>210</v>
      </c>
      <c r="L75" s="14">
        <v>220</v>
      </c>
      <c r="M75" s="14">
        <v>230</v>
      </c>
      <c r="N75" s="49">
        <v>1171.0999999999999</v>
      </c>
      <c r="O75" s="14">
        <v>1232.8</v>
      </c>
      <c r="P75" s="14">
        <v>1294.4000000000001</v>
      </c>
      <c r="Q75" s="14">
        <v>1356.1</v>
      </c>
      <c r="R75" s="14">
        <v>1417.9</v>
      </c>
    </row>
    <row r="76" spans="1:18" s="2" customFormat="1" ht="27.6" hidden="1" x14ac:dyDescent="0.25">
      <c r="A76" s="28">
        <v>21</v>
      </c>
      <c r="B76" s="42" t="s">
        <v>84</v>
      </c>
      <c r="C76" s="28" t="s">
        <v>14</v>
      </c>
      <c r="D76" s="49">
        <v>1200</v>
      </c>
      <c r="E76" s="14">
        <v>1250</v>
      </c>
      <c r="F76" s="14">
        <v>1250</v>
      </c>
      <c r="G76" s="14">
        <v>1250</v>
      </c>
      <c r="H76" s="14">
        <v>1250</v>
      </c>
      <c r="I76" s="14">
        <v>7550</v>
      </c>
      <c r="J76" s="14">
        <v>7930</v>
      </c>
      <c r="K76" s="14">
        <v>8250</v>
      </c>
      <c r="L76" s="14">
        <v>8550</v>
      </c>
      <c r="M76" s="14">
        <v>8950</v>
      </c>
      <c r="N76" s="49">
        <v>9060</v>
      </c>
      <c r="O76" s="14">
        <v>9912.5</v>
      </c>
      <c r="P76" s="14">
        <v>10312.5</v>
      </c>
      <c r="Q76" s="14">
        <v>10687.5</v>
      </c>
      <c r="R76" s="14">
        <v>11187.5</v>
      </c>
    </row>
    <row r="77" spans="1:18" s="2" customFormat="1" ht="27.6" hidden="1" x14ac:dyDescent="0.25">
      <c r="A77" s="28">
        <v>22</v>
      </c>
      <c r="B77" s="42" t="s">
        <v>85</v>
      </c>
      <c r="C77" s="28" t="s">
        <v>14</v>
      </c>
      <c r="D77" s="49">
        <v>22</v>
      </c>
      <c r="E77" s="14">
        <v>25</v>
      </c>
      <c r="F77" s="14">
        <v>25</v>
      </c>
      <c r="G77" s="14">
        <v>25</v>
      </c>
      <c r="H77" s="14">
        <v>25</v>
      </c>
      <c r="I77" s="14">
        <v>71210</v>
      </c>
      <c r="J77" s="14">
        <v>74770</v>
      </c>
      <c r="K77" s="14">
        <v>77760</v>
      </c>
      <c r="L77" s="14">
        <v>80890</v>
      </c>
      <c r="M77" s="14">
        <v>84100</v>
      </c>
      <c r="N77" s="49">
        <v>1566.6</v>
      </c>
      <c r="O77" s="14">
        <v>1869.2</v>
      </c>
      <c r="P77" s="14">
        <f>F77*K77/1000</f>
        <v>1944</v>
      </c>
      <c r="Q77" s="14">
        <v>2002.2</v>
      </c>
      <c r="R77" s="14">
        <f>H77*M77/1000</f>
        <v>2102.5</v>
      </c>
    </row>
    <row r="78" spans="1:18" s="2" customFormat="1" ht="41.45" hidden="1" x14ac:dyDescent="0.25">
      <c r="A78" s="28">
        <v>23</v>
      </c>
      <c r="B78" s="42" t="s">
        <v>86</v>
      </c>
      <c r="C78" s="28" t="s">
        <v>67</v>
      </c>
      <c r="D78" s="49">
        <v>436096</v>
      </c>
      <c r="E78" s="14">
        <v>493286</v>
      </c>
      <c r="F78" s="14">
        <v>726000</v>
      </c>
      <c r="G78" s="14">
        <v>850000</v>
      </c>
      <c r="H78" s="14">
        <v>974000</v>
      </c>
      <c r="I78" s="14">
        <v>136.1</v>
      </c>
      <c r="J78" s="14">
        <v>150</v>
      </c>
      <c r="K78" s="14">
        <v>160</v>
      </c>
      <c r="L78" s="14">
        <v>170</v>
      </c>
      <c r="M78" s="14">
        <v>180</v>
      </c>
      <c r="N78" s="49">
        <v>59367</v>
      </c>
      <c r="O78" s="14">
        <v>73992.899999999994</v>
      </c>
      <c r="P78" s="14">
        <v>116160</v>
      </c>
      <c r="Q78" s="14">
        <v>144500</v>
      </c>
      <c r="R78" s="14">
        <v>175320</v>
      </c>
    </row>
    <row r="79" spans="1:18" s="2" customFormat="1" ht="41.45" hidden="1" x14ac:dyDescent="0.25">
      <c r="A79" s="28">
        <v>24</v>
      </c>
      <c r="B79" s="42" t="s">
        <v>87</v>
      </c>
      <c r="C79" s="28" t="s">
        <v>88</v>
      </c>
      <c r="D79" s="49">
        <v>164</v>
      </c>
      <c r="E79" s="14">
        <v>360</v>
      </c>
      <c r="F79" s="49">
        <v>360</v>
      </c>
      <c r="G79" s="14">
        <v>360</v>
      </c>
      <c r="H79" s="49">
        <v>360</v>
      </c>
      <c r="I79" s="14"/>
      <c r="J79" s="14"/>
      <c r="K79" s="14"/>
      <c r="L79" s="14"/>
      <c r="M79" s="14"/>
      <c r="N79" s="49">
        <v>1980</v>
      </c>
      <c r="O79" s="14">
        <v>4330</v>
      </c>
      <c r="P79" s="14">
        <v>4503</v>
      </c>
      <c r="Q79" s="14">
        <v>4680</v>
      </c>
      <c r="R79" s="14">
        <v>4870</v>
      </c>
    </row>
    <row r="80" spans="1:18" s="2" customFormat="1" ht="41.45" hidden="1" x14ac:dyDescent="0.25">
      <c r="A80" s="28">
        <v>25</v>
      </c>
      <c r="B80" s="42" t="s">
        <v>87</v>
      </c>
      <c r="C80" s="28" t="s">
        <v>88</v>
      </c>
      <c r="D80" s="49">
        <v>293</v>
      </c>
      <c r="E80" s="14">
        <v>293</v>
      </c>
      <c r="F80" s="14">
        <v>293</v>
      </c>
      <c r="G80" s="14">
        <v>293</v>
      </c>
      <c r="H80" s="14">
        <v>293</v>
      </c>
      <c r="I80" s="14"/>
      <c r="J80" s="14"/>
      <c r="K80" s="14"/>
      <c r="L80" s="14"/>
      <c r="M80" s="14"/>
      <c r="N80" s="49">
        <v>42293</v>
      </c>
      <c r="O80" s="14">
        <v>43985</v>
      </c>
      <c r="P80" s="14">
        <v>45750</v>
      </c>
      <c r="Q80" s="14">
        <v>47580</v>
      </c>
      <c r="R80" s="14">
        <v>49500</v>
      </c>
    </row>
    <row r="81" spans="1:18" s="2" customFormat="1" ht="27.6" hidden="1" x14ac:dyDescent="0.25">
      <c r="A81" s="28">
        <v>26</v>
      </c>
      <c r="B81" s="42" t="s">
        <v>89</v>
      </c>
      <c r="C81" s="28" t="s">
        <v>88</v>
      </c>
      <c r="D81" s="49">
        <v>65</v>
      </c>
      <c r="E81" s="14">
        <v>65</v>
      </c>
      <c r="F81" s="14">
        <v>65</v>
      </c>
      <c r="G81" s="14">
        <v>65</v>
      </c>
      <c r="H81" s="14">
        <v>65</v>
      </c>
      <c r="I81" s="14"/>
      <c r="J81" s="14"/>
      <c r="K81" s="14"/>
      <c r="L81" s="14"/>
      <c r="M81" s="14"/>
      <c r="N81" s="49">
        <v>2120</v>
      </c>
      <c r="O81" s="14">
        <v>2130</v>
      </c>
      <c r="P81" s="14">
        <v>2220</v>
      </c>
      <c r="Q81" s="14">
        <v>2310</v>
      </c>
      <c r="R81" s="14">
        <v>2400</v>
      </c>
    </row>
    <row r="82" spans="1:18" s="2" customFormat="1" ht="27.6" hidden="1" x14ac:dyDescent="0.25">
      <c r="A82" s="28">
        <v>27</v>
      </c>
      <c r="B82" s="42" t="s">
        <v>90</v>
      </c>
      <c r="C82" s="28" t="s">
        <v>88</v>
      </c>
      <c r="D82" s="49">
        <v>72</v>
      </c>
      <c r="E82" s="14">
        <v>120</v>
      </c>
      <c r="F82" s="14">
        <v>120</v>
      </c>
      <c r="G82" s="14">
        <v>120</v>
      </c>
      <c r="H82" s="14">
        <v>120</v>
      </c>
      <c r="I82" s="14"/>
      <c r="J82" s="14"/>
      <c r="K82" s="14"/>
      <c r="L82" s="14"/>
      <c r="M82" s="14"/>
      <c r="N82" s="49">
        <v>3700</v>
      </c>
      <c r="O82" s="14">
        <v>3900</v>
      </c>
      <c r="P82" s="14">
        <v>4100</v>
      </c>
      <c r="Q82" s="14">
        <v>4260</v>
      </c>
      <c r="R82" s="14">
        <v>4430</v>
      </c>
    </row>
    <row r="83" spans="1:18" s="2" customFormat="1" ht="13.9" hidden="1" x14ac:dyDescent="0.25">
      <c r="A83" s="28">
        <v>28</v>
      </c>
      <c r="B83" s="42" t="s">
        <v>91</v>
      </c>
      <c r="C83" s="28" t="s">
        <v>92</v>
      </c>
      <c r="D83" s="49">
        <f>33589+32496+4815+1197+8969</f>
        <v>81066</v>
      </c>
      <c r="E83" s="14">
        <v>89384</v>
      </c>
      <c r="F83" s="14">
        <v>89384</v>
      </c>
      <c r="G83" s="14">
        <v>89384</v>
      </c>
      <c r="H83" s="14">
        <v>89384</v>
      </c>
      <c r="I83" s="14">
        <v>1490</v>
      </c>
      <c r="J83" s="14">
        <v>1540</v>
      </c>
      <c r="K83" s="14">
        <v>1600</v>
      </c>
      <c r="L83" s="14">
        <v>1670</v>
      </c>
      <c r="M83" s="14">
        <v>1740</v>
      </c>
      <c r="N83" s="49">
        <f>D83*I83/1000+7000</f>
        <v>127788.34</v>
      </c>
      <c r="O83" s="14">
        <f>E83*J83/1000+7000</f>
        <v>144651.35999999999</v>
      </c>
      <c r="P83" s="14">
        <f>F83*K83/1000+7000</f>
        <v>150014.39999999999</v>
      </c>
      <c r="Q83" s="14">
        <f>G83*L83/1000+7000</f>
        <v>156271.28</v>
      </c>
      <c r="R83" s="14">
        <f>H83*M83/1000+7000</f>
        <v>162528.16</v>
      </c>
    </row>
    <row r="84" spans="1:18" s="2" customFormat="1" ht="27.6" hidden="1" x14ac:dyDescent="0.25">
      <c r="A84" s="28">
        <v>29</v>
      </c>
      <c r="B84" s="42" t="s">
        <v>93</v>
      </c>
      <c r="C84" s="28" t="s">
        <v>14</v>
      </c>
      <c r="D84" s="49">
        <v>285</v>
      </c>
      <c r="E84" s="14">
        <v>296</v>
      </c>
      <c r="F84" s="14">
        <v>295</v>
      </c>
      <c r="G84" s="14">
        <v>295</v>
      </c>
      <c r="H84" s="14">
        <v>295</v>
      </c>
      <c r="I84" s="14">
        <v>78960</v>
      </c>
      <c r="J84" s="14">
        <v>87860</v>
      </c>
      <c r="K84" s="14">
        <v>91400</v>
      </c>
      <c r="L84" s="14">
        <f>K84*1.04</f>
        <v>95056</v>
      </c>
      <c r="M84" s="14">
        <v>98858</v>
      </c>
      <c r="N84" s="49">
        <f>D84*I84/1000</f>
        <v>22503.599999999999</v>
      </c>
      <c r="O84" s="14">
        <f>E84*J84/1000</f>
        <v>26006.560000000001</v>
      </c>
      <c r="P84" s="14">
        <f>F84*K84/1000</f>
        <v>26963</v>
      </c>
      <c r="Q84" s="14">
        <f>G84*L84/1000</f>
        <v>28041.52</v>
      </c>
      <c r="R84" s="14">
        <f>H84*M84/1000</f>
        <v>29163.11</v>
      </c>
    </row>
    <row r="85" spans="1:18" s="2" customFormat="1" ht="96.6" hidden="1" x14ac:dyDescent="0.25">
      <c r="A85" s="28">
        <v>30</v>
      </c>
      <c r="B85" s="42" t="s">
        <v>94</v>
      </c>
      <c r="C85" s="28" t="s">
        <v>14</v>
      </c>
      <c r="D85" s="49">
        <v>92185</v>
      </c>
      <c r="E85" s="14">
        <v>111907</v>
      </c>
      <c r="F85" s="14">
        <v>119267</v>
      </c>
      <c r="G85" s="14">
        <v>119267</v>
      </c>
      <c r="H85" s="14">
        <v>119267</v>
      </c>
      <c r="I85" s="14"/>
      <c r="J85" s="14"/>
      <c r="K85" s="14"/>
      <c r="L85" s="14"/>
      <c r="M85" s="14"/>
      <c r="N85" s="49">
        <v>60900</v>
      </c>
      <c r="O85" s="14">
        <v>86839.831999999995</v>
      </c>
      <c r="P85" s="14">
        <v>92552</v>
      </c>
      <c r="Q85" s="14">
        <f>P85*1.04</f>
        <v>96254.080000000002</v>
      </c>
      <c r="R85" s="14">
        <f>Q85*1.04</f>
        <v>100104.24320000001</v>
      </c>
    </row>
    <row r="86" spans="1:18" s="2" customFormat="1" ht="27.6" hidden="1" x14ac:dyDescent="0.25">
      <c r="A86" s="28">
        <v>31</v>
      </c>
      <c r="B86" s="42" t="s">
        <v>95</v>
      </c>
      <c r="C86" s="28" t="s">
        <v>14</v>
      </c>
      <c r="D86" s="49">
        <v>6500</v>
      </c>
      <c r="E86" s="14">
        <v>6500</v>
      </c>
      <c r="F86" s="14">
        <v>6500</v>
      </c>
      <c r="G86" s="14">
        <v>6500</v>
      </c>
      <c r="H86" s="14">
        <v>6500</v>
      </c>
      <c r="I86" s="14"/>
      <c r="J86" s="14"/>
      <c r="K86" s="14"/>
      <c r="L86" s="14"/>
      <c r="M86" s="14"/>
      <c r="N86" s="49">
        <v>810</v>
      </c>
      <c r="O86" s="14">
        <v>845</v>
      </c>
      <c r="P86" s="14">
        <v>878</v>
      </c>
      <c r="Q86" s="14">
        <v>910</v>
      </c>
      <c r="R86" s="14">
        <v>950</v>
      </c>
    </row>
    <row r="87" spans="1:18" s="2" customFormat="1" ht="110.45" hidden="1" x14ac:dyDescent="0.25">
      <c r="A87" s="28">
        <v>32</v>
      </c>
      <c r="B87" s="42" t="s">
        <v>96</v>
      </c>
      <c r="C87" s="28" t="s">
        <v>14</v>
      </c>
      <c r="D87" s="49">
        <f>54394+6579+4308</f>
        <v>65281</v>
      </c>
      <c r="E87" s="14">
        <v>61643</v>
      </c>
      <c r="F87" s="49">
        <v>64100</v>
      </c>
      <c r="G87" s="49">
        <v>64100</v>
      </c>
      <c r="H87" s="49">
        <v>64100</v>
      </c>
      <c r="I87" s="50"/>
      <c r="J87" s="14"/>
      <c r="K87" s="50"/>
      <c r="L87" s="50"/>
      <c r="M87" s="50"/>
      <c r="N87" s="49">
        <v>56300</v>
      </c>
      <c r="O87" s="14">
        <v>50239.044999999998</v>
      </c>
      <c r="P87" s="14">
        <v>58280.3</v>
      </c>
      <c r="Q87" s="14">
        <v>60611</v>
      </c>
      <c r="R87" s="14">
        <v>63040</v>
      </c>
    </row>
    <row r="88" spans="1:18" s="2" customFormat="1" ht="13.9" hidden="1" x14ac:dyDescent="0.25">
      <c r="A88" s="19"/>
      <c r="B88" s="20" t="s">
        <v>0</v>
      </c>
      <c r="C88" s="25"/>
      <c r="D88" s="21" t="s">
        <v>8</v>
      </c>
      <c r="E88" s="21" t="s">
        <v>8</v>
      </c>
      <c r="F88" s="21" t="s">
        <v>8</v>
      </c>
      <c r="G88" s="21" t="s">
        <v>8</v>
      </c>
      <c r="H88" s="21" t="s">
        <v>8</v>
      </c>
      <c r="I88" s="21" t="s">
        <v>8</v>
      </c>
      <c r="J88" s="21" t="s">
        <v>8</v>
      </c>
      <c r="K88" s="21" t="s">
        <v>8</v>
      </c>
      <c r="L88" s="21" t="s">
        <v>8</v>
      </c>
      <c r="M88" s="21" t="s">
        <v>8</v>
      </c>
      <c r="N88" s="51">
        <f>SUM(N56:N87)</f>
        <v>2930746.4792200006</v>
      </c>
      <c r="O88" s="51">
        <f>SUM(O56:O87)</f>
        <v>3168752.365819999</v>
      </c>
      <c r="P88" s="51">
        <f>SUM(P56:P87)</f>
        <v>3326073.4699999997</v>
      </c>
      <c r="Q88" s="51">
        <f>SUM(Q56:Q87)</f>
        <v>3658888.452</v>
      </c>
      <c r="R88" s="51">
        <f>SUM(R56:R87)</f>
        <v>3882809.6311999992</v>
      </c>
    </row>
    <row r="89" spans="1:18" s="2" customFormat="1" ht="13.9" hidden="1" x14ac:dyDescent="0.25">
      <c r="A89" s="134" t="s">
        <v>97</v>
      </c>
      <c r="B89" s="134"/>
      <c r="C89" s="134"/>
      <c r="D89" s="134"/>
      <c r="E89" s="134"/>
      <c r="F89" s="134"/>
      <c r="G89" s="134"/>
      <c r="H89" s="134"/>
      <c r="I89" s="134"/>
      <c r="J89" s="134"/>
      <c r="K89" s="134"/>
      <c r="L89" s="134"/>
      <c r="M89" s="134"/>
      <c r="N89" s="134"/>
      <c r="O89" s="134"/>
      <c r="P89" s="134"/>
      <c r="Q89" s="134"/>
      <c r="R89" s="134"/>
    </row>
    <row r="90" spans="1:18" s="2" customFormat="1" ht="82.9" hidden="1" x14ac:dyDescent="0.25">
      <c r="A90" s="1">
        <v>1</v>
      </c>
      <c r="B90" s="33" t="s">
        <v>98</v>
      </c>
      <c r="C90" s="1" t="s">
        <v>99</v>
      </c>
      <c r="D90" s="49">
        <v>146</v>
      </c>
      <c r="E90" s="49">
        <v>146</v>
      </c>
      <c r="F90" s="49">
        <v>146</v>
      </c>
      <c r="G90" s="49">
        <v>146</v>
      </c>
      <c r="H90" s="49">
        <v>146</v>
      </c>
      <c r="I90" s="49">
        <v>227120.08</v>
      </c>
      <c r="J90" s="49">
        <v>235649.67</v>
      </c>
      <c r="K90" s="49">
        <v>247190.11352226255</v>
      </c>
      <c r="L90" s="49">
        <v>260235.53966226257</v>
      </c>
      <c r="M90" s="49">
        <v>276125.46949572256</v>
      </c>
      <c r="N90" s="49">
        <v>33159.53168</v>
      </c>
      <c r="O90" s="49">
        <v>34185.851820000003</v>
      </c>
      <c r="P90" s="49">
        <v>35870.756059999992</v>
      </c>
      <c r="Q90" s="49">
        <v>35870.756059999992</v>
      </c>
      <c r="R90" s="49">
        <v>35870.756059999992</v>
      </c>
    </row>
    <row r="91" spans="1:18" s="2" customFormat="1" ht="82.9" hidden="1" x14ac:dyDescent="0.25">
      <c r="A91" s="1">
        <v>2</v>
      </c>
      <c r="B91" s="33" t="s">
        <v>100</v>
      </c>
      <c r="C91" s="1" t="s">
        <v>99</v>
      </c>
      <c r="D91" s="49">
        <v>65</v>
      </c>
      <c r="E91" s="49">
        <v>65</v>
      </c>
      <c r="F91" s="49">
        <v>65</v>
      </c>
      <c r="G91" s="49">
        <v>65</v>
      </c>
      <c r="H91" s="49">
        <v>65</v>
      </c>
      <c r="I91" s="49">
        <v>127884.25</v>
      </c>
      <c r="J91" s="49">
        <v>132651.85</v>
      </c>
      <c r="K91" s="49">
        <v>139083.5612580243</v>
      </c>
      <c r="L91" s="49">
        <v>146349.16483802433</v>
      </c>
      <c r="M91" s="49">
        <v>155193.84031964419</v>
      </c>
      <c r="N91" s="49">
        <v>8312.4762499999997</v>
      </c>
      <c r="O91" s="49">
        <v>8524.8702499999999</v>
      </c>
      <c r="P91" s="49">
        <v>8942.9320500000013</v>
      </c>
      <c r="Q91" s="49">
        <v>8942.9320500000013</v>
      </c>
      <c r="R91" s="49">
        <v>8942.9320500000013</v>
      </c>
    </row>
    <row r="92" spans="1:18" s="2" customFormat="1" ht="82.9" hidden="1" x14ac:dyDescent="0.25">
      <c r="A92" s="1">
        <v>3</v>
      </c>
      <c r="B92" s="33" t="s">
        <v>101</v>
      </c>
      <c r="C92" s="1" t="s">
        <v>99</v>
      </c>
      <c r="D92" s="49">
        <v>96</v>
      </c>
      <c r="E92" s="49">
        <v>96</v>
      </c>
      <c r="F92" s="49">
        <v>96</v>
      </c>
      <c r="G92" s="49">
        <v>96</v>
      </c>
      <c r="H92" s="49">
        <v>96</v>
      </c>
      <c r="I92" s="49">
        <v>85074.96</v>
      </c>
      <c r="J92" s="49">
        <v>88259.49</v>
      </c>
      <c r="K92" s="49">
        <v>92570.313863919844</v>
      </c>
      <c r="L92" s="49">
        <v>97443.897463919842</v>
      </c>
      <c r="M92" s="49">
        <v>103380.75167231984</v>
      </c>
      <c r="N92" s="49">
        <v>8167.1961600000004</v>
      </c>
      <c r="O92" s="49">
        <v>8424.9110400000009</v>
      </c>
      <c r="P92" s="49">
        <v>8838.75072</v>
      </c>
      <c r="Q92" s="49">
        <v>8838.75072</v>
      </c>
      <c r="R92" s="49">
        <v>8838.75072</v>
      </c>
    </row>
    <row r="93" spans="1:18" s="2" customFormat="1" ht="82.9" hidden="1" x14ac:dyDescent="0.25">
      <c r="A93" s="1">
        <v>4</v>
      </c>
      <c r="B93" s="33" t="s">
        <v>102</v>
      </c>
      <c r="C93" s="1" t="s">
        <v>99</v>
      </c>
      <c r="D93" s="49">
        <v>27</v>
      </c>
      <c r="E93" s="49">
        <v>27</v>
      </c>
      <c r="F93" s="49">
        <v>27</v>
      </c>
      <c r="G93" s="49">
        <v>27</v>
      </c>
      <c r="H93" s="49">
        <v>27</v>
      </c>
      <c r="I93" s="49">
        <v>401709.66</v>
      </c>
      <c r="J93" s="49">
        <v>416887.02</v>
      </c>
      <c r="K93" s="49">
        <v>437457.17037633917</v>
      </c>
      <c r="L93" s="49">
        <v>460719.06063633919</v>
      </c>
      <c r="M93" s="49">
        <v>489062.82904647908</v>
      </c>
      <c r="N93" s="49">
        <v>10846.160819999999</v>
      </c>
      <c r="O93" s="49">
        <v>11215.44954</v>
      </c>
      <c r="P93" s="49">
        <v>11770.843859999999</v>
      </c>
      <c r="Q93" s="49">
        <v>11770.843859999999</v>
      </c>
      <c r="R93" s="49">
        <v>11770.843859999999</v>
      </c>
    </row>
    <row r="94" spans="1:18" s="2" customFormat="1" ht="96.6" hidden="1" x14ac:dyDescent="0.25">
      <c r="A94" s="1">
        <v>5</v>
      </c>
      <c r="B94" s="33" t="s">
        <v>103</v>
      </c>
      <c r="C94" s="1" t="s">
        <v>99</v>
      </c>
      <c r="D94" s="49">
        <v>27</v>
      </c>
      <c r="E94" s="49">
        <v>27</v>
      </c>
      <c r="F94" s="49">
        <v>27</v>
      </c>
      <c r="G94" s="49">
        <v>27</v>
      </c>
      <c r="H94" s="49">
        <v>27</v>
      </c>
      <c r="I94" s="49">
        <v>517835.92</v>
      </c>
      <c r="J94" s="49">
        <v>537835.92000000004</v>
      </c>
      <c r="K94" s="49">
        <v>565125.44276007405</v>
      </c>
      <c r="L94" s="49">
        <v>595992.31380007404</v>
      </c>
      <c r="M94" s="49">
        <v>633609.21964107396</v>
      </c>
      <c r="N94" s="49">
        <v>13981.56984</v>
      </c>
      <c r="O94" s="49">
        <v>14481.069840000002</v>
      </c>
      <c r="P94" s="49">
        <v>15217.886879999998</v>
      </c>
      <c r="Q94" s="49">
        <v>15217.886879999998</v>
      </c>
      <c r="R94" s="49">
        <v>15217.886879999998</v>
      </c>
    </row>
    <row r="95" spans="1:18" s="2" customFormat="1" ht="96.6" hidden="1" x14ac:dyDescent="0.25">
      <c r="A95" s="1">
        <v>6</v>
      </c>
      <c r="B95" s="33" t="s">
        <v>104</v>
      </c>
      <c r="C95" s="1" t="s">
        <v>99</v>
      </c>
      <c r="D95" s="49">
        <v>67</v>
      </c>
      <c r="E95" s="49">
        <v>67</v>
      </c>
      <c r="F95" s="49">
        <v>67</v>
      </c>
      <c r="G95" s="49">
        <v>67</v>
      </c>
      <c r="H95" s="49">
        <v>67</v>
      </c>
      <c r="I95" s="49">
        <v>318148.90999999997</v>
      </c>
      <c r="J95" s="49">
        <v>330211.25</v>
      </c>
      <c r="K95" s="49">
        <v>271550.78655079613</v>
      </c>
      <c r="L95" s="49">
        <v>271550.78655079613</v>
      </c>
      <c r="M95" s="49">
        <v>271550.78655079607</v>
      </c>
      <c r="N95" s="49">
        <v>21315.97697</v>
      </c>
      <c r="O95" s="49">
        <v>21923.153750000001</v>
      </c>
      <c r="P95" s="49">
        <v>23018.000749999999</v>
      </c>
      <c r="Q95" s="49">
        <v>23018.000749999999</v>
      </c>
      <c r="R95" s="49">
        <v>23018.000749999999</v>
      </c>
    </row>
    <row r="96" spans="1:18" s="2" customFormat="1" ht="41.45" hidden="1" x14ac:dyDescent="0.25">
      <c r="A96" s="1">
        <v>7</v>
      </c>
      <c r="B96" s="33" t="s">
        <v>105</v>
      </c>
      <c r="C96" s="1" t="s">
        <v>99</v>
      </c>
      <c r="D96" s="49">
        <v>200</v>
      </c>
      <c r="E96" s="49">
        <v>200</v>
      </c>
      <c r="F96" s="49">
        <v>200</v>
      </c>
      <c r="G96" s="49">
        <v>200</v>
      </c>
      <c r="H96" s="49">
        <v>200</v>
      </c>
      <c r="I96" s="49">
        <v>576.29</v>
      </c>
      <c r="J96" s="49">
        <v>597.16999999999996</v>
      </c>
      <c r="K96" s="49">
        <v>625.31726438432952</v>
      </c>
      <c r="L96" s="49">
        <v>657.09456438432949</v>
      </c>
      <c r="M96" s="49">
        <v>695.75693328432942</v>
      </c>
      <c r="N96" s="49">
        <v>115.258</v>
      </c>
      <c r="O96" s="49">
        <v>119.43</v>
      </c>
      <c r="P96" s="49">
        <v>125.06</v>
      </c>
      <c r="Q96" s="49">
        <v>126.06</v>
      </c>
      <c r="R96" s="49">
        <v>125.06</v>
      </c>
    </row>
    <row r="97" spans="1:18" s="2" customFormat="1" ht="27.6" hidden="1" x14ac:dyDescent="0.25">
      <c r="A97" s="1">
        <v>8</v>
      </c>
      <c r="B97" s="33" t="s">
        <v>106</v>
      </c>
      <c r="C97" s="1" t="s">
        <v>99</v>
      </c>
      <c r="D97" s="49">
        <v>96558</v>
      </c>
      <c r="E97" s="49">
        <v>96558</v>
      </c>
      <c r="F97" s="49">
        <v>97758</v>
      </c>
      <c r="G97" s="49">
        <v>97758</v>
      </c>
      <c r="H97" s="49">
        <v>97758</v>
      </c>
      <c r="I97" s="49">
        <v>1285.74</v>
      </c>
      <c r="J97" s="49">
        <v>1313.72</v>
      </c>
      <c r="K97" s="49">
        <v>1351.66</v>
      </c>
      <c r="L97" s="49">
        <v>1394.5729498182372</v>
      </c>
      <c r="M97" s="49">
        <v>1446.8635521582371</v>
      </c>
      <c r="N97" s="49">
        <v>124148.48291999999</v>
      </c>
      <c r="O97" s="49">
        <v>89069.225760000001</v>
      </c>
      <c r="P97" s="49">
        <v>93874.62827999999</v>
      </c>
      <c r="Q97" s="49">
        <v>94813.374562799989</v>
      </c>
      <c r="R97" s="49">
        <v>100445.85225960001</v>
      </c>
    </row>
    <row r="98" spans="1:18" s="2" customFormat="1" ht="27.6" hidden="1" x14ac:dyDescent="0.25">
      <c r="A98" s="1">
        <v>9</v>
      </c>
      <c r="B98" s="33" t="s">
        <v>107</v>
      </c>
      <c r="C98" s="1" t="s">
        <v>99</v>
      </c>
      <c r="D98" s="49">
        <v>30100</v>
      </c>
      <c r="E98" s="49">
        <v>30100</v>
      </c>
      <c r="F98" s="49">
        <v>30250</v>
      </c>
      <c r="G98" s="49">
        <v>30250</v>
      </c>
      <c r="H98" s="49">
        <v>30250</v>
      </c>
      <c r="I98" s="49">
        <v>1159.3599999999999</v>
      </c>
      <c r="J98" s="49">
        <v>1232.3699999999999</v>
      </c>
      <c r="K98" s="49">
        <v>1269.97</v>
      </c>
      <c r="L98" s="49">
        <v>1312.3934397521973</v>
      </c>
      <c r="M98" s="49">
        <v>1363.9819397321971</v>
      </c>
      <c r="N98" s="49">
        <v>34896.735999999997</v>
      </c>
      <c r="O98" s="49">
        <v>28184.336999999992</v>
      </c>
      <c r="P98" s="49">
        <v>29461.592499999999</v>
      </c>
      <c r="Q98" s="49">
        <v>29756.208425000001</v>
      </c>
      <c r="R98" s="49">
        <v>31523.903975000001</v>
      </c>
    </row>
    <row r="99" spans="1:18" s="2" customFormat="1" ht="27.6" hidden="1" x14ac:dyDescent="0.25">
      <c r="A99" s="1">
        <v>10</v>
      </c>
      <c r="B99" s="33" t="s">
        <v>108</v>
      </c>
      <c r="C99" s="1" t="s">
        <v>99</v>
      </c>
      <c r="D99" s="49">
        <v>6224</v>
      </c>
      <c r="E99" s="49">
        <v>6224</v>
      </c>
      <c r="F99" s="49">
        <v>6374</v>
      </c>
      <c r="G99" s="49">
        <v>6374</v>
      </c>
      <c r="H99" s="49">
        <v>6374</v>
      </c>
      <c r="I99" s="49">
        <v>2128.9499999999998</v>
      </c>
      <c r="J99" s="49">
        <v>2302.12</v>
      </c>
      <c r="K99" s="49">
        <v>2353.56</v>
      </c>
      <c r="L99" s="49">
        <v>2411.6452822154929</v>
      </c>
      <c r="M99" s="49">
        <v>2482.321127995493</v>
      </c>
      <c r="N99" s="49">
        <v>13250.584799999999</v>
      </c>
      <c r="O99" s="49">
        <v>12661.194880000001</v>
      </c>
      <c r="P99" s="49">
        <v>13289.391439999999</v>
      </c>
      <c r="Q99" s="49">
        <v>13422.285354400003</v>
      </c>
      <c r="R99" s="49">
        <v>14219.6488408</v>
      </c>
    </row>
    <row r="100" spans="1:18" s="2" customFormat="1" ht="27.6" hidden="1" x14ac:dyDescent="0.25">
      <c r="A100" s="1">
        <v>11</v>
      </c>
      <c r="B100" s="33" t="s">
        <v>109</v>
      </c>
      <c r="C100" s="1" t="s">
        <v>99</v>
      </c>
      <c r="D100" s="49">
        <v>30050</v>
      </c>
      <c r="E100" s="49">
        <v>30050</v>
      </c>
      <c r="F100" s="49">
        <v>30300</v>
      </c>
      <c r="G100" s="49">
        <v>30300</v>
      </c>
      <c r="H100" s="49">
        <v>30300</v>
      </c>
      <c r="I100" s="49">
        <v>1240.74</v>
      </c>
      <c r="J100" s="49">
        <v>1313.72</v>
      </c>
      <c r="K100" s="49">
        <v>1351.66</v>
      </c>
      <c r="L100" s="49">
        <v>1394.572949818237</v>
      </c>
      <c r="M100" s="49">
        <v>1446.8635521582371</v>
      </c>
      <c r="N100" s="49">
        <v>37284.237000000001</v>
      </c>
      <c r="O100" s="49">
        <v>31824.786</v>
      </c>
      <c r="P100" s="49">
        <v>33227.797999999995</v>
      </c>
      <c r="Q100" s="49">
        <v>33560.075979999994</v>
      </c>
      <c r="R100" s="49">
        <v>35553.743860000002</v>
      </c>
    </row>
    <row r="101" spans="1:18" s="2" customFormat="1" ht="27.6" hidden="1" x14ac:dyDescent="0.25">
      <c r="A101" s="1">
        <v>12</v>
      </c>
      <c r="B101" s="33" t="s">
        <v>110</v>
      </c>
      <c r="C101" s="1" t="s">
        <v>99</v>
      </c>
      <c r="D101" s="49">
        <v>17376</v>
      </c>
      <c r="E101" s="49">
        <v>17376</v>
      </c>
      <c r="F101" s="49">
        <v>17426</v>
      </c>
      <c r="G101" s="49">
        <v>17426</v>
      </c>
      <c r="H101" s="49">
        <v>17426</v>
      </c>
      <c r="I101" s="49">
        <v>1159.3599999999999</v>
      </c>
      <c r="J101" s="49">
        <v>1232.3699999999999</v>
      </c>
      <c r="K101" s="49">
        <v>1269.97</v>
      </c>
      <c r="L101" s="49">
        <v>1312.3934397521973</v>
      </c>
      <c r="M101" s="49">
        <v>1363.9819397321971</v>
      </c>
      <c r="N101" s="49">
        <v>20145.039359999999</v>
      </c>
      <c r="O101" s="49">
        <v>18826.511119999996</v>
      </c>
      <c r="P101" s="49">
        <v>19535.847220000003</v>
      </c>
      <c r="Q101" s="49">
        <v>19731.205692200001</v>
      </c>
      <c r="R101" s="49">
        <v>20903.356525400002</v>
      </c>
    </row>
    <row r="102" spans="1:18" s="2" customFormat="1" ht="27.6" hidden="1" x14ac:dyDescent="0.25">
      <c r="A102" s="1">
        <v>13</v>
      </c>
      <c r="B102" s="33" t="s">
        <v>111</v>
      </c>
      <c r="C102" s="1" t="s">
        <v>99</v>
      </c>
      <c r="D102" s="49">
        <v>5343</v>
      </c>
      <c r="E102" s="49">
        <v>5343</v>
      </c>
      <c r="F102" s="49">
        <v>5443</v>
      </c>
      <c r="G102" s="49">
        <v>5443</v>
      </c>
      <c r="H102" s="49">
        <v>5443</v>
      </c>
      <c r="I102" s="49">
        <v>2128.92</v>
      </c>
      <c r="J102" s="49">
        <v>2302.12</v>
      </c>
      <c r="K102" s="49">
        <v>2353.56</v>
      </c>
      <c r="L102" s="49">
        <v>2413.7212822154929</v>
      </c>
      <c r="M102" s="49">
        <v>2484.4780919954933</v>
      </c>
      <c r="N102" s="49">
        <v>11374.81956</v>
      </c>
      <c r="O102" s="49">
        <v>11513.77716</v>
      </c>
      <c r="P102" s="49">
        <v>12008.977079999999</v>
      </c>
      <c r="Q102" s="49">
        <v>12129.0668508</v>
      </c>
      <c r="R102" s="49">
        <v>12849.605475599999</v>
      </c>
    </row>
    <row r="103" spans="1:18" s="2" customFormat="1" ht="27.6" hidden="1" x14ac:dyDescent="0.25">
      <c r="A103" s="1">
        <v>14</v>
      </c>
      <c r="B103" s="33" t="s">
        <v>112</v>
      </c>
      <c r="C103" s="1" t="s">
        <v>99</v>
      </c>
      <c r="D103" s="49">
        <v>45500</v>
      </c>
      <c r="E103" s="49">
        <v>45500</v>
      </c>
      <c r="F103" s="49">
        <v>45700</v>
      </c>
      <c r="G103" s="49">
        <v>45700</v>
      </c>
      <c r="H103" s="49">
        <v>45700</v>
      </c>
      <c r="I103" s="49">
        <v>825.15</v>
      </c>
      <c r="J103" s="49">
        <v>849.9</v>
      </c>
      <c r="K103" s="49">
        <v>883.44</v>
      </c>
      <c r="L103" s="49">
        <v>921.38116071860918</v>
      </c>
      <c r="M103" s="49">
        <v>967.61515527860911</v>
      </c>
      <c r="N103" s="49">
        <v>37544.324999999997</v>
      </c>
      <c r="O103" s="49">
        <v>25130.43</v>
      </c>
      <c r="P103" s="49">
        <v>26663.207999999999</v>
      </c>
      <c r="Q103" s="49">
        <v>26929.840079999998</v>
      </c>
      <c r="R103" s="49">
        <v>28529.632559999998</v>
      </c>
    </row>
    <row r="104" spans="1:18" s="2" customFormat="1" ht="27.6" hidden="1" x14ac:dyDescent="0.25">
      <c r="A104" s="1">
        <v>15</v>
      </c>
      <c r="B104" s="33" t="s">
        <v>113</v>
      </c>
      <c r="C104" s="1" t="s">
        <v>99</v>
      </c>
      <c r="D104" s="49">
        <v>23000</v>
      </c>
      <c r="E104" s="49">
        <v>23000</v>
      </c>
      <c r="F104" s="49">
        <v>23000</v>
      </c>
      <c r="G104" s="49">
        <v>23000</v>
      </c>
      <c r="H104" s="49">
        <v>23000</v>
      </c>
      <c r="I104" s="49">
        <v>1001.78</v>
      </c>
      <c r="J104" s="49">
        <v>1027.95</v>
      </c>
      <c r="K104" s="49">
        <v>1064.1400000000001</v>
      </c>
      <c r="L104" s="49">
        <v>1103.5610950265982</v>
      </c>
      <c r="M104" s="49">
        <v>1152.4712821865983</v>
      </c>
      <c r="N104" s="49">
        <v>23040.94</v>
      </c>
      <c r="O104" s="49">
        <v>20192.849999999999</v>
      </c>
      <c r="P104" s="49">
        <v>21025.220000000005</v>
      </c>
      <c r="Q104" s="49">
        <v>21235.472200000004</v>
      </c>
      <c r="R104" s="49">
        <v>22496.985400000005</v>
      </c>
    </row>
    <row r="105" spans="1:18" s="2" customFormat="1" ht="13.9" hidden="1" x14ac:dyDescent="0.25">
      <c r="A105" s="9"/>
      <c r="B105" s="10" t="s">
        <v>0</v>
      </c>
      <c r="C105" s="3"/>
      <c r="D105" s="11" t="s">
        <v>8</v>
      </c>
      <c r="E105" s="11" t="s">
        <v>8</v>
      </c>
      <c r="F105" s="11" t="s">
        <v>8</v>
      </c>
      <c r="G105" s="11" t="s">
        <v>8</v>
      </c>
      <c r="H105" s="11" t="s">
        <v>8</v>
      </c>
      <c r="I105" s="11" t="s">
        <v>8</v>
      </c>
      <c r="J105" s="11" t="s">
        <v>8</v>
      </c>
      <c r="K105" s="11" t="s">
        <v>8</v>
      </c>
      <c r="L105" s="11" t="s">
        <v>8</v>
      </c>
      <c r="M105" s="11" t="s">
        <v>8</v>
      </c>
      <c r="N105" s="50">
        <f>SUM(N90:N104)</f>
        <v>397583.33435999998</v>
      </c>
      <c r="O105" s="50">
        <f>SUM(O90:O104)</f>
        <v>336277.84815999994</v>
      </c>
      <c r="P105" s="50">
        <f>SUM(P90:P104)</f>
        <v>352870.89283999999</v>
      </c>
      <c r="Q105" s="50">
        <f>SUM(Q90:Q104)</f>
        <v>355362.75946520001</v>
      </c>
      <c r="R105" s="50">
        <f>SUM(R90:R104)</f>
        <v>370306.95921639999</v>
      </c>
    </row>
    <row r="106" spans="1:18" s="2" customFormat="1" ht="13.9" hidden="1" x14ac:dyDescent="0.25">
      <c r="A106" s="134" t="s">
        <v>264</v>
      </c>
      <c r="B106" s="134"/>
      <c r="C106" s="134"/>
      <c r="D106" s="134"/>
      <c r="E106" s="134"/>
      <c r="F106" s="134"/>
      <c r="G106" s="134"/>
      <c r="H106" s="134"/>
      <c r="I106" s="134"/>
      <c r="J106" s="134"/>
      <c r="K106" s="134"/>
      <c r="L106" s="134"/>
      <c r="M106" s="134"/>
      <c r="N106" s="134"/>
      <c r="O106" s="134"/>
      <c r="P106" s="134"/>
      <c r="Q106" s="134"/>
      <c r="R106" s="134"/>
    </row>
    <row r="107" spans="1:18" s="2" customFormat="1" ht="27.6" hidden="1" x14ac:dyDescent="0.25">
      <c r="A107" s="1">
        <v>1</v>
      </c>
      <c r="B107" s="33" t="s">
        <v>114</v>
      </c>
      <c r="C107" s="1" t="s">
        <v>115</v>
      </c>
      <c r="D107" s="49">
        <v>200</v>
      </c>
      <c r="E107" s="49"/>
      <c r="F107" s="49"/>
      <c r="G107" s="49"/>
      <c r="H107" s="49"/>
      <c r="I107" s="49"/>
      <c r="J107" s="49"/>
      <c r="K107" s="49"/>
      <c r="L107" s="49"/>
      <c r="M107" s="49"/>
      <c r="N107" s="49">
        <v>5200.92</v>
      </c>
      <c r="O107" s="49">
        <v>7600</v>
      </c>
      <c r="P107" s="49">
        <v>5600</v>
      </c>
      <c r="Q107" s="49">
        <v>5824</v>
      </c>
      <c r="R107" s="49">
        <v>6057</v>
      </c>
    </row>
    <row r="108" spans="1:18" s="2" customFormat="1" ht="27.6" hidden="1" x14ac:dyDescent="0.25">
      <c r="A108" s="1"/>
      <c r="B108" s="33"/>
      <c r="C108" s="1" t="s">
        <v>116</v>
      </c>
      <c r="D108" s="49"/>
      <c r="E108" s="49">
        <v>12</v>
      </c>
      <c r="F108" s="49">
        <v>10</v>
      </c>
      <c r="G108" s="49">
        <v>11</v>
      </c>
      <c r="H108" s="49">
        <v>11</v>
      </c>
      <c r="I108" s="49"/>
      <c r="J108" s="49"/>
      <c r="K108" s="49"/>
      <c r="L108" s="49"/>
      <c r="M108" s="49"/>
      <c r="N108" s="49"/>
      <c r="O108" s="49"/>
      <c r="P108" s="49"/>
      <c r="Q108" s="49"/>
      <c r="R108" s="49"/>
    </row>
    <row r="109" spans="1:18" s="2" customFormat="1" ht="27.6" hidden="1" x14ac:dyDescent="0.25">
      <c r="A109" s="1">
        <v>2</v>
      </c>
      <c r="B109" s="33" t="s">
        <v>117</v>
      </c>
      <c r="C109" s="1" t="s">
        <v>115</v>
      </c>
      <c r="D109" s="49">
        <v>154</v>
      </c>
      <c r="E109" s="49"/>
      <c r="F109" s="49"/>
      <c r="G109" s="49"/>
      <c r="H109" s="49"/>
      <c r="I109" s="49"/>
      <c r="J109" s="49"/>
      <c r="K109" s="49"/>
      <c r="L109" s="49"/>
      <c r="M109" s="49"/>
      <c r="N109" s="49"/>
      <c r="O109" s="49"/>
      <c r="P109" s="49"/>
      <c r="Q109" s="49"/>
      <c r="R109" s="49"/>
    </row>
    <row r="110" spans="1:18" s="2" customFormat="1" ht="27.6" hidden="1" x14ac:dyDescent="0.25">
      <c r="A110" s="1"/>
      <c r="B110" s="33"/>
      <c r="C110" s="1" t="s">
        <v>116</v>
      </c>
      <c r="D110" s="49"/>
      <c r="E110" s="49">
        <v>12</v>
      </c>
      <c r="F110" s="49">
        <v>10</v>
      </c>
      <c r="G110" s="49">
        <v>11</v>
      </c>
      <c r="H110" s="49">
        <v>11</v>
      </c>
      <c r="I110" s="49"/>
      <c r="J110" s="49"/>
      <c r="K110" s="49"/>
      <c r="L110" s="49"/>
      <c r="M110" s="49"/>
      <c r="N110" s="49"/>
      <c r="O110" s="49"/>
      <c r="P110" s="49"/>
      <c r="Q110" s="49"/>
      <c r="R110" s="49"/>
    </row>
    <row r="111" spans="1:18" s="2" customFormat="1" ht="27.6" hidden="1" x14ac:dyDescent="0.25">
      <c r="A111" s="1">
        <v>3</v>
      </c>
      <c r="B111" s="33" t="s">
        <v>118</v>
      </c>
      <c r="C111" s="1" t="s">
        <v>119</v>
      </c>
      <c r="D111" s="49">
        <v>1</v>
      </c>
      <c r="E111" s="49"/>
      <c r="F111" s="49"/>
      <c r="G111" s="49"/>
      <c r="H111" s="49"/>
      <c r="I111" s="49"/>
      <c r="J111" s="49"/>
      <c r="K111" s="49"/>
      <c r="L111" s="49"/>
      <c r="M111" s="49"/>
      <c r="N111" s="49">
        <v>500</v>
      </c>
      <c r="O111" s="49">
        <v>500</v>
      </c>
      <c r="P111" s="49">
        <v>500</v>
      </c>
      <c r="Q111" s="49">
        <v>520</v>
      </c>
      <c r="R111" s="49">
        <v>540.79999999999995</v>
      </c>
    </row>
    <row r="112" spans="1:18" s="2" customFormat="1" ht="41.45" hidden="1" x14ac:dyDescent="0.25">
      <c r="A112" s="1"/>
      <c r="B112" s="33"/>
      <c r="C112" s="1" t="s">
        <v>120</v>
      </c>
      <c r="D112" s="49"/>
      <c r="E112" s="49">
        <v>60000</v>
      </c>
      <c r="F112" s="49">
        <v>70000</v>
      </c>
      <c r="G112" s="49">
        <v>80000</v>
      </c>
      <c r="H112" s="49">
        <v>80000</v>
      </c>
      <c r="I112" s="49"/>
      <c r="J112" s="49"/>
      <c r="K112" s="49"/>
      <c r="L112" s="49"/>
      <c r="M112" s="49"/>
      <c r="N112" s="49"/>
      <c r="O112" s="49"/>
      <c r="P112" s="49"/>
      <c r="Q112" s="49"/>
      <c r="R112" s="49"/>
    </row>
    <row r="113" spans="1:18" s="2" customFormat="1" ht="110.45" hidden="1" x14ac:dyDescent="0.25">
      <c r="A113" s="1">
        <v>4</v>
      </c>
      <c r="B113" s="33" t="s">
        <v>121</v>
      </c>
      <c r="C113" s="1" t="s">
        <v>122</v>
      </c>
      <c r="D113" s="49"/>
      <c r="E113" s="49">
        <v>7</v>
      </c>
      <c r="F113" s="49">
        <v>8</v>
      </c>
      <c r="G113" s="49">
        <v>8</v>
      </c>
      <c r="H113" s="49">
        <v>8</v>
      </c>
      <c r="I113" s="49"/>
      <c r="J113" s="49"/>
      <c r="K113" s="49"/>
      <c r="L113" s="49"/>
      <c r="M113" s="49"/>
      <c r="N113" s="49"/>
      <c r="O113" s="49">
        <v>40000</v>
      </c>
      <c r="P113" s="49">
        <v>35600</v>
      </c>
      <c r="Q113" s="49">
        <v>37024</v>
      </c>
      <c r="R113" s="49">
        <v>38505</v>
      </c>
    </row>
    <row r="114" spans="1:18" s="2" customFormat="1" ht="110.45" hidden="1" x14ac:dyDescent="0.25">
      <c r="A114" s="1">
        <v>5</v>
      </c>
      <c r="B114" s="33" t="s">
        <v>123</v>
      </c>
      <c r="C114" s="1" t="s">
        <v>122</v>
      </c>
      <c r="D114" s="49"/>
      <c r="E114" s="49">
        <v>15</v>
      </c>
      <c r="F114" s="49">
        <v>12</v>
      </c>
      <c r="G114" s="49">
        <v>12</v>
      </c>
      <c r="H114" s="49">
        <v>12</v>
      </c>
      <c r="I114" s="49"/>
      <c r="J114" s="49"/>
      <c r="K114" s="49"/>
      <c r="L114" s="49"/>
      <c r="M114" s="49"/>
      <c r="N114" s="49"/>
      <c r="O114" s="49">
        <v>13000</v>
      </c>
      <c r="P114" s="49">
        <v>13000</v>
      </c>
      <c r="Q114" s="49">
        <v>13520</v>
      </c>
      <c r="R114" s="49">
        <v>14060.8</v>
      </c>
    </row>
    <row r="115" spans="1:18" s="2" customFormat="1" ht="138" hidden="1" x14ac:dyDescent="0.25">
      <c r="A115" s="1">
        <v>6</v>
      </c>
      <c r="B115" s="33" t="s">
        <v>124</v>
      </c>
      <c r="C115" s="1" t="s">
        <v>125</v>
      </c>
      <c r="D115" s="49"/>
      <c r="E115" s="49">
        <v>4</v>
      </c>
      <c r="F115" s="49">
        <v>4</v>
      </c>
      <c r="G115" s="49">
        <v>4</v>
      </c>
      <c r="H115" s="49">
        <v>4</v>
      </c>
      <c r="I115" s="49"/>
      <c r="J115" s="49"/>
      <c r="K115" s="49"/>
      <c r="L115" s="49"/>
      <c r="M115" s="49"/>
      <c r="N115" s="49"/>
      <c r="O115" s="49">
        <v>12900</v>
      </c>
      <c r="P115" s="49">
        <v>12900</v>
      </c>
      <c r="Q115" s="49">
        <v>13416</v>
      </c>
      <c r="R115" s="49">
        <v>13952.6</v>
      </c>
    </row>
    <row r="116" spans="1:18" s="2" customFormat="1" ht="138" hidden="1" x14ac:dyDescent="0.25">
      <c r="A116" s="1">
        <v>7</v>
      </c>
      <c r="B116" s="33" t="s">
        <v>126</v>
      </c>
      <c r="C116" s="1" t="s">
        <v>127</v>
      </c>
      <c r="D116" s="49"/>
      <c r="E116" s="49">
        <v>20</v>
      </c>
      <c r="F116" s="49">
        <v>20</v>
      </c>
      <c r="G116" s="49">
        <v>20</v>
      </c>
      <c r="H116" s="49">
        <v>20</v>
      </c>
      <c r="I116" s="49"/>
      <c r="J116" s="49"/>
      <c r="K116" s="49"/>
      <c r="L116" s="49"/>
      <c r="M116" s="49"/>
      <c r="N116" s="49"/>
      <c r="O116" s="49">
        <v>7900</v>
      </c>
      <c r="P116" s="49">
        <v>7900</v>
      </c>
      <c r="Q116" s="49">
        <v>8216</v>
      </c>
      <c r="R116" s="49">
        <v>8544.6</v>
      </c>
    </row>
    <row r="117" spans="1:18" s="2" customFormat="1" ht="13.9" hidden="1" x14ac:dyDescent="0.25">
      <c r="A117" s="9"/>
      <c r="B117" s="10" t="s">
        <v>0</v>
      </c>
      <c r="C117" s="3"/>
      <c r="D117" s="11" t="s">
        <v>8</v>
      </c>
      <c r="E117" s="11" t="s">
        <v>8</v>
      </c>
      <c r="F117" s="11" t="s">
        <v>8</v>
      </c>
      <c r="G117" s="11" t="s">
        <v>8</v>
      </c>
      <c r="H117" s="11" t="s">
        <v>8</v>
      </c>
      <c r="I117" s="11" t="s">
        <v>8</v>
      </c>
      <c r="J117" s="11" t="s">
        <v>8</v>
      </c>
      <c r="K117" s="11" t="s">
        <v>8</v>
      </c>
      <c r="L117" s="11" t="s">
        <v>8</v>
      </c>
      <c r="M117" s="11" t="s">
        <v>8</v>
      </c>
      <c r="N117" s="50">
        <f>SUM(N107:N116)</f>
        <v>5700.92</v>
      </c>
      <c r="O117" s="50">
        <f>SUM(O107:O116)</f>
        <v>81900</v>
      </c>
      <c r="P117" s="50">
        <f>SUM(P107:P116)</f>
        <v>75500</v>
      </c>
      <c r="Q117" s="50">
        <f>SUM(Q107:Q116)</f>
        <v>78520</v>
      </c>
      <c r="R117" s="50">
        <f>SUM(R107:R116)</f>
        <v>81660.800000000017</v>
      </c>
    </row>
    <row r="118" spans="1:18" s="2" customFormat="1" ht="13.9" hidden="1" x14ac:dyDescent="0.25">
      <c r="A118" s="134" t="s">
        <v>265</v>
      </c>
      <c r="B118" s="134"/>
      <c r="C118" s="134"/>
      <c r="D118" s="134"/>
      <c r="E118" s="134"/>
      <c r="F118" s="134"/>
      <c r="G118" s="134"/>
      <c r="H118" s="134"/>
      <c r="I118" s="134"/>
      <c r="J118" s="134"/>
      <c r="K118" s="134"/>
      <c r="L118" s="134"/>
      <c r="M118" s="134"/>
      <c r="N118" s="134"/>
      <c r="O118" s="134"/>
      <c r="P118" s="134"/>
      <c r="Q118" s="134"/>
      <c r="R118" s="134"/>
    </row>
    <row r="119" spans="1:18" s="2" customFormat="1" ht="41.45" hidden="1" x14ac:dyDescent="0.25">
      <c r="A119" s="1">
        <v>1</v>
      </c>
      <c r="B119" s="8" t="s">
        <v>262</v>
      </c>
      <c r="C119" s="22" t="s">
        <v>128</v>
      </c>
      <c r="D119" s="49">
        <v>110710</v>
      </c>
      <c r="E119" s="49">
        <v>69830</v>
      </c>
      <c r="F119" s="49">
        <v>83900</v>
      </c>
      <c r="G119" s="49">
        <v>83900</v>
      </c>
      <c r="H119" s="49">
        <v>83900</v>
      </c>
      <c r="I119" s="49">
        <v>102.83</v>
      </c>
      <c r="J119" s="49">
        <v>227.83</v>
      </c>
      <c r="K119" s="49"/>
      <c r="L119" s="49"/>
      <c r="M119" s="49"/>
      <c r="N119" s="49">
        <v>11384.31</v>
      </c>
      <c r="O119" s="49">
        <v>15909.3</v>
      </c>
      <c r="P119" s="49">
        <v>14889.44</v>
      </c>
      <c r="Q119" s="49" t="s">
        <v>129</v>
      </c>
      <c r="R119" s="49">
        <v>15985.76</v>
      </c>
    </row>
    <row r="120" spans="1:18" s="2" customFormat="1" ht="41.45" hidden="1" x14ac:dyDescent="0.25">
      <c r="A120" s="1">
        <v>2</v>
      </c>
      <c r="B120" s="8" t="s">
        <v>130</v>
      </c>
      <c r="C120" s="22" t="s">
        <v>128</v>
      </c>
      <c r="D120" s="49">
        <v>13014</v>
      </c>
      <c r="E120" s="49">
        <v>6312</v>
      </c>
      <c r="F120" s="49">
        <v>18302</v>
      </c>
      <c r="G120" s="49">
        <v>18302</v>
      </c>
      <c r="H120" s="49">
        <v>18302</v>
      </c>
      <c r="I120" s="49">
        <v>100.68</v>
      </c>
      <c r="J120" s="49">
        <v>300.60000000000002</v>
      </c>
      <c r="K120" s="49"/>
      <c r="L120" s="49"/>
      <c r="M120" s="49"/>
      <c r="N120" s="49">
        <v>1310.25</v>
      </c>
      <c r="O120" s="49">
        <v>1897.3</v>
      </c>
      <c r="P120" s="49">
        <v>3622.03</v>
      </c>
      <c r="Q120" s="49">
        <v>3752.8</v>
      </c>
      <c r="R120" s="49">
        <v>3888.72</v>
      </c>
    </row>
    <row r="121" spans="1:18" s="2" customFormat="1" ht="69" hidden="1" x14ac:dyDescent="0.25">
      <c r="A121" s="1">
        <v>3</v>
      </c>
      <c r="B121" s="8" t="s">
        <v>263</v>
      </c>
      <c r="C121" s="22" t="s">
        <v>128</v>
      </c>
      <c r="D121" s="49">
        <v>115256</v>
      </c>
      <c r="E121" s="49">
        <v>4088</v>
      </c>
      <c r="F121" s="49">
        <v>1400</v>
      </c>
      <c r="G121" s="49">
        <v>1400</v>
      </c>
      <c r="H121" s="49">
        <v>1400</v>
      </c>
      <c r="I121" s="49">
        <v>101.53</v>
      </c>
      <c r="J121" s="49">
        <v>141.46</v>
      </c>
      <c r="K121" s="49"/>
      <c r="L121" s="49"/>
      <c r="M121" s="49"/>
      <c r="N121" s="49">
        <v>11701.94</v>
      </c>
      <c r="O121" s="49">
        <v>578.20000000000005</v>
      </c>
      <c r="P121" s="49">
        <v>245.72</v>
      </c>
      <c r="Q121" s="49">
        <v>254.6</v>
      </c>
      <c r="R121" s="49">
        <v>263.82</v>
      </c>
    </row>
    <row r="122" spans="1:18" s="2" customFormat="1" ht="13.9" hidden="1" x14ac:dyDescent="0.25">
      <c r="A122" s="9"/>
      <c r="B122" s="10" t="s">
        <v>0</v>
      </c>
      <c r="C122" s="3"/>
      <c r="D122" s="11" t="s">
        <v>8</v>
      </c>
      <c r="E122" s="11" t="s">
        <v>8</v>
      </c>
      <c r="F122" s="11" t="s">
        <v>8</v>
      </c>
      <c r="G122" s="11" t="s">
        <v>8</v>
      </c>
      <c r="H122" s="11" t="s">
        <v>8</v>
      </c>
      <c r="I122" s="11" t="s">
        <v>8</v>
      </c>
      <c r="J122" s="11" t="s">
        <v>8</v>
      </c>
      <c r="K122" s="11" t="s">
        <v>8</v>
      </c>
      <c r="L122" s="11" t="s">
        <v>8</v>
      </c>
      <c r="M122" s="11" t="s">
        <v>8</v>
      </c>
      <c r="N122" s="50">
        <v>24396.5</v>
      </c>
      <c r="O122" s="50">
        <v>21153.4</v>
      </c>
      <c r="P122" s="50">
        <v>21815.200000000001</v>
      </c>
      <c r="Q122" s="50">
        <v>22645.8</v>
      </c>
      <c r="R122" s="50">
        <v>23509.7</v>
      </c>
    </row>
    <row r="123" spans="1:18" s="2" customFormat="1" ht="13.9" hidden="1" x14ac:dyDescent="0.25">
      <c r="A123" s="134" t="s">
        <v>253</v>
      </c>
      <c r="B123" s="134"/>
      <c r="C123" s="134"/>
      <c r="D123" s="134"/>
      <c r="E123" s="134"/>
      <c r="F123" s="134"/>
      <c r="G123" s="134"/>
      <c r="H123" s="134"/>
      <c r="I123" s="134"/>
      <c r="J123" s="134"/>
      <c r="K123" s="134"/>
      <c r="L123" s="134"/>
      <c r="M123" s="134"/>
      <c r="N123" s="134"/>
      <c r="O123" s="134"/>
      <c r="P123" s="134"/>
      <c r="Q123" s="134"/>
      <c r="R123" s="134"/>
    </row>
    <row r="124" spans="1:18" s="2" customFormat="1" ht="55.15" hidden="1" x14ac:dyDescent="0.25">
      <c r="A124" s="12">
        <v>1</v>
      </c>
      <c r="B124" s="41" t="s">
        <v>131</v>
      </c>
      <c r="C124" s="12" t="s">
        <v>132</v>
      </c>
      <c r="D124" s="49">
        <v>4014205</v>
      </c>
      <c r="E124" s="49">
        <v>4045061</v>
      </c>
      <c r="F124" s="49">
        <v>4364432.0000124304</v>
      </c>
      <c r="G124" s="49">
        <v>4381889</v>
      </c>
      <c r="H124" s="49">
        <v>4399417</v>
      </c>
      <c r="I124" s="49">
        <v>308.93</v>
      </c>
      <c r="J124" s="49">
        <v>303.22641313067999</v>
      </c>
      <c r="K124" s="49">
        <v>294.33176823714427</v>
      </c>
      <c r="L124" s="49">
        <v>304.13274612974493</v>
      </c>
      <c r="M124" s="49">
        <v>315.13293711010385</v>
      </c>
      <c r="N124" s="49">
        <v>1090223.3</v>
      </c>
      <c r="O124" s="49">
        <v>1231650.8</v>
      </c>
      <c r="P124" s="49">
        <v>1290437.1000000001</v>
      </c>
      <c r="Q124" s="49">
        <v>1338521</v>
      </c>
      <c r="R124" s="49">
        <v>1392245.2</v>
      </c>
    </row>
    <row r="125" spans="1:18" s="2" customFormat="1" ht="13.9" hidden="1" x14ac:dyDescent="0.25">
      <c r="A125" s="9"/>
      <c r="B125" s="10" t="s">
        <v>0</v>
      </c>
      <c r="C125" s="3"/>
      <c r="D125" s="11" t="s">
        <v>8</v>
      </c>
      <c r="E125" s="11" t="s">
        <v>8</v>
      </c>
      <c r="F125" s="11" t="s">
        <v>8</v>
      </c>
      <c r="G125" s="11" t="s">
        <v>8</v>
      </c>
      <c r="H125" s="11" t="s">
        <v>8</v>
      </c>
      <c r="I125" s="11" t="s">
        <v>8</v>
      </c>
      <c r="J125" s="11" t="s">
        <v>8</v>
      </c>
      <c r="K125" s="11" t="s">
        <v>8</v>
      </c>
      <c r="L125" s="11" t="s">
        <v>8</v>
      </c>
      <c r="M125" s="11" t="s">
        <v>8</v>
      </c>
      <c r="N125" s="50">
        <v>1090223.3</v>
      </c>
      <c r="O125" s="50">
        <v>1231650.8</v>
      </c>
      <c r="P125" s="50">
        <v>1290437.1000000001</v>
      </c>
      <c r="Q125" s="50">
        <v>1338521</v>
      </c>
      <c r="R125" s="50">
        <v>1392245.2</v>
      </c>
    </row>
    <row r="126" spans="1:18" s="2" customFormat="1" ht="13.9" hidden="1" x14ac:dyDescent="0.25">
      <c r="A126" s="134" t="s">
        <v>266</v>
      </c>
      <c r="B126" s="134"/>
      <c r="C126" s="134"/>
      <c r="D126" s="134"/>
      <c r="E126" s="134"/>
      <c r="F126" s="134"/>
      <c r="G126" s="134"/>
      <c r="H126" s="134"/>
      <c r="I126" s="134"/>
      <c r="J126" s="134"/>
      <c r="K126" s="134"/>
      <c r="L126" s="134"/>
      <c r="M126" s="134"/>
      <c r="N126" s="134"/>
      <c r="O126" s="134"/>
      <c r="P126" s="134"/>
      <c r="Q126" s="134"/>
      <c r="R126" s="134"/>
    </row>
    <row r="127" spans="1:18" s="2" customFormat="1" ht="41.45" hidden="1" x14ac:dyDescent="0.25">
      <c r="A127" s="1">
        <v>1</v>
      </c>
      <c r="B127" s="33" t="s">
        <v>133</v>
      </c>
      <c r="C127" s="1" t="s">
        <v>134</v>
      </c>
      <c r="D127" s="49">
        <v>36194</v>
      </c>
      <c r="E127" s="49">
        <v>35274</v>
      </c>
      <c r="F127" s="49">
        <v>35610</v>
      </c>
      <c r="G127" s="49">
        <v>35610</v>
      </c>
      <c r="H127" s="49">
        <v>35610</v>
      </c>
      <c r="I127" s="49">
        <f>N127/D127*1000</f>
        <v>2028.0654252085983</v>
      </c>
      <c r="J127" s="49">
        <v>2216.4</v>
      </c>
      <c r="K127" s="49">
        <f>P127/F127*1000</f>
        <v>2349.3990452120197</v>
      </c>
      <c r="L127" s="49">
        <f t="shared" ref="L127:M146" si="5">Q127/G127*1000</f>
        <v>2443.3755686604891</v>
      </c>
      <c r="M127" s="49">
        <f>R127/H127*1000</f>
        <v>2541.1105914069085</v>
      </c>
      <c r="N127" s="49">
        <v>73403.8</v>
      </c>
      <c r="O127" s="49">
        <v>78181.3</v>
      </c>
      <c r="P127" s="49">
        <v>83662.100000000006</v>
      </c>
      <c r="Q127" s="49">
        <f>P127*1.04+0.02</f>
        <v>87008.604000000007</v>
      </c>
      <c r="R127" s="49">
        <f t="shared" ref="Q127:R144" si="6">Q127*1.04</f>
        <v>90488.948160000014</v>
      </c>
    </row>
    <row r="128" spans="1:18" s="2" customFormat="1" ht="55.15" hidden="1" x14ac:dyDescent="0.25">
      <c r="A128" s="1">
        <f>A127+1</f>
        <v>2</v>
      </c>
      <c r="B128" s="33" t="s">
        <v>135</v>
      </c>
      <c r="C128" s="1" t="s">
        <v>134</v>
      </c>
      <c r="D128" s="49">
        <v>2479</v>
      </c>
      <c r="E128" s="49">
        <v>2470</v>
      </c>
      <c r="F128" s="49">
        <v>2470</v>
      </c>
      <c r="G128" s="49">
        <v>2470</v>
      </c>
      <c r="H128" s="49">
        <v>2470</v>
      </c>
      <c r="I128" s="49">
        <f>N128/D128*1000</f>
        <v>43207.745058491324</v>
      </c>
      <c r="J128" s="49">
        <v>43746.39</v>
      </c>
      <c r="K128" s="49">
        <f>P128/F128*1000</f>
        <v>46265.587044534412</v>
      </c>
      <c r="L128" s="49">
        <f t="shared" si="5"/>
        <v>48116.19433198381</v>
      </c>
      <c r="M128" s="49">
        <f t="shared" si="5"/>
        <v>50040.82995951418</v>
      </c>
      <c r="N128" s="49">
        <v>107112</v>
      </c>
      <c r="O128" s="49">
        <v>110035.2</v>
      </c>
      <c r="P128" s="49">
        <v>114276</v>
      </c>
      <c r="Q128" s="49">
        <f>P128*1.04-0.04</f>
        <v>118847.00000000001</v>
      </c>
      <c r="R128" s="49">
        <f>Q128*1.04-0.03</f>
        <v>123600.85000000002</v>
      </c>
    </row>
    <row r="129" spans="1:18" s="2" customFormat="1" ht="69" hidden="1" x14ac:dyDescent="0.25">
      <c r="A129" s="1">
        <f t="shared" ref="A129:A171" si="7">A128+1</f>
        <v>3</v>
      </c>
      <c r="B129" s="33" t="s">
        <v>136</v>
      </c>
      <c r="C129" s="1" t="s">
        <v>137</v>
      </c>
      <c r="D129" s="49">
        <f>103487+16766</f>
        <v>120253</v>
      </c>
      <c r="E129" s="49">
        <f>109592+17041</f>
        <v>126633</v>
      </c>
      <c r="F129" s="49">
        <f>109156+17041</f>
        <v>126197</v>
      </c>
      <c r="G129" s="49">
        <f>109156+17041</f>
        <v>126197</v>
      </c>
      <c r="H129" s="49">
        <f>109156+17041</f>
        <v>126197</v>
      </c>
      <c r="I129" s="49">
        <f>N129/D129*1000</f>
        <v>644.37560809293745</v>
      </c>
      <c r="J129" s="49">
        <v>426.78</v>
      </c>
      <c r="K129" s="49">
        <f t="shared" ref="K129:M171" si="8">P129/F129*1000</f>
        <v>701.06896360452299</v>
      </c>
      <c r="L129" s="49">
        <f t="shared" si="5"/>
        <v>729.11172214870385</v>
      </c>
      <c r="M129" s="49">
        <f t="shared" si="5"/>
        <v>758.27619103465202</v>
      </c>
      <c r="N129" s="49">
        <f>41239.5+36248.6</f>
        <v>77488.100000000006</v>
      </c>
      <c r="O129" s="49">
        <f>46771.7+39848.4</f>
        <v>86620.1</v>
      </c>
      <c r="P129" s="49">
        <f>39298.1+49174.7</f>
        <v>88472.799999999988</v>
      </c>
      <c r="Q129" s="49">
        <f t="shared" si="6"/>
        <v>92011.711999999985</v>
      </c>
      <c r="R129" s="49">
        <f t="shared" si="6"/>
        <v>95692.180479999981</v>
      </c>
    </row>
    <row r="130" spans="1:18" s="2" customFormat="1" ht="96.6" hidden="1" x14ac:dyDescent="0.25">
      <c r="A130" s="1">
        <f t="shared" si="7"/>
        <v>4</v>
      </c>
      <c r="B130" s="33" t="s">
        <v>138</v>
      </c>
      <c r="C130" s="1" t="s">
        <v>137</v>
      </c>
      <c r="D130" s="49">
        <v>13967</v>
      </c>
      <c r="E130" s="49">
        <v>9977</v>
      </c>
      <c r="F130" s="49">
        <v>15605</v>
      </c>
      <c r="G130" s="49">
        <v>15605</v>
      </c>
      <c r="H130" s="49">
        <v>15605</v>
      </c>
      <c r="I130" s="49">
        <f>N130/D130*1000</f>
        <v>295.98338941791366</v>
      </c>
      <c r="J130" s="49">
        <v>402.53</v>
      </c>
      <c r="K130" s="49">
        <f t="shared" si="8"/>
        <v>402.60173021467483</v>
      </c>
      <c r="L130" s="49">
        <f t="shared" si="5"/>
        <v>418.70579942326179</v>
      </c>
      <c r="M130" s="49">
        <f t="shared" si="5"/>
        <v>435.45403140019226</v>
      </c>
      <c r="N130" s="49">
        <v>4134</v>
      </c>
      <c r="O130" s="49">
        <v>4016</v>
      </c>
      <c r="P130" s="49">
        <v>6282.6</v>
      </c>
      <c r="Q130" s="49">
        <f t="shared" si="6"/>
        <v>6533.9040000000005</v>
      </c>
      <c r="R130" s="49">
        <f t="shared" si="6"/>
        <v>6795.2601600000007</v>
      </c>
    </row>
    <row r="131" spans="1:18" s="2" customFormat="1" ht="41.45" hidden="1" x14ac:dyDescent="0.25">
      <c r="A131" s="1">
        <f t="shared" si="7"/>
        <v>5</v>
      </c>
      <c r="B131" s="33" t="s">
        <v>139</v>
      </c>
      <c r="C131" s="1" t="s">
        <v>137</v>
      </c>
      <c r="D131" s="49">
        <f>161739+14887+28224</f>
        <v>204850</v>
      </c>
      <c r="E131" s="49">
        <f>162846+13998+28480</f>
        <v>205324</v>
      </c>
      <c r="F131" s="49">
        <f>162911+13998+28480</f>
        <v>205389</v>
      </c>
      <c r="G131" s="49">
        <f>162911+13998+28480</f>
        <v>205389</v>
      </c>
      <c r="H131" s="49">
        <f>162911+13998+28480</f>
        <v>205389</v>
      </c>
      <c r="I131" s="49">
        <f t="shared" ref="I131:I168" si="9">N131/D131*1000</f>
        <v>681.25506468147421</v>
      </c>
      <c r="J131" s="49">
        <v>469.3</v>
      </c>
      <c r="K131" s="49">
        <f t="shared" si="8"/>
        <v>616.93810281952778</v>
      </c>
      <c r="L131" s="49">
        <f t="shared" si="5"/>
        <v>641.61567562040807</v>
      </c>
      <c r="M131" s="49">
        <f t="shared" si="5"/>
        <v>667.28030264522454</v>
      </c>
      <c r="N131" s="49">
        <f>70857.8+49598.7+19098.6</f>
        <v>139555.1</v>
      </c>
      <c r="O131" s="49">
        <f>52037.6+19782.2+76423.6</f>
        <v>148243.40000000002</v>
      </c>
      <c r="P131" s="49">
        <f>29684.2+20574+53694+22760.1</f>
        <v>126712.29999999999</v>
      </c>
      <c r="Q131" s="49">
        <f>P131*1.04+0.01</f>
        <v>131780.802</v>
      </c>
      <c r="R131" s="49">
        <f t="shared" si="6"/>
        <v>137052.03408000001</v>
      </c>
    </row>
    <row r="132" spans="1:18" s="2" customFormat="1" ht="41.45" hidden="1" x14ac:dyDescent="0.25">
      <c r="A132" s="1">
        <f t="shared" si="7"/>
        <v>6</v>
      </c>
      <c r="B132" s="33" t="s">
        <v>140</v>
      </c>
      <c r="C132" s="1" t="s">
        <v>137</v>
      </c>
      <c r="D132" s="49">
        <v>252156</v>
      </c>
      <c r="E132" s="49">
        <v>235620</v>
      </c>
      <c r="F132" s="49">
        <v>236303</v>
      </c>
      <c r="G132" s="49">
        <v>236303</v>
      </c>
      <c r="H132" s="49">
        <v>236303</v>
      </c>
      <c r="I132" s="49">
        <f t="shared" si="9"/>
        <v>459.48619108805661</v>
      </c>
      <c r="J132" s="49">
        <v>506.86</v>
      </c>
      <c r="K132" s="49">
        <f t="shared" si="8"/>
        <v>527.12999834957657</v>
      </c>
      <c r="L132" s="49">
        <f t="shared" si="5"/>
        <v>548.21519828355974</v>
      </c>
      <c r="M132" s="49">
        <f t="shared" si="5"/>
        <v>570.14380621490204</v>
      </c>
      <c r="N132" s="49">
        <v>115862.2</v>
      </c>
      <c r="O132" s="49">
        <v>124967.4</v>
      </c>
      <c r="P132" s="49">
        <f>68067.8+56494.6</f>
        <v>124562.4</v>
      </c>
      <c r="Q132" s="49">
        <f t="shared" si="6"/>
        <v>129544.89599999999</v>
      </c>
      <c r="R132" s="49">
        <f t="shared" si="6"/>
        <v>134726.69183999998</v>
      </c>
    </row>
    <row r="133" spans="1:18" s="2" customFormat="1" ht="55.15" hidden="1" x14ac:dyDescent="0.25">
      <c r="A133" s="1">
        <f t="shared" si="7"/>
        <v>7</v>
      </c>
      <c r="B133" s="33" t="s">
        <v>141</v>
      </c>
      <c r="C133" s="1" t="s">
        <v>137</v>
      </c>
      <c r="D133" s="49">
        <v>69821</v>
      </c>
      <c r="E133" s="49">
        <v>64868</v>
      </c>
      <c r="F133" s="49">
        <v>65480</v>
      </c>
      <c r="G133" s="49">
        <v>65480</v>
      </c>
      <c r="H133" s="49">
        <v>65480</v>
      </c>
      <c r="I133" s="49">
        <f>N133/D133*1000</f>
        <v>704.38550006445053</v>
      </c>
      <c r="J133" s="49">
        <v>770.32</v>
      </c>
      <c r="K133" s="49">
        <f t="shared" si="8"/>
        <v>801.09957238851564</v>
      </c>
      <c r="L133" s="49">
        <f t="shared" si="5"/>
        <v>833.14355528405622</v>
      </c>
      <c r="M133" s="49">
        <f t="shared" si="5"/>
        <v>866.46929749541857</v>
      </c>
      <c r="N133" s="49">
        <v>49180.9</v>
      </c>
      <c r="O133" s="49">
        <v>58361.9</v>
      </c>
      <c r="P133" s="49">
        <f>29576.6+22879.4</f>
        <v>52456</v>
      </c>
      <c r="Q133" s="49">
        <f t="shared" si="6"/>
        <v>54554.240000000005</v>
      </c>
      <c r="R133" s="49">
        <f t="shared" si="6"/>
        <v>56736.409600000006</v>
      </c>
    </row>
    <row r="134" spans="1:18" s="2" customFormat="1" ht="41.45" hidden="1" x14ac:dyDescent="0.25">
      <c r="A134" s="1">
        <f t="shared" si="7"/>
        <v>8</v>
      </c>
      <c r="B134" s="33" t="s">
        <v>142</v>
      </c>
      <c r="C134" s="1" t="s">
        <v>137</v>
      </c>
      <c r="D134" s="49">
        <v>42286</v>
      </c>
      <c r="E134" s="49">
        <v>43412</v>
      </c>
      <c r="F134" s="49">
        <v>44297</v>
      </c>
      <c r="G134" s="49">
        <v>44297</v>
      </c>
      <c r="H134" s="49">
        <v>44297</v>
      </c>
      <c r="I134" s="49">
        <f>N134/D134*1000</f>
        <v>494.82334578820411</v>
      </c>
      <c r="J134" s="49">
        <v>536.11</v>
      </c>
      <c r="K134" s="49">
        <f t="shared" si="8"/>
        <v>536.20109713976115</v>
      </c>
      <c r="L134" s="49">
        <f t="shared" si="5"/>
        <v>557.6491410253517</v>
      </c>
      <c r="M134" s="49">
        <f t="shared" si="5"/>
        <v>579.95510666636574</v>
      </c>
      <c r="N134" s="49">
        <v>20924.099999999999</v>
      </c>
      <c r="O134" s="49">
        <v>23273.5</v>
      </c>
      <c r="P134" s="49">
        <v>23752.1</v>
      </c>
      <c r="Q134" s="49">
        <f t="shared" si="6"/>
        <v>24702.184000000001</v>
      </c>
      <c r="R134" s="49">
        <f t="shared" si="6"/>
        <v>25690.271360000002</v>
      </c>
    </row>
    <row r="135" spans="1:18" s="2" customFormat="1" ht="41.45" hidden="1" x14ac:dyDescent="0.25">
      <c r="A135" s="1">
        <f t="shared" si="7"/>
        <v>9</v>
      </c>
      <c r="B135" s="33" t="s">
        <v>143</v>
      </c>
      <c r="C135" s="1" t="s">
        <v>137</v>
      </c>
      <c r="D135" s="49"/>
      <c r="E135" s="49"/>
      <c r="F135" s="49">
        <v>2000</v>
      </c>
      <c r="G135" s="49">
        <v>2000</v>
      </c>
      <c r="H135" s="49">
        <v>2000</v>
      </c>
      <c r="I135" s="49"/>
      <c r="J135" s="49"/>
      <c r="K135" s="49">
        <f t="shared" si="8"/>
        <v>7013.8</v>
      </c>
      <c r="L135" s="49">
        <f t="shared" si="5"/>
        <v>7294.3520000000008</v>
      </c>
      <c r="M135" s="49">
        <f t="shared" si="5"/>
        <v>7586.1260800000009</v>
      </c>
      <c r="N135" s="49"/>
      <c r="O135" s="49"/>
      <c r="P135" s="49">
        <v>14027.6</v>
      </c>
      <c r="Q135" s="49">
        <f t="shared" si="6"/>
        <v>14588.704000000002</v>
      </c>
      <c r="R135" s="49">
        <f t="shared" si="6"/>
        <v>15172.252160000002</v>
      </c>
    </row>
    <row r="136" spans="1:18" s="2" customFormat="1" ht="27.6" hidden="1" x14ac:dyDescent="0.25">
      <c r="A136" s="1">
        <f t="shared" si="7"/>
        <v>10</v>
      </c>
      <c r="B136" s="33" t="s">
        <v>144</v>
      </c>
      <c r="C136" s="1" t="s">
        <v>137</v>
      </c>
      <c r="D136" s="49">
        <v>0</v>
      </c>
      <c r="E136" s="49">
        <v>20551</v>
      </c>
      <c r="F136" s="49">
        <v>20551</v>
      </c>
      <c r="G136" s="49">
        <v>20551</v>
      </c>
      <c r="H136" s="49">
        <v>20551</v>
      </c>
      <c r="I136" s="49">
        <v>0</v>
      </c>
      <c r="J136" s="49">
        <v>386.49</v>
      </c>
      <c r="K136" s="49">
        <f t="shared" si="8"/>
        <v>401.9999026811347</v>
      </c>
      <c r="L136" s="49">
        <f t="shared" si="5"/>
        <v>418.07989878838021</v>
      </c>
      <c r="M136" s="49">
        <f t="shared" si="5"/>
        <v>434.80114836261015</v>
      </c>
      <c r="N136" s="49">
        <v>0</v>
      </c>
      <c r="O136" s="49">
        <v>7942.7</v>
      </c>
      <c r="P136" s="49">
        <f>826.1+7435.4</f>
        <v>8261.5</v>
      </c>
      <c r="Q136" s="49">
        <f t="shared" si="6"/>
        <v>8591.9600000000009</v>
      </c>
      <c r="R136" s="49">
        <f>Q136*1.04-0.04</f>
        <v>8935.5984000000008</v>
      </c>
    </row>
    <row r="137" spans="1:18" s="2" customFormat="1" ht="27.6" hidden="1" x14ac:dyDescent="0.25">
      <c r="A137" s="1">
        <f t="shared" si="7"/>
        <v>11</v>
      </c>
      <c r="B137" s="33" t="s">
        <v>145</v>
      </c>
      <c r="C137" s="1" t="s">
        <v>137</v>
      </c>
      <c r="D137" s="49"/>
      <c r="E137" s="49"/>
      <c r="F137" s="49">
        <v>15000</v>
      </c>
      <c r="G137" s="49">
        <v>15000</v>
      </c>
      <c r="H137" s="49">
        <v>15000</v>
      </c>
      <c r="I137" s="49"/>
      <c r="J137" s="49"/>
      <c r="K137" s="49">
        <f t="shared" si="8"/>
        <v>1811.6000000000001</v>
      </c>
      <c r="L137" s="49">
        <f t="shared" si="5"/>
        <v>1884.0666666666671</v>
      </c>
      <c r="M137" s="49">
        <f t="shared" si="5"/>
        <v>1959.4266666666672</v>
      </c>
      <c r="N137" s="49"/>
      <c r="O137" s="49"/>
      <c r="P137" s="49">
        <v>27174</v>
      </c>
      <c r="Q137" s="49">
        <f>P137*1.04+0.04</f>
        <v>28261.000000000004</v>
      </c>
      <c r="R137" s="49">
        <f>Q137*1.04-0.04</f>
        <v>29391.400000000005</v>
      </c>
    </row>
    <row r="138" spans="1:18" s="2" customFormat="1" ht="55.15" hidden="1" x14ac:dyDescent="0.25">
      <c r="A138" s="1">
        <f t="shared" si="7"/>
        <v>12</v>
      </c>
      <c r="B138" s="33" t="s">
        <v>146</v>
      </c>
      <c r="C138" s="1" t="s">
        <v>137</v>
      </c>
      <c r="D138" s="49">
        <v>420</v>
      </c>
      <c r="E138" s="49">
        <v>1349</v>
      </c>
      <c r="F138" s="49">
        <v>1440</v>
      </c>
      <c r="G138" s="49">
        <v>1440</v>
      </c>
      <c r="H138" s="49">
        <v>1440</v>
      </c>
      <c r="I138" s="49">
        <f t="shared" si="9"/>
        <v>6972.8571428571422</v>
      </c>
      <c r="J138" s="49">
        <v>6977.76</v>
      </c>
      <c r="K138" s="49">
        <f>P138/F138*1000</f>
        <v>7256.875</v>
      </c>
      <c r="L138" s="49">
        <f t="shared" si="5"/>
        <v>7547.0805555555553</v>
      </c>
      <c r="M138" s="49">
        <f t="shared" si="5"/>
        <v>7848.9568333333336</v>
      </c>
      <c r="N138" s="49">
        <v>2928.6</v>
      </c>
      <c r="O138" s="49">
        <v>9413</v>
      </c>
      <c r="P138" s="49">
        <v>10449.9</v>
      </c>
      <c r="Q138" s="49">
        <f>P138*1.04-0.1</f>
        <v>10867.796</v>
      </c>
      <c r="R138" s="49">
        <f>Q138*1.04-0.01</f>
        <v>11302.49784</v>
      </c>
    </row>
    <row r="139" spans="1:18" s="2" customFormat="1" ht="55.15" hidden="1" x14ac:dyDescent="0.25">
      <c r="A139" s="1">
        <f t="shared" si="7"/>
        <v>13</v>
      </c>
      <c r="B139" s="33" t="s">
        <v>147</v>
      </c>
      <c r="C139" s="1" t="s">
        <v>137</v>
      </c>
      <c r="D139" s="49"/>
      <c r="E139" s="49"/>
      <c r="F139" s="49">
        <v>1347</v>
      </c>
      <c r="G139" s="49">
        <v>1347</v>
      </c>
      <c r="H139" s="49">
        <v>1347</v>
      </c>
      <c r="I139" s="49"/>
      <c r="J139" s="49"/>
      <c r="K139" s="49">
        <f>P139/F139*1000</f>
        <v>727.46844840386041</v>
      </c>
      <c r="L139" s="49">
        <f t="shared" si="5"/>
        <v>756.56718634001481</v>
      </c>
      <c r="M139" s="49">
        <f t="shared" si="5"/>
        <v>786.83729769858951</v>
      </c>
      <c r="N139" s="49"/>
      <c r="O139" s="49"/>
      <c r="P139" s="49">
        <v>979.9</v>
      </c>
      <c r="Q139" s="49">
        <f t="shared" si="6"/>
        <v>1019.096</v>
      </c>
      <c r="R139" s="49">
        <f>Q139*1.04+0.01</f>
        <v>1059.8698400000001</v>
      </c>
    </row>
    <row r="140" spans="1:18" s="2" customFormat="1" ht="27.6" hidden="1" x14ac:dyDescent="0.25">
      <c r="A140" s="1">
        <f t="shared" si="7"/>
        <v>14</v>
      </c>
      <c r="B140" s="33" t="s">
        <v>148</v>
      </c>
      <c r="C140" s="1" t="s">
        <v>137</v>
      </c>
      <c r="D140" s="49">
        <v>1236</v>
      </c>
      <c r="E140" s="49">
        <v>13759</v>
      </c>
      <c r="F140" s="49">
        <f>15793</f>
        <v>15793</v>
      </c>
      <c r="G140" s="49">
        <f>15793</f>
        <v>15793</v>
      </c>
      <c r="H140" s="49">
        <f>15793</f>
        <v>15793</v>
      </c>
      <c r="I140" s="49">
        <f t="shared" si="9"/>
        <v>523.54368932038847</v>
      </c>
      <c r="J140" s="49">
        <v>544.67999999999995</v>
      </c>
      <c r="K140" s="49">
        <f t="shared" si="8"/>
        <v>555.60058253656689</v>
      </c>
      <c r="L140" s="49">
        <f t="shared" si="5"/>
        <v>577.82587222187055</v>
      </c>
      <c r="M140" s="49">
        <f t="shared" si="5"/>
        <v>600.93890711074539</v>
      </c>
      <c r="N140" s="49">
        <v>647.1</v>
      </c>
      <c r="O140" s="49">
        <v>7494.3</v>
      </c>
      <c r="P140" s="49">
        <f>8774.6</f>
        <v>8774.6</v>
      </c>
      <c r="Q140" s="49">
        <f>P140*1.04+0.02</f>
        <v>9125.6040000000012</v>
      </c>
      <c r="R140" s="49">
        <f t="shared" si="6"/>
        <v>9490.628160000002</v>
      </c>
    </row>
    <row r="141" spans="1:18" s="2" customFormat="1" ht="55.15" hidden="1" x14ac:dyDescent="0.25">
      <c r="A141" s="1">
        <f t="shared" si="7"/>
        <v>15</v>
      </c>
      <c r="B141" s="33" t="s">
        <v>149</v>
      </c>
      <c r="C141" s="1" t="s">
        <v>150</v>
      </c>
      <c r="D141" s="49">
        <v>383</v>
      </c>
      <c r="E141" s="49">
        <v>390</v>
      </c>
      <c r="F141" s="49">
        <v>390</v>
      </c>
      <c r="G141" s="49">
        <v>390</v>
      </c>
      <c r="H141" s="49">
        <v>390</v>
      </c>
      <c r="I141" s="49">
        <f t="shared" si="9"/>
        <v>18156.135770234985</v>
      </c>
      <c r="J141" s="49">
        <v>19248.11</v>
      </c>
      <c r="K141" s="49">
        <f t="shared" si="8"/>
        <v>19697.179487179485</v>
      </c>
      <c r="L141" s="49">
        <f t="shared" si="5"/>
        <v>20485.066666666666</v>
      </c>
      <c r="M141" s="49">
        <f t="shared" si="5"/>
        <v>21304.469333333334</v>
      </c>
      <c r="N141" s="49">
        <v>6953.8</v>
      </c>
      <c r="O141" s="49">
        <v>7506.8</v>
      </c>
      <c r="P141" s="49">
        <v>7681.9</v>
      </c>
      <c r="Q141" s="49">
        <f t="shared" si="6"/>
        <v>7989.1759999999995</v>
      </c>
      <c r="R141" s="49">
        <f t="shared" si="6"/>
        <v>8308.7430399999994</v>
      </c>
    </row>
    <row r="142" spans="1:18" s="2" customFormat="1" ht="41.45" hidden="1" x14ac:dyDescent="0.25">
      <c r="A142" s="1">
        <f t="shared" si="7"/>
        <v>16</v>
      </c>
      <c r="B142" s="33" t="s">
        <v>151</v>
      </c>
      <c r="C142" s="1" t="s">
        <v>150</v>
      </c>
      <c r="D142" s="49">
        <v>322</v>
      </c>
      <c r="E142" s="49">
        <v>342</v>
      </c>
      <c r="F142" s="49">
        <v>502</v>
      </c>
      <c r="G142" s="49">
        <v>502</v>
      </c>
      <c r="H142" s="49">
        <v>502</v>
      </c>
      <c r="I142" s="49">
        <f t="shared" si="9"/>
        <v>16910.248447204973</v>
      </c>
      <c r="J142" s="49">
        <v>15986.55</v>
      </c>
      <c r="K142" s="49">
        <f t="shared" si="8"/>
        <v>16481.474103585657</v>
      </c>
      <c r="L142" s="49">
        <f t="shared" si="5"/>
        <v>17140.733067729088</v>
      </c>
      <c r="M142" s="49">
        <f t="shared" si="5"/>
        <v>17826.362390438248</v>
      </c>
      <c r="N142" s="49">
        <f>5462-16.9</f>
        <v>5445.1</v>
      </c>
      <c r="O142" s="49">
        <v>5467.4</v>
      </c>
      <c r="P142" s="49">
        <v>8273.7000000000007</v>
      </c>
      <c r="Q142" s="49">
        <f t="shared" si="6"/>
        <v>8604.648000000001</v>
      </c>
      <c r="R142" s="49">
        <f t="shared" si="6"/>
        <v>8948.8339200000009</v>
      </c>
    </row>
    <row r="143" spans="1:18" s="2" customFormat="1" ht="41.45" hidden="1" x14ac:dyDescent="0.25">
      <c r="A143" s="1">
        <f t="shared" si="7"/>
        <v>17</v>
      </c>
      <c r="B143" s="33" t="s">
        <v>152</v>
      </c>
      <c r="C143" s="1" t="s">
        <v>150</v>
      </c>
      <c r="D143" s="49">
        <v>676</v>
      </c>
      <c r="E143" s="49">
        <v>1030</v>
      </c>
      <c r="F143" s="49">
        <v>1030</v>
      </c>
      <c r="G143" s="49">
        <v>1030</v>
      </c>
      <c r="H143" s="49">
        <v>1030</v>
      </c>
      <c r="I143" s="49">
        <f t="shared" si="9"/>
        <v>11935.502958579882</v>
      </c>
      <c r="J143" s="49">
        <v>11043.32</v>
      </c>
      <c r="K143" s="49">
        <f t="shared" si="8"/>
        <v>11317.57281553398</v>
      </c>
      <c r="L143" s="49">
        <f t="shared" si="5"/>
        <v>11770.266019417475</v>
      </c>
      <c r="M143" s="49">
        <f t="shared" si="5"/>
        <v>12241.086368932039</v>
      </c>
      <c r="N143" s="49">
        <v>8068.4</v>
      </c>
      <c r="O143" s="49">
        <v>11374.6</v>
      </c>
      <c r="P143" s="49">
        <v>11657.1</v>
      </c>
      <c r="Q143" s="49">
        <f>P143*1.04-0.01</f>
        <v>12123.374</v>
      </c>
      <c r="R143" s="49">
        <f>Q143*1.04+0.01</f>
        <v>12608.318960000001</v>
      </c>
    </row>
    <row r="144" spans="1:18" s="2" customFormat="1" ht="55.15" hidden="1" x14ac:dyDescent="0.25">
      <c r="A144" s="1">
        <f t="shared" si="7"/>
        <v>18</v>
      </c>
      <c r="B144" s="33" t="s">
        <v>153</v>
      </c>
      <c r="C144" s="1" t="s">
        <v>154</v>
      </c>
      <c r="D144" s="49">
        <f>249+577</f>
        <v>826</v>
      </c>
      <c r="E144" s="49">
        <v>796</v>
      </c>
      <c r="F144" s="49">
        <f>547+261</f>
        <v>808</v>
      </c>
      <c r="G144" s="49">
        <f>547+261</f>
        <v>808</v>
      </c>
      <c r="H144" s="49">
        <f>547+261</f>
        <v>808</v>
      </c>
      <c r="I144" s="49">
        <f t="shared" si="9"/>
        <v>229586.56174334142</v>
      </c>
      <c r="J144" s="49">
        <v>148751</v>
      </c>
      <c r="K144" s="49">
        <f t="shared" si="8"/>
        <v>225177.72277227719</v>
      </c>
      <c r="L144" s="49">
        <f t="shared" si="5"/>
        <v>234184.83168316828</v>
      </c>
      <c r="M144" s="49">
        <f t="shared" si="5"/>
        <v>243552.22495049503</v>
      </c>
      <c r="N144" s="49">
        <f>37039+152599.5</f>
        <v>189638.5</v>
      </c>
      <c r="O144" s="49">
        <v>181704.4</v>
      </c>
      <c r="P144" s="49">
        <f>43064.8+138878.8</f>
        <v>181943.59999999998</v>
      </c>
      <c r="Q144" s="49">
        <f t="shared" si="6"/>
        <v>189221.34399999998</v>
      </c>
      <c r="R144" s="49">
        <f t="shared" si="6"/>
        <v>196790.19775999998</v>
      </c>
    </row>
    <row r="145" spans="1:18" s="2" customFormat="1" ht="55.15" hidden="1" x14ac:dyDescent="0.25">
      <c r="A145" s="1">
        <f t="shared" si="7"/>
        <v>19</v>
      </c>
      <c r="B145" s="33" t="s">
        <v>155</v>
      </c>
      <c r="C145" s="1" t="s">
        <v>154</v>
      </c>
      <c r="D145" s="49">
        <v>47</v>
      </c>
      <c r="E145" s="49">
        <v>47</v>
      </c>
      <c r="F145" s="49">
        <v>56</v>
      </c>
      <c r="G145" s="49">
        <v>56</v>
      </c>
      <c r="H145" s="49">
        <v>56</v>
      </c>
      <c r="I145" s="49">
        <f t="shared" si="9"/>
        <v>150234.04255319151</v>
      </c>
      <c r="J145" s="49">
        <v>150233.09</v>
      </c>
      <c r="K145" s="49">
        <f t="shared" si="8"/>
        <v>144223.21428571429</v>
      </c>
      <c r="L145" s="49">
        <f t="shared" si="5"/>
        <v>149992.14285714284</v>
      </c>
      <c r="M145" s="49">
        <f t="shared" si="5"/>
        <v>155991.82857142857</v>
      </c>
      <c r="N145" s="49">
        <v>7061</v>
      </c>
      <c r="O145" s="49">
        <v>7061</v>
      </c>
      <c r="P145" s="49">
        <v>8076.5</v>
      </c>
      <c r="Q145" s="49">
        <f t="shared" ref="Q145:R160" si="10">P145*1.04</f>
        <v>8399.56</v>
      </c>
      <c r="R145" s="49">
        <f t="shared" si="10"/>
        <v>8735.5424000000003</v>
      </c>
    </row>
    <row r="146" spans="1:18" s="2" customFormat="1" ht="55.15" hidden="1" x14ac:dyDescent="0.25">
      <c r="A146" s="1">
        <f t="shared" si="7"/>
        <v>20</v>
      </c>
      <c r="B146" s="33" t="s">
        <v>156</v>
      </c>
      <c r="C146" s="1" t="s">
        <v>154</v>
      </c>
      <c r="D146" s="49">
        <v>13</v>
      </c>
      <c r="E146" s="49">
        <v>13</v>
      </c>
      <c r="F146" s="49">
        <v>14</v>
      </c>
      <c r="G146" s="49">
        <v>14</v>
      </c>
      <c r="H146" s="49">
        <v>14</v>
      </c>
      <c r="I146" s="49">
        <f t="shared" si="9"/>
        <v>577792.30769230775</v>
      </c>
      <c r="J146" s="49">
        <v>577798.52</v>
      </c>
      <c r="K146" s="49">
        <f t="shared" si="8"/>
        <v>554685.71428571432</v>
      </c>
      <c r="L146" s="49">
        <f t="shared" si="5"/>
        <v>576873.14285714296</v>
      </c>
      <c r="M146" s="49">
        <f t="shared" si="5"/>
        <v>599948.06857142877</v>
      </c>
      <c r="N146" s="49">
        <v>7511.3</v>
      </c>
      <c r="O146" s="49">
        <v>7511.3</v>
      </c>
      <c r="P146" s="49">
        <v>7765.6</v>
      </c>
      <c r="Q146" s="49">
        <f t="shared" si="10"/>
        <v>8076.2240000000011</v>
      </c>
      <c r="R146" s="49">
        <f t="shared" si="10"/>
        <v>8399.2729600000021</v>
      </c>
    </row>
    <row r="147" spans="1:18" s="2" customFormat="1" ht="55.15" hidden="1" x14ac:dyDescent="0.25">
      <c r="A147" s="1">
        <f t="shared" si="7"/>
        <v>21</v>
      </c>
      <c r="B147" s="33" t="s">
        <v>157</v>
      </c>
      <c r="C147" s="1" t="s">
        <v>154</v>
      </c>
      <c r="D147" s="49">
        <v>34</v>
      </c>
      <c r="E147" s="49">
        <f>34</f>
        <v>34</v>
      </c>
      <c r="F147" s="49">
        <v>34</v>
      </c>
      <c r="G147" s="49">
        <v>34</v>
      </c>
      <c r="H147" s="49">
        <v>34</v>
      </c>
      <c r="I147" s="49">
        <f t="shared" si="9"/>
        <v>212423.5294117647</v>
      </c>
      <c r="J147" s="49">
        <v>212423</v>
      </c>
      <c r="K147" s="49">
        <f t="shared" si="8"/>
        <v>203926.4705882353</v>
      </c>
      <c r="L147" s="49">
        <f t="shared" si="8"/>
        <v>212083.52941176473</v>
      </c>
      <c r="M147" s="49">
        <f t="shared" si="8"/>
        <v>220566.8705882353</v>
      </c>
      <c r="N147" s="49">
        <v>7222.4</v>
      </c>
      <c r="O147" s="49">
        <v>7222.4</v>
      </c>
      <c r="P147" s="49">
        <v>6933.5</v>
      </c>
      <c r="Q147" s="49">
        <f t="shared" si="10"/>
        <v>7210.84</v>
      </c>
      <c r="R147" s="49">
        <f t="shared" si="10"/>
        <v>7499.2736000000004</v>
      </c>
    </row>
    <row r="148" spans="1:18" s="2" customFormat="1" ht="55.15" hidden="1" x14ac:dyDescent="0.25">
      <c r="A148" s="1">
        <f t="shared" si="7"/>
        <v>22</v>
      </c>
      <c r="B148" s="47" t="s">
        <v>158</v>
      </c>
      <c r="C148" s="1" t="s">
        <v>154</v>
      </c>
      <c r="D148" s="49">
        <f>325+52</f>
        <v>377</v>
      </c>
      <c r="E148" s="49">
        <f>325+49</f>
        <v>374</v>
      </c>
      <c r="F148" s="49">
        <f>325+49</f>
        <v>374</v>
      </c>
      <c r="G148" s="49">
        <f>325+49</f>
        <v>374</v>
      </c>
      <c r="H148" s="49">
        <f>325+49</f>
        <v>374</v>
      </c>
      <c r="I148" s="49">
        <f t="shared" si="9"/>
        <v>249932.36074270558</v>
      </c>
      <c r="J148" s="49">
        <v>267350.09999999998</v>
      </c>
      <c r="K148" s="49">
        <f t="shared" si="8"/>
        <v>242741.44385026739</v>
      </c>
      <c r="L148" s="49">
        <f t="shared" si="8"/>
        <v>252451.10160427808</v>
      </c>
      <c r="M148" s="49">
        <f t="shared" si="8"/>
        <v>262549.14566844923</v>
      </c>
      <c r="N148" s="49">
        <f>7335.7+86888.8</f>
        <v>94224.5</v>
      </c>
      <c r="O148" s="49">
        <f>86888.8+8294.7</f>
        <v>95183.5</v>
      </c>
      <c r="P148" s="49">
        <f>83413.2+7372.1</f>
        <v>90785.3</v>
      </c>
      <c r="Q148" s="49">
        <f t="shared" si="10"/>
        <v>94416.712</v>
      </c>
      <c r="R148" s="49">
        <f t="shared" si="10"/>
        <v>98193.380480000007</v>
      </c>
    </row>
    <row r="149" spans="1:18" s="2" customFormat="1" ht="55.15" hidden="1" x14ac:dyDescent="0.25">
      <c r="A149" s="1">
        <f t="shared" si="7"/>
        <v>23</v>
      </c>
      <c r="B149" s="33" t="s">
        <v>159</v>
      </c>
      <c r="C149" s="1" t="s">
        <v>154</v>
      </c>
      <c r="D149" s="49">
        <v>434</v>
      </c>
      <c r="E149" s="49">
        <v>434</v>
      </c>
      <c r="F149" s="49">
        <v>434</v>
      </c>
      <c r="G149" s="49">
        <v>434</v>
      </c>
      <c r="H149" s="49">
        <v>434</v>
      </c>
      <c r="I149" s="49">
        <f t="shared" si="9"/>
        <v>136350.46082949307</v>
      </c>
      <c r="J149" s="49">
        <v>136350.68</v>
      </c>
      <c r="K149" s="49">
        <f>P149/F149*1000</f>
        <v>130896.77419354836</v>
      </c>
      <c r="L149" s="49">
        <f t="shared" si="8"/>
        <v>136132.64516129033</v>
      </c>
      <c r="M149" s="49">
        <f t="shared" si="8"/>
        <v>141577.95096774196</v>
      </c>
      <c r="N149" s="49">
        <v>59176.1</v>
      </c>
      <c r="O149" s="49">
        <v>59176.2</v>
      </c>
      <c r="P149" s="49">
        <v>56809.2</v>
      </c>
      <c r="Q149" s="49">
        <f t="shared" si="10"/>
        <v>59081.567999999999</v>
      </c>
      <c r="R149" s="49">
        <f t="shared" si="10"/>
        <v>61444.830719999998</v>
      </c>
    </row>
    <row r="150" spans="1:18" s="2" customFormat="1" ht="55.15" hidden="1" x14ac:dyDescent="0.25">
      <c r="A150" s="1">
        <f t="shared" si="7"/>
        <v>24</v>
      </c>
      <c r="B150" s="33" t="s">
        <v>160</v>
      </c>
      <c r="C150" s="1" t="s">
        <v>154</v>
      </c>
      <c r="D150" s="49">
        <f>728+96</f>
        <v>824</v>
      </c>
      <c r="E150" s="49">
        <f>728+104</f>
        <v>832</v>
      </c>
      <c r="F150" s="49">
        <f>728+104</f>
        <v>832</v>
      </c>
      <c r="G150" s="49">
        <f>728+104</f>
        <v>832</v>
      </c>
      <c r="H150" s="49">
        <f>728+104</f>
        <v>832</v>
      </c>
      <c r="I150" s="49">
        <f t="shared" si="9"/>
        <v>297536.40776699031</v>
      </c>
      <c r="J150" s="49">
        <v>299790.51</v>
      </c>
      <c r="K150" s="49">
        <f t="shared" si="8"/>
        <v>287798.91826923081</v>
      </c>
      <c r="L150" s="49">
        <f t="shared" si="8"/>
        <v>299310.875</v>
      </c>
      <c r="M150" s="49">
        <f t="shared" si="8"/>
        <v>311283.31000000006</v>
      </c>
      <c r="N150" s="49">
        <f>26922.7+218247.3</f>
        <v>245170</v>
      </c>
      <c r="O150" s="49">
        <f>218247.5+29280.5</f>
        <v>247528</v>
      </c>
      <c r="P150" s="49">
        <f>29931.1+209517.6</f>
        <v>239448.7</v>
      </c>
      <c r="Q150" s="49">
        <f t="shared" si="10"/>
        <v>249026.64800000002</v>
      </c>
      <c r="R150" s="49">
        <f t="shared" si="10"/>
        <v>258987.71392000004</v>
      </c>
    </row>
    <row r="151" spans="1:18" s="2" customFormat="1" ht="55.15" hidden="1" x14ac:dyDescent="0.25">
      <c r="A151" s="1">
        <f t="shared" si="7"/>
        <v>25</v>
      </c>
      <c r="B151" s="33" t="s">
        <v>161</v>
      </c>
      <c r="C151" s="1" t="s">
        <v>154</v>
      </c>
      <c r="D151" s="49">
        <f>171+29</f>
        <v>200</v>
      </c>
      <c r="E151" s="49">
        <f>171+28</f>
        <v>199</v>
      </c>
      <c r="F151" s="49">
        <f>171+28</f>
        <v>199</v>
      </c>
      <c r="G151" s="49">
        <f>171+28</f>
        <v>199</v>
      </c>
      <c r="H151" s="49">
        <f>171+28</f>
        <v>199</v>
      </c>
      <c r="I151" s="49">
        <f t="shared" si="9"/>
        <v>224353.99999999997</v>
      </c>
      <c r="J151" s="49">
        <v>241726.2</v>
      </c>
      <c r="K151" s="49">
        <f t="shared" si="8"/>
        <v>212929.64824120601</v>
      </c>
      <c r="L151" s="49">
        <f t="shared" si="8"/>
        <v>221446.83417085427</v>
      </c>
      <c r="M151" s="49">
        <f t="shared" si="8"/>
        <v>230304.70753768843</v>
      </c>
      <c r="N151" s="49">
        <f>3535.6+41335.2</f>
        <v>44870.799999999996</v>
      </c>
      <c r="O151" s="49">
        <f>41335.2+2865.4</f>
        <v>44200.6</v>
      </c>
      <c r="P151" s="49">
        <f>39681.8+2691.2</f>
        <v>42373</v>
      </c>
      <c r="Q151" s="49">
        <f t="shared" si="10"/>
        <v>44067.92</v>
      </c>
      <c r="R151" s="49">
        <f t="shared" si="10"/>
        <v>45830.6368</v>
      </c>
    </row>
    <row r="152" spans="1:18" s="2" customFormat="1" ht="55.15" hidden="1" x14ac:dyDescent="0.25">
      <c r="A152" s="1">
        <f t="shared" si="7"/>
        <v>26</v>
      </c>
      <c r="B152" s="33" t="s">
        <v>162</v>
      </c>
      <c r="C152" s="1" t="s">
        <v>154</v>
      </c>
      <c r="D152" s="49">
        <v>20</v>
      </c>
      <c r="E152" s="49">
        <v>20</v>
      </c>
      <c r="F152" s="49">
        <v>20</v>
      </c>
      <c r="G152" s="49">
        <v>20</v>
      </c>
      <c r="H152" s="49">
        <v>20</v>
      </c>
      <c r="I152" s="49">
        <f t="shared" si="9"/>
        <v>1072207.25</v>
      </c>
      <c r="J152" s="49">
        <v>1072207.28</v>
      </c>
      <c r="K152" s="49">
        <f t="shared" si="8"/>
        <v>1029320.0000000001</v>
      </c>
      <c r="L152" s="49">
        <f t="shared" si="8"/>
        <v>1070492.8000000003</v>
      </c>
      <c r="M152" s="49">
        <f t="shared" si="8"/>
        <v>1113312.5120000001</v>
      </c>
      <c r="N152" s="49">
        <v>21444.145</v>
      </c>
      <c r="O152" s="49">
        <v>21444.1</v>
      </c>
      <c r="P152" s="49">
        <v>20586.400000000001</v>
      </c>
      <c r="Q152" s="49">
        <f t="shared" si="10"/>
        <v>21409.856000000003</v>
      </c>
      <c r="R152" s="49">
        <f t="shared" si="10"/>
        <v>22266.250240000005</v>
      </c>
    </row>
    <row r="153" spans="1:18" s="2" customFormat="1" ht="55.15" hidden="1" x14ac:dyDescent="0.25">
      <c r="A153" s="1">
        <f t="shared" si="7"/>
        <v>27</v>
      </c>
      <c r="B153" s="33" t="s">
        <v>163</v>
      </c>
      <c r="C153" s="1" t="s">
        <v>154</v>
      </c>
      <c r="D153" s="49">
        <v>28</v>
      </c>
      <c r="E153" s="49">
        <v>28</v>
      </c>
      <c r="F153" s="49">
        <v>29</v>
      </c>
      <c r="G153" s="49">
        <v>29</v>
      </c>
      <c r="H153" s="49">
        <v>29</v>
      </c>
      <c r="I153" s="49">
        <f t="shared" si="9"/>
        <v>157799.99999999997</v>
      </c>
      <c r="J153" s="49">
        <v>157800.35999999999</v>
      </c>
      <c r="K153" s="49">
        <f t="shared" si="8"/>
        <v>151489.6551724138</v>
      </c>
      <c r="L153" s="49">
        <f t="shared" si="8"/>
        <v>157549.24137931032</v>
      </c>
      <c r="M153" s="49">
        <f t="shared" si="8"/>
        <v>163851.21103448275</v>
      </c>
      <c r="N153" s="49">
        <v>4418.3999999999996</v>
      </c>
      <c r="O153" s="49">
        <v>4418.3999999999996</v>
      </c>
      <c r="P153" s="49">
        <v>4393.2</v>
      </c>
      <c r="Q153" s="49">
        <f t="shared" si="10"/>
        <v>4568.9279999999999</v>
      </c>
      <c r="R153" s="49">
        <f t="shared" si="10"/>
        <v>4751.6851200000001</v>
      </c>
    </row>
    <row r="154" spans="1:18" s="2" customFormat="1" ht="55.15" hidden="1" x14ac:dyDescent="0.25">
      <c r="A154" s="1">
        <f t="shared" si="7"/>
        <v>28</v>
      </c>
      <c r="B154" s="33" t="s">
        <v>164</v>
      </c>
      <c r="C154" s="1" t="s">
        <v>154</v>
      </c>
      <c r="D154" s="49">
        <v>0</v>
      </c>
      <c r="E154" s="49">
        <v>30</v>
      </c>
      <c r="F154" s="49">
        <v>20</v>
      </c>
      <c r="G154" s="49">
        <v>20</v>
      </c>
      <c r="H154" s="49">
        <v>20</v>
      </c>
      <c r="I154" s="49">
        <v>0</v>
      </c>
      <c r="J154" s="49">
        <v>208610.71</v>
      </c>
      <c r="K154" s="49">
        <f t="shared" si="8"/>
        <v>199484.99999999997</v>
      </c>
      <c r="L154" s="49">
        <f t="shared" si="8"/>
        <v>207464.4</v>
      </c>
      <c r="M154" s="49">
        <f t="shared" si="8"/>
        <v>215762.97599999997</v>
      </c>
      <c r="N154" s="49">
        <v>0</v>
      </c>
      <c r="O154" s="49">
        <v>6258.3</v>
      </c>
      <c r="P154" s="49">
        <v>3989.7</v>
      </c>
      <c r="Q154" s="49">
        <f t="shared" si="10"/>
        <v>4149.2879999999996</v>
      </c>
      <c r="R154" s="49">
        <f t="shared" si="10"/>
        <v>4315.2595199999996</v>
      </c>
    </row>
    <row r="155" spans="1:18" s="2" customFormat="1" ht="55.15" hidden="1" x14ac:dyDescent="0.25">
      <c r="A155" s="1">
        <f t="shared" si="7"/>
        <v>29</v>
      </c>
      <c r="B155" s="33" t="s">
        <v>165</v>
      </c>
      <c r="C155" s="1" t="s">
        <v>154</v>
      </c>
      <c r="D155" s="49">
        <v>103</v>
      </c>
      <c r="E155" s="49">
        <v>100</v>
      </c>
      <c r="F155" s="49">
        <v>100</v>
      </c>
      <c r="G155" s="49">
        <v>100</v>
      </c>
      <c r="H155" s="49">
        <v>100</v>
      </c>
      <c r="I155" s="49">
        <f t="shared" si="9"/>
        <v>92343.689320388352</v>
      </c>
      <c r="J155" s="49">
        <v>103330</v>
      </c>
      <c r="K155" s="49">
        <f t="shared" si="8"/>
        <v>127295</v>
      </c>
      <c r="L155" s="49">
        <f t="shared" si="8"/>
        <v>132386.79999999999</v>
      </c>
      <c r="M155" s="49">
        <f t="shared" si="8"/>
        <v>137682.272</v>
      </c>
      <c r="N155" s="49">
        <v>9511.4</v>
      </c>
      <c r="O155" s="49">
        <v>10333</v>
      </c>
      <c r="P155" s="49">
        <v>12729.5</v>
      </c>
      <c r="Q155" s="49">
        <f t="shared" si="10"/>
        <v>13238.68</v>
      </c>
      <c r="R155" s="49">
        <f t="shared" si="10"/>
        <v>13768.227200000001</v>
      </c>
    </row>
    <row r="156" spans="1:18" s="2" customFormat="1" ht="55.15" hidden="1" x14ac:dyDescent="0.25">
      <c r="A156" s="1">
        <f t="shared" si="7"/>
        <v>30</v>
      </c>
      <c r="B156" s="33" t="s">
        <v>166</v>
      </c>
      <c r="C156" s="1" t="s">
        <v>154</v>
      </c>
      <c r="D156" s="49">
        <v>30</v>
      </c>
      <c r="E156" s="49">
        <v>29</v>
      </c>
      <c r="F156" s="49">
        <v>29</v>
      </c>
      <c r="G156" s="49">
        <v>29</v>
      </c>
      <c r="H156" s="49">
        <v>29</v>
      </c>
      <c r="I156" s="49">
        <f t="shared" si="9"/>
        <v>131366.66666666669</v>
      </c>
      <c r="J156" s="49">
        <v>97609.5</v>
      </c>
      <c r="K156" s="49">
        <f t="shared" si="8"/>
        <v>78565.517241379304</v>
      </c>
      <c r="L156" s="49">
        <f t="shared" si="8"/>
        <v>81708.137931034493</v>
      </c>
      <c r="M156" s="49">
        <f t="shared" si="8"/>
        <v>84976.46344827587</v>
      </c>
      <c r="N156" s="49">
        <v>3941</v>
      </c>
      <c r="O156" s="49">
        <v>2830.7</v>
      </c>
      <c r="P156" s="49">
        <v>2278.4</v>
      </c>
      <c r="Q156" s="49">
        <f t="shared" si="10"/>
        <v>2369.5360000000001</v>
      </c>
      <c r="R156" s="49">
        <f t="shared" si="10"/>
        <v>2464.3174400000003</v>
      </c>
    </row>
    <row r="157" spans="1:18" s="2" customFormat="1" ht="82.9" hidden="1" x14ac:dyDescent="0.25">
      <c r="A157" s="1">
        <f t="shared" si="7"/>
        <v>31</v>
      </c>
      <c r="B157" s="33" t="s">
        <v>167</v>
      </c>
      <c r="C157" s="1" t="s">
        <v>154</v>
      </c>
      <c r="D157" s="49">
        <v>324</v>
      </c>
      <c r="E157" s="49">
        <v>325</v>
      </c>
      <c r="F157" s="49">
        <v>325</v>
      </c>
      <c r="G157" s="49">
        <v>325</v>
      </c>
      <c r="H157" s="49">
        <v>325</v>
      </c>
      <c r="I157" s="49">
        <f t="shared" si="9"/>
        <v>71430.555555555562</v>
      </c>
      <c r="J157" s="49">
        <v>78460.149999999994</v>
      </c>
      <c r="K157" s="49">
        <f t="shared" si="8"/>
        <v>79427.692307692312</v>
      </c>
      <c r="L157" s="49">
        <f t="shared" si="8"/>
        <v>82604.800000000003</v>
      </c>
      <c r="M157" s="49">
        <f t="shared" si="8"/>
        <v>85908.992000000013</v>
      </c>
      <c r="N157" s="49">
        <v>23143.5</v>
      </c>
      <c r="O157" s="49">
        <v>25499.599999999999</v>
      </c>
      <c r="P157" s="49">
        <v>25814</v>
      </c>
      <c r="Q157" s="49">
        <f t="shared" si="10"/>
        <v>26846.560000000001</v>
      </c>
      <c r="R157" s="49">
        <f t="shared" si="10"/>
        <v>27920.422400000003</v>
      </c>
    </row>
    <row r="158" spans="1:18" s="2" customFormat="1" ht="69" hidden="1" x14ac:dyDescent="0.25">
      <c r="A158" s="1">
        <f t="shared" si="7"/>
        <v>32</v>
      </c>
      <c r="B158" s="33" t="s">
        <v>168</v>
      </c>
      <c r="C158" s="1" t="s">
        <v>154</v>
      </c>
      <c r="D158" s="49">
        <v>468</v>
      </c>
      <c r="E158" s="49">
        <f>460</f>
        <v>460</v>
      </c>
      <c r="F158" s="49">
        <v>460</v>
      </c>
      <c r="G158" s="49">
        <v>460</v>
      </c>
      <c r="H158" s="49">
        <v>460</v>
      </c>
      <c r="I158" s="49">
        <f t="shared" si="9"/>
        <v>48420.085470085469</v>
      </c>
      <c r="J158" s="49">
        <v>77748</v>
      </c>
      <c r="K158" s="49">
        <f t="shared" si="8"/>
        <v>80857.934782608689</v>
      </c>
      <c r="L158" s="49">
        <f t="shared" si="8"/>
        <v>84092.252173913046</v>
      </c>
      <c r="M158" s="49">
        <f t="shared" si="8"/>
        <v>87455.985739130439</v>
      </c>
      <c r="N158" s="49">
        <v>22660.6</v>
      </c>
      <c r="O158" s="49">
        <f>36001.75+0.05</f>
        <v>36001.800000000003</v>
      </c>
      <c r="P158" s="49">
        <v>37194.65</v>
      </c>
      <c r="Q158" s="49">
        <f t="shared" si="10"/>
        <v>38682.436000000002</v>
      </c>
      <c r="R158" s="49">
        <f>Q158*1.04+0.02</f>
        <v>40229.75344</v>
      </c>
    </row>
    <row r="159" spans="1:18" s="2" customFormat="1" ht="69" hidden="1" x14ac:dyDescent="0.25">
      <c r="A159" s="1">
        <f t="shared" si="7"/>
        <v>33</v>
      </c>
      <c r="B159" s="33" t="s">
        <v>169</v>
      </c>
      <c r="C159" s="1" t="s">
        <v>154</v>
      </c>
      <c r="D159" s="49">
        <f>3190+2447</f>
        <v>5637</v>
      </c>
      <c r="E159" s="49">
        <f>3249+2122</f>
        <v>5371</v>
      </c>
      <c r="F159" s="49">
        <f>3249+2122</f>
        <v>5371</v>
      </c>
      <c r="G159" s="49">
        <f>3249+2122</f>
        <v>5371</v>
      </c>
      <c r="H159" s="49">
        <f>3249+2122</f>
        <v>5371</v>
      </c>
      <c r="I159" s="49">
        <f t="shared" si="9"/>
        <v>37724.552066702148</v>
      </c>
      <c r="J159" s="49">
        <v>31701.99</v>
      </c>
      <c r="K159" s="49">
        <f t="shared" si="8"/>
        <v>40858.257307763924</v>
      </c>
      <c r="L159" s="49">
        <f t="shared" si="8"/>
        <v>42492.580152671755</v>
      </c>
      <c r="M159" s="49">
        <f t="shared" si="8"/>
        <v>44192.28335877863</v>
      </c>
      <c r="N159" s="49">
        <v>212653.3</v>
      </c>
      <c r="O159" s="49">
        <f>67270.2+143790</f>
        <v>211060.2</v>
      </c>
      <c r="P159" s="49">
        <f>69908+149541.7</f>
        <v>219449.7</v>
      </c>
      <c r="Q159" s="49">
        <f>P159*1.04-0.04</f>
        <v>228227.64800000002</v>
      </c>
      <c r="R159" s="49">
        <f t="shared" si="10"/>
        <v>237356.75392000002</v>
      </c>
    </row>
    <row r="160" spans="1:18" s="2" customFormat="1" ht="69" hidden="1" x14ac:dyDescent="0.25">
      <c r="A160" s="1">
        <f t="shared" si="7"/>
        <v>34</v>
      </c>
      <c r="B160" s="33" t="s">
        <v>170</v>
      </c>
      <c r="C160" s="1" t="s">
        <v>154</v>
      </c>
      <c r="D160" s="49">
        <v>1685</v>
      </c>
      <c r="E160" s="49">
        <f>1693+353</f>
        <v>2046</v>
      </c>
      <c r="F160" s="49">
        <f>353+1693</f>
        <v>2046</v>
      </c>
      <c r="G160" s="49">
        <f>353+1693</f>
        <v>2046</v>
      </c>
      <c r="H160" s="49">
        <f>353+1693</f>
        <v>2046</v>
      </c>
      <c r="I160" s="49">
        <f t="shared" si="9"/>
        <v>39482.908011869433</v>
      </c>
      <c r="J160" s="49">
        <v>39790.58</v>
      </c>
      <c r="K160" s="49">
        <f t="shared" si="8"/>
        <v>36845.30791788856</v>
      </c>
      <c r="L160" s="49">
        <f t="shared" si="8"/>
        <v>38319.12023460411</v>
      </c>
      <c r="M160" s="49">
        <f t="shared" si="8"/>
        <v>39851.885043988266</v>
      </c>
      <c r="N160" s="49">
        <v>66528.7</v>
      </c>
      <c r="O160" s="49">
        <f>10108.2+68533.4</f>
        <v>78641.599999999991</v>
      </c>
      <c r="P160" s="49">
        <f>9200+66185.5</f>
        <v>75385.5</v>
      </c>
      <c r="Q160" s="49">
        <f t="shared" si="10"/>
        <v>78400.92</v>
      </c>
      <c r="R160" s="49">
        <f t="shared" si="10"/>
        <v>81536.9568</v>
      </c>
    </row>
    <row r="161" spans="1:18" s="2" customFormat="1" ht="55.15" hidden="1" x14ac:dyDescent="0.25">
      <c r="A161" s="1">
        <f t="shared" si="7"/>
        <v>35</v>
      </c>
      <c r="B161" s="33" t="s">
        <v>171</v>
      </c>
      <c r="C161" s="1" t="s">
        <v>154</v>
      </c>
      <c r="D161" s="49">
        <v>6211</v>
      </c>
      <c r="E161" s="49">
        <v>6634</v>
      </c>
      <c r="F161" s="49">
        <v>6458</v>
      </c>
      <c r="G161" s="49">
        <v>6458</v>
      </c>
      <c r="H161" s="49">
        <v>6458</v>
      </c>
      <c r="I161" s="49">
        <f t="shared" si="9"/>
        <v>13853.485751086781</v>
      </c>
      <c r="J161" s="49">
        <v>13043.16</v>
      </c>
      <c r="K161" s="49">
        <f t="shared" si="8"/>
        <v>13469.200991018892</v>
      </c>
      <c r="L161" s="49">
        <f t="shared" si="8"/>
        <v>14007.969030659648</v>
      </c>
      <c r="M161" s="49">
        <f t="shared" si="8"/>
        <v>14568.287791886034</v>
      </c>
      <c r="N161" s="49">
        <v>86044</v>
      </c>
      <c r="O161" s="49">
        <v>87465.4</v>
      </c>
      <c r="P161" s="49">
        <v>86984.1</v>
      </c>
      <c r="Q161" s="49">
        <f>P161*1.04</f>
        <v>90463.464000000007</v>
      </c>
      <c r="R161" s="49">
        <f>Q161*1.04</f>
        <v>94082.002560000008</v>
      </c>
    </row>
    <row r="162" spans="1:18" s="2" customFormat="1" ht="96.6" hidden="1" x14ac:dyDescent="0.25">
      <c r="A162" s="1">
        <f t="shared" si="7"/>
        <v>36</v>
      </c>
      <c r="B162" s="33" t="s">
        <v>172</v>
      </c>
      <c r="C162" s="1" t="s">
        <v>154</v>
      </c>
      <c r="D162" s="49">
        <v>0</v>
      </c>
      <c r="E162" s="49">
        <v>235</v>
      </c>
      <c r="F162" s="49">
        <v>270</v>
      </c>
      <c r="G162" s="49">
        <v>270</v>
      </c>
      <c r="H162" s="49">
        <v>270</v>
      </c>
      <c r="I162" s="49" t="e">
        <f>N162/D162*1000</f>
        <v>#DIV/0!</v>
      </c>
      <c r="J162" s="49">
        <v>45870.3</v>
      </c>
      <c r="K162" s="49">
        <f t="shared" si="8"/>
        <v>78617.777777777781</v>
      </c>
      <c r="L162" s="49">
        <f t="shared" si="8"/>
        <v>81762.488888888882</v>
      </c>
      <c r="M162" s="49">
        <f t="shared" si="8"/>
        <v>85032.988444444447</v>
      </c>
      <c r="N162" s="49">
        <v>0</v>
      </c>
      <c r="O162" s="49">
        <v>10779.5</v>
      </c>
      <c r="P162" s="49">
        <v>21226.799999999999</v>
      </c>
      <c r="Q162" s="49">
        <f>P162*1.04</f>
        <v>22075.871999999999</v>
      </c>
      <c r="R162" s="49">
        <f>Q162*1.04</f>
        <v>22958.906879999999</v>
      </c>
    </row>
    <row r="163" spans="1:18" s="2" customFormat="1" ht="27.6" hidden="1" x14ac:dyDescent="0.25">
      <c r="A163" s="1">
        <f t="shared" si="7"/>
        <v>37</v>
      </c>
      <c r="B163" s="33" t="s">
        <v>173</v>
      </c>
      <c r="C163" s="1" t="s">
        <v>174</v>
      </c>
      <c r="D163" s="49">
        <v>30035</v>
      </c>
      <c r="E163" s="49">
        <v>29750</v>
      </c>
      <c r="F163" s="49">
        <v>29750</v>
      </c>
      <c r="G163" s="49">
        <v>29750</v>
      </c>
      <c r="H163" s="49">
        <v>29750</v>
      </c>
      <c r="I163" s="49">
        <f t="shared" si="9"/>
        <v>2005.6667221574828</v>
      </c>
      <c r="J163" s="49">
        <v>2024.88</v>
      </c>
      <c r="K163" s="49">
        <f t="shared" si="8"/>
        <v>2107.4352941176467</v>
      </c>
      <c r="L163" s="49">
        <f t="shared" si="8"/>
        <v>2107.4352941176467</v>
      </c>
      <c r="M163" s="49">
        <f t="shared" si="8"/>
        <v>2107.4352941176467</v>
      </c>
      <c r="N163" s="49">
        <v>60240.2</v>
      </c>
      <c r="O163" s="49">
        <v>60284.9</v>
      </c>
      <c r="P163" s="49">
        <v>62696.2</v>
      </c>
      <c r="Q163" s="49">
        <v>62696.2</v>
      </c>
      <c r="R163" s="49">
        <v>62696.2</v>
      </c>
    </row>
    <row r="164" spans="1:18" s="2" customFormat="1" ht="27.6" hidden="1" x14ac:dyDescent="0.25">
      <c r="A164" s="1">
        <f t="shared" si="7"/>
        <v>38</v>
      </c>
      <c r="B164" s="33" t="s">
        <v>175</v>
      </c>
      <c r="C164" s="1" t="s">
        <v>174</v>
      </c>
      <c r="D164" s="49">
        <v>171737</v>
      </c>
      <c r="E164" s="49">
        <v>170680</v>
      </c>
      <c r="F164" s="49">
        <v>170680</v>
      </c>
      <c r="G164" s="49">
        <v>170680</v>
      </c>
      <c r="H164" s="49">
        <v>170680</v>
      </c>
      <c r="I164" s="49">
        <f t="shared" si="9"/>
        <v>1930.1338674834196</v>
      </c>
      <c r="J164" s="49">
        <v>2378.6</v>
      </c>
      <c r="K164" s="49">
        <f t="shared" si="8"/>
        <v>2589.4914459807828</v>
      </c>
      <c r="L164" s="49">
        <f t="shared" si="8"/>
        <v>2693.0712209983599</v>
      </c>
      <c r="M164" s="49">
        <f t="shared" si="8"/>
        <v>2800.7938940707763</v>
      </c>
      <c r="N164" s="49">
        <f>356984.9-25509.5</f>
        <v>331475.40000000002</v>
      </c>
      <c r="O164" s="49">
        <v>433516.7</v>
      </c>
      <c r="P164" s="49">
        <v>441974.4</v>
      </c>
      <c r="Q164" s="49">
        <f>P164*1.04+0.02</f>
        <v>459653.39600000007</v>
      </c>
      <c r="R164" s="49">
        <f>Q164*1.04-0.03</f>
        <v>478039.50184000004</v>
      </c>
    </row>
    <row r="165" spans="1:18" s="2" customFormat="1" ht="27.6" hidden="1" x14ac:dyDescent="0.25">
      <c r="A165" s="1">
        <f t="shared" si="7"/>
        <v>39</v>
      </c>
      <c r="B165" s="33" t="s">
        <v>176</v>
      </c>
      <c r="C165" s="1" t="s">
        <v>177</v>
      </c>
      <c r="D165" s="49">
        <v>853</v>
      </c>
      <c r="E165" s="49">
        <v>850</v>
      </c>
      <c r="F165" s="49">
        <v>850</v>
      </c>
      <c r="G165" s="49">
        <v>850</v>
      </c>
      <c r="H165" s="49">
        <v>850</v>
      </c>
      <c r="I165" s="49">
        <f t="shared" si="9"/>
        <v>18107.268464243843</v>
      </c>
      <c r="J165" s="49">
        <v>18807.169999999998</v>
      </c>
      <c r="K165" s="49">
        <f t="shared" si="8"/>
        <v>19559.529411764703</v>
      </c>
      <c r="L165" s="49">
        <f t="shared" si="8"/>
        <v>20341.910588235292</v>
      </c>
      <c r="M165" s="49">
        <f t="shared" si="8"/>
        <v>21155.587011764706</v>
      </c>
      <c r="N165" s="49">
        <v>15445.5</v>
      </c>
      <c r="O165" s="49">
        <v>15986.1</v>
      </c>
      <c r="P165" s="49">
        <v>16625.599999999999</v>
      </c>
      <c r="Q165" s="49">
        <f>P165*1.04</f>
        <v>17290.624</v>
      </c>
      <c r="R165" s="49">
        <f>Q165*1.04</f>
        <v>17982.248960000001</v>
      </c>
    </row>
    <row r="166" spans="1:18" s="2" customFormat="1" ht="41.45" hidden="1" x14ac:dyDescent="0.25">
      <c r="A166" s="1">
        <f t="shared" si="7"/>
        <v>40</v>
      </c>
      <c r="B166" s="33" t="s">
        <v>178</v>
      </c>
      <c r="C166" s="1" t="s">
        <v>179</v>
      </c>
      <c r="D166" s="49">
        <v>8</v>
      </c>
      <c r="E166" s="49">
        <v>11</v>
      </c>
      <c r="F166" s="49">
        <v>11</v>
      </c>
      <c r="G166" s="49">
        <v>11</v>
      </c>
      <c r="H166" s="49">
        <v>11</v>
      </c>
      <c r="I166" s="49">
        <f t="shared" si="9"/>
        <v>573300</v>
      </c>
      <c r="J166" s="49">
        <v>599526.67000000004</v>
      </c>
      <c r="K166" s="49">
        <f t="shared" si="8"/>
        <v>607372.72727272729</v>
      </c>
      <c r="L166" s="49">
        <f t="shared" si="8"/>
        <v>607372.72727272729</v>
      </c>
      <c r="M166" s="49">
        <f t="shared" si="8"/>
        <v>607372.72727272729</v>
      </c>
      <c r="N166" s="49">
        <v>4586.3999999999996</v>
      </c>
      <c r="O166" s="49">
        <f>4586.4+2094.7</f>
        <v>6681.0999999999995</v>
      </c>
      <c r="P166" s="49">
        <v>6681.1</v>
      </c>
      <c r="Q166" s="49">
        <v>6681.1</v>
      </c>
      <c r="R166" s="49">
        <v>6681.1</v>
      </c>
    </row>
    <row r="167" spans="1:18" s="2" customFormat="1" ht="69" hidden="1" x14ac:dyDescent="0.25">
      <c r="A167" s="1">
        <f t="shared" si="7"/>
        <v>41</v>
      </c>
      <c r="B167" s="33" t="s">
        <v>180</v>
      </c>
      <c r="C167" s="1" t="s">
        <v>181</v>
      </c>
      <c r="D167" s="49">
        <v>1499</v>
      </c>
      <c r="E167" s="49">
        <v>1500</v>
      </c>
      <c r="F167" s="49">
        <v>1452</v>
      </c>
      <c r="G167" s="49">
        <v>1452</v>
      </c>
      <c r="H167" s="49">
        <v>1452</v>
      </c>
      <c r="I167" s="49">
        <f t="shared" si="9"/>
        <v>102851.03402268181</v>
      </c>
      <c r="J167" s="49">
        <v>114243.48</v>
      </c>
      <c r="K167" s="49">
        <f t="shared" si="8"/>
        <v>114708.26446280991</v>
      </c>
      <c r="L167" s="49">
        <f t="shared" si="8"/>
        <v>119296.5564738292</v>
      </c>
      <c r="M167" s="49">
        <f t="shared" si="8"/>
        <v>124068.38842975206</v>
      </c>
      <c r="N167" s="49">
        <v>154173.70000000001</v>
      </c>
      <c r="O167" s="49">
        <v>160666.98000000001</v>
      </c>
      <c r="P167" s="49">
        <v>166556.4</v>
      </c>
      <c r="Q167" s="49">
        <v>173218.6</v>
      </c>
      <c r="R167" s="49">
        <v>180147.3</v>
      </c>
    </row>
    <row r="168" spans="1:18" s="2" customFormat="1" ht="41.45" hidden="1" x14ac:dyDescent="0.25">
      <c r="A168" s="1">
        <f t="shared" si="7"/>
        <v>42</v>
      </c>
      <c r="B168" s="33" t="s">
        <v>182</v>
      </c>
      <c r="C168" s="1" t="s">
        <v>181</v>
      </c>
      <c r="D168" s="49">
        <v>3336</v>
      </c>
      <c r="E168" s="49">
        <v>2790</v>
      </c>
      <c r="F168" s="49">
        <v>2473</v>
      </c>
      <c r="G168" s="49">
        <v>2473</v>
      </c>
      <c r="H168" s="49">
        <v>2473</v>
      </c>
      <c r="I168" s="49">
        <f t="shared" si="9"/>
        <v>9374.6103117505991</v>
      </c>
      <c r="J168" s="49">
        <v>8636.02</v>
      </c>
      <c r="K168" s="49">
        <f t="shared" si="8"/>
        <v>11954.872624342905</v>
      </c>
      <c r="L168" s="49">
        <f t="shared" si="8"/>
        <v>12433.036797412051</v>
      </c>
      <c r="M168" s="49">
        <f t="shared" si="8"/>
        <v>12930.367974120501</v>
      </c>
      <c r="N168" s="49">
        <v>31273.7</v>
      </c>
      <c r="O168" s="49">
        <v>28819.200000000001</v>
      </c>
      <c r="P168" s="49">
        <v>29564.400000000001</v>
      </c>
      <c r="Q168" s="49">
        <v>30746.9</v>
      </c>
      <c r="R168" s="49">
        <v>31976.799999999999</v>
      </c>
    </row>
    <row r="169" spans="1:18" s="2" customFormat="1" ht="13.9" hidden="1" x14ac:dyDescent="0.25">
      <c r="A169" s="1">
        <f t="shared" si="7"/>
        <v>43</v>
      </c>
      <c r="B169" s="33" t="s">
        <v>183</v>
      </c>
      <c r="C169" s="1" t="s">
        <v>132</v>
      </c>
      <c r="D169" s="49"/>
      <c r="E169" s="49"/>
      <c r="F169" s="49">
        <v>25550</v>
      </c>
      <c r="G169" s="49">
        <v>25550</v>
      </c>
      <c r="H169" s="49">
        <v>25550</v>
      </c>
      <c r="I169" s="49"/>
      <c r="J169" s="49"/>
      <c r="K169" s="49">
        <f t="shared" si="8"/>
        <v>110.0587084148728</v>
      </c>
      <c r="L169" s="49">
        <f t="shared" si="8"/>
        <v>114.46105675146771</v>
      </c>
      <c r="M169" s="49">
        <f t="shared" si="8"/>
        <v>119.0402818003914</v>
      </c>
      <c r="N169" s="49"/>
      <c r="O169" s="49"/>
      <c r="P169" s="49">
        <v>2812</v>
      </c>
      <c r="Q169" s="49">
        <f>P169*1.04</f>
        <v>2924.48</v>
      </c>
      <c r="R169" s="49">
        <f>Q169*1.04+0.02</f>
        <v>3041.4792000000002</v>
      </c>
    </row>
    <row r="170" spans="1:18" s="2" customFormat="1" ht="13.9" hidden="1" x14ac:dyDescent="0.25">
      <c r="A170" s="1">
        <f t="shared" si="7"/>
        <v>44</v>
      </c>
      <c r="B170" s="33" t="s">
        <v>184</v>
      </c>
      <c r="C170" s="1" t="s">
        <v>132</v>
      </c>
      <c r="D170" s="49"/>
      <c r="E170" s="49"/>
      <c r="F170" s="49">
        <v>179000</v>
      </c>
      <c r="G170" s="49">
        <v>179000</v>
      </c>
      <c r="H170" s="49">
        <v>179000</v>
      </c>
      <c r="I170" s="49"/>
      <c r="J170" s="49"/>
      <c r="K170" s="49">
        <f t="shared" si="8"/>
        <v>158.60000000000002</v>
      </c>
      <c r="L170" s="49">
        <f t="shared" si="8"/>
        <v>164.94411173184358</v>
      </c>
      <c r="M170" s="49">
        <f t="shared" si="8"/>
        <v>171.54187620111733</v>
      </c>
      <c r="N170" s="49"/>
      <c r="O170" s="49"/>
      <c r="P170" s="49">
        <v>28389.4</v>
      </c>
      <c r="Q170" s="49">
        <f>P170*1.04+0.02</f>
        <v>29524.996000000003</v>
      </c>
      <c r="R170" s="49">
        <f>Q170*1.04</f>
        <v>30705.995840000003</v>
      </c>
    </row>
    <row r="171" spans="1:18" s="2" customFormat="1" ht="13.9" hidden="1" x14ac:dyDescent="0.25">
      <c r="A171" s="1">
        <f t="shared" si="7"/>
        <v>45</v>
      </c>
      <c r="B171" s="33" t="s">
        <v>184</v>
      </c>
      <c r="C171" s="1" t="s">
        <v>132</v>
      </c>
      <c r="D171" s="49"/>
      <c r="E171" s="49"/>
      <c r="F171" s="49">
        <v>23500</v>
      </c>
      <c r="G171" s="49">
        <v>23500</v>
      </c>
      <c r="H171" s="49">
        <v>23500</v>
      </c>
      <c r="I171" s="49"/>
      <c r="J171" s="49"/>
      <c r="K171" s="49">
        <f t="shared" si="8"/>
        <v>737.28085106382969</v>
      </c>
      <c r="L171" s="49">
        <f t="shared" si="8"/>
        <v>766.77463829787246</v>
      </c>
      <c r="M171" s="49">
        <f t="shared" si="8"/>
        <v>797.44690042553191</v>
      </c>
      <c r="N171" s="49"/>
      <c r="O171" s="49"/>
      <c r="P171" s="49">
        <v>17326.099999999999</v>
      </c>
      <c r="Q171" s="49">
        <f>P171*1.04+0.06</f>
        <v>18019.204000000002</v>
      </c>
      <c r="R171" s="49">
        <f>Q171*1.04+0.03</f>
        <v>18740.00216</v>
      </c>
    </row>
    <row r="172" spans="1:18" s="2" customFormat="1" ht="13.9" hidden="1" x14ac:dyDescent="0.25">
      <c r="A172" s="9"/>
      <c r="B172" s="10" t="s">
        <v>0</v>
      </c>
      <c r="C172" s="3"/>
      <c r="D172" s="11" t="s">
        <v>8</v>
      </c>
      <c r="E172" s="11" t="s">
        <v>8</v>
      </c>
      <c r="F172" s="11" t="s">
        <v>8</v>
      </c>
      <c r="G172" s="11" t="s">
        <v>8</v>
      </c>
      <c r="H172" s="11" t="s">
        <v>8</v>
      </c>
      <c r="I172" s="11" t="s">
        <v>8</v>
      </c>
      <c r="J172" s="11" t="s">
        <v>8</v>
      </c>
      <c r="K172" s="11" t="s">
        <v>8</v>
      </c>
      <c r="L172" s="11" t="s">
        <v>8</v>
      </c>
      <c r="M172" s="11" t="s">
        <v>8</v>
      </c>
      <c r="N172" s="50">
        <f>SUM(N126:N171)</f>
        <v>2314117.7450000001</v>
      </c>
      <c r="O172" s="50">
        <f>SUM(O126:O171)</f>
        <v>2533172.5800000005</v>
      </c>
      <c r="P172" s="50">
        <f>SUM(P126:P171)</f>
        <v>2634249.4499999997</v>
      </c>
      <c r="Q172" s="50">
        <f>SUM(Q126:Q171)</f>
        <v>2736844.2039999994</v>
      </c>
      <c r="R172" s="50">
        <f>SUM(R126:R171)</f>
        <v>2843542.8001599996</v>
      </c>
    </row>
    <row r="173" spans="1:18" s="2" customFormat="1" ht="13.9" hidden="1" x14ac:dyDescent="0.25">
      <c r="A173" s="134" t="s">
        <v>203</v>
      </c>
      <c r="B173" s="134"/>
      <c r="C173" s="134"/>
      <c r="D173" s="134"/>
      <c r="E173" s="134"/>
      <c r="F173" s="134"/>
      <c r="G173" s="134"/>
      <c r="H173" s="134"/>
      <c r="I173" s="134"/>
      <c r="J173" s="134"/>
      <c r="K173" s="134"/>
      <c r="L173" s="134"/>
      <c r="M173" s="134"/>
      <c r="N173" s="134"/>
      <c r="O173" s="134"/>
      <c r="P173" s="134"/>
      <c r="Q173" s="134"/>
      <c r="R173" s="134"/>
    </row>
    <row r="174" spans="1:18" s="2" customFormat="1" ht="69" hidden="1" x14ac:dyDescent="0.25">
      <c r="A174" s="1">
        <v>1</v>
      </c>
      <c r="B174" s="33" t="s">
        <v>204</v>
      </c>
      <c r="C174" s="1" t="s">
        <v>205</v>
      </c>
      <c r="D174" s="49">
        <v>5</v>
      </c>
      <c r="E174" s="49">
        <v>4</v>
      </c>
      <c r="F174" s="49">
        <v>4</v>
      </c>
      <c r="G174" s="49">
        <v>4</v>
      </c>
      <c r="H174" s="49">
        <v>4</v>
      </c>
      <c r="I174" s="49">
        <f>N174/D174</f>
        <v>1979.2860000000001</v>
      </c>
      <c r="J174" s="49">
        <f t="shared" ref="J174:M177" si="11">O174/E174</f>
        <v>2497.5</v>
      </c>
      <c r="K174" s="49">
        <f t="shared" si="11"/>
        <v>2680.1325000000002</v>
      </c>
      <c r="L174" s="49">
        <f t="shared" si="11"/>
        <v>2750.3825000000002</v>
      </c>
      <c r="M174" s="49">
        <f t="shared" si="11"/>
        <v>2812.6125000000002</v>
      </c>
      <c r="N174" s="49">
        <v>9896.43</v>
      </c>
      <c r="O174" s="49">
        <v>9990</v>
      </c>
      <c r="P174" s="49">
        <v>10720.53</v>
      </c>
      <c r="Q174" s="49">
        <v>11001.53</v>
      </c>
      <c r="R174" s="49">
        <v>11250.45</v>
      </c>
    </row>
    <row r="175" spans="1:18" s="2" customFormat="1" ht="69" hidden="1" x14ac:dyDescent="0.25">
      <c r="A175" s="1">
        <v>2</v>
      </c>
      <c r="B175" s="33" t="s">
        <v>206</v>
      </c>
      <c r="C175" s="1" t="s">
        <v>205</v>
      </c>
      <c r="D175" s="49">
        <v>3</v>
      </c>
      <c r="E175" s="49">
        <v>3</v>
      </c>
      <c r="F175" s="49">
        <v>3</v>
      </c>
      <c r="G175" s="49">
        <v>3</v>
      </c>
      <c r="H175" s="49">
        <v>3</v>
      </c>
      <c r="I175" s="49">
        <f>N175/D175</f>
        <v>1965.6333333333332</v>
      </c>
      <c r="J175" s="49">
        <f t="shared" si="11"/>
        <v>2822.6666666666665</v>
      </c>
      <c r="K175" s="49">
        <f t="shared" si="11"/>
        <v>2891.6666666666665</v>
      </c>
      <c r="L175" s="49">
        <f t="shared" si="11"/>
        <v>2965</v>
      </c>
      <c r="M175" s="49">
        <f t="shared" si="11"/>
        <v>3065.6666666666665</v>
      </c>
      <c r="N175" s="49">
        <v>5896.9</v>
      </c>
      <c r="O175" s="49">
        <v>8468</v>
      </c>
      <c r="P175" s="49">
        <v>8675</v>
      </c>
      <c r="Q175" s="49">
        <v>8895</v>
      </c>
      <c r="R175" s="49">
        <v>9197</v>
      </c>
    </row>
    <row r="176" spans="1:18" s="2" customFormat="1" ht="13.9" hidden="1" x14ac:dyDescent="0.25">
      <c r="A176" s="1">
        <v>3</v>
      </c>
      <c r="B176" s="33" t="s">
        <v>270</v>
      </c>
      <c r="C176" s="1" t="s">
        <v>205</v>
      </c>
      <c r="D176" s="49">
        <v>6</v>
      </c>
      <c r="E176" s="49">
        <v>4</v>
      </c>
      <c r="F176" s="49">
        <v>4</v>
      </c>
      <c r="G176" s="49">
        <v>4</v>
      </c>
      <c r="H176" s="49">
        <v>4</v>
      </c>
      <c r="I176" s="49">
        <f>N176/D176</f>
        <v>492.90000000000003</v>
      </c>
      <c r="J176" s="49">
        <f t="shared" si="11"/>
        <v>703.5</v>
      </c>
      <c r="K176" s="49">
        <f t="shared" si="11"/>
        <v>762.5675</v>
      </c>
      <c r="L176" s="49">
        <f t="shared" si="11"/>
        <v>820.0675</v>
      </c>
      <c r="M176" s="49">
        <f t="shared" si="11"/>
        <v>887.5675</v>
      </c>
      <c r="N176" s="49">
        <f>1058.65+1898.75</f>
        <v>2957.4</v>
      </c>
      <c r="O176" s="49">
        <v>2814</v>
      </c>
      <c r="P176" s="49">
        <v>3050.27</v>
      </c>
      <c r="Q176" s="49">
        <v>3280.27</v>
      </c>
      <c r="R176" s="49">
        <v>3550.27</v>
      </c>
    </row>
    <row r="177" spans="1:18" s="2" customFormat="1" ht="110.45" hidden="1" x14ac:dyDescent="0.25">
      <c r="A177" s="1">
        <v>4</v>
      </c>
      <c r="B177" s="33" t="s">
        <v>207</v>
      </c>
      <c r="C177" s="1" t="s">
        <v>205</v>
      </c>
      <c r="D177" s="49">
        <v>2</v>
      </c>
      <c r="E177" s="49">
        <v>2</v>
      </c>
      <c r="F177" s="49">
        <v>2</v>
      </c>
      <c r="G177" s="49">
        <v>2</v>
      </c>
      <c r="H177" s="49">
        <v>2</v>
      </c>
      <c r="I177" s="49">
        <f>N177/D177</f>
        <v>1897.62</v>
      </c>
      <c r="J177" s="49">
        <f t="shared" si="11"/>
        <v>1899</v>
      </c>
      <c r="K177" s="49">
        <f t="shared" si="11"/>
        <v>2113.7849999999999</v>
      </c>
      <c r="L177" s="49">
        <f t="shared" si="11"/>
        <v>2193.7849999999999</v>
      </c>
      <c r="M177" s="49">
        <f t="shared" si="11"/>
        <v>2313.7849999999999</v>
      </c>
      <c r="N177" s="49">
        <v>3795.24</v>
      </c>
      <c r="O177" s="49">
        <v>3798</v>
      </c>
      <c r="P177" s="49">
        <v>4227.57</v>
      </c>
      <c r="Q177" s="49">
        <v>4387.57</v>
      </c>
      <c r="R177" s="49">
        <v>4627.57</v>
      </c>
    </row>
    <row r="178" spans="1:18" s="2" customFormat="1" ht="96.6" hidden="1" x14ac:dyDescent="0.25">
      <c r="A178" s="1">
        <v>5</v>
      </c>
      <c r="B178" s="33" t="s">
        <v>271</v>
      </c>
      <c r="C178" s="1" t="s">
        <v>205</v>
      </c>
      <c r="D178" s="49">
        <v>2</v>
      </c>
      <c r="E178" s="49">
        <v>1</v>
      </c>
      <c r="F178" s="49">
        <v>1</v>
      </c>
      <c r="G178" s="49">
        <v>1</v>
      </c>
      <c r="H178" s="49">
        <v>1</v>
      </c>
      <c r="I178" s="49">
        <f>N178/D178</f>
        <v>3043.625</v>
      </c>
      <c r="J178" s="49">
        <f>O178/E178</f>
        <v>2835.23</v>
      </c>
      <c r="K178" s="49">
        <f>P178/F178</f>
        <v>1985.62</v>
      </c>
      <c r="L178" s="49">
        <f>Q178/G178</f>
        <v>2085.62</v>
      </c>
      <c r="M178" s="49">
        <f>R178/H178</f>
        <v>2208.6999999999998</v>
      </c>
      <c r="N178" s="49">
        <f>4795.44+1291.81</f>
        <v>6087.25</v>
      </c>
      <c r="O178" s="49">
        <v>2835.23</v>
      </c>
      <c r="P178" s="49">
        <v>1985.62</v>
      </c>
      <c r="Q178" s="49">
        <v>2085.62</v>
      </c>
      <c r="R178" s="49">
        <v>2208.6999999999998</v>
      </c>
    </row>
    <row r="179" spans="1:18" s="2" customFormat="1" ht="13.9" hidden="1" x14ac:dyDescent="0.25">
      <c r="A179" s="9"/>
      <c r="B179" s="10" t="s">
        <v>0</v>
      </c>
      <c r="C179" s="26" t="s">
        <v>8</v>
      </c>
      <c r="D179" s="11" t="s">
        <v>8</v>
      </c>
      <c r="E179" s="11" t="s">
        <v>8</v>
      </c>
      <c r="F179" s="11" t="s">
        <v>8</v>
      </c>
      <c r="G179" s="11" t="s">
        <v>8</v>
      </c>
      <c r="H179" s="11" t="s">
        <v>8</v>
      </c>
      <c r="I179" s="11" t="s">
        <v>8</v>
      </c>
      <c r="J179" s="11" t="s">
        <v>8</v>
      </c>
      <c r="K179" s="11" t="s">
        <v>8</v>
      </c>
      <c r="L179" s="11" t="s">
        <v>8</v>
      </c>
      <c r="M179" s="11" t="s">
        <v>8</v>
      </c>
      <c r="N179" s="50">
        <f>SUM(N174:N178)</f>
        <v>28633.22</v>
      </c>
      <c r="O179" s="50">
        <f>O178+O177+O176+O175+O174</f>
        <v>27905.23</v>
      </c>
      <c r="P179" s="50">
        <f>P174+P175+P176+P177+P178</f>
        <v>28658.989999999998</v>
      </c>
      <c r="Q179" s="50">
        <f>Q174+Q175+Q176+Q177+Q178</f>
        <v>29649.989999999998</v>
      </c>
      <c r="R179" s="50">
        <f>R174+R175+R176+R177+R178</f>
        <v>30833.99</v>
      </c>
    </row>
    <row r="180" spans="1:18" s="2" customFormat="1" ht="13.9" hidden="1" x14ac:dyDescent="0.25">
      <c r="A180" s="134" t="s">
        <v>267</v>
      </c>
      <c r="B180" s="134"/>
      <c r="C180" s="134"/>
      <c r="D180" s="134"/>
      <c r="E180" s="134"/>
      <c r="F180" s="134"/>
      <c r="G180" s="134"/>
      <c r="H180" s="134"/>
      <c r="I180" s="134"/>
      <c r="J180" s="134"/>
      <c r="K180" s="134"/>
      <c r="L180" s="134"/>
      <c r="M180" s="134"/>
      <c r="N180" s="134"/>
      <c r="O180" s="134"/>
      <c r="P180" s="134"/>
      <c r="Q180" s="134"/>
      <c r="R180" s="134"/>
    </row>
    <row r="181" spans="1:18" s="2" customFormat="1" ht="55.15" hidden="1" x14ac:dyDescent="0.25">
      <c r="A181" s="1">
        <v>1</v>
      </c>
      <c r="B181" s="33" t="s">
        <v>254</v>
      </c>
      <c r="C181" s="1" t="s">
        <v>16</v>
      </c>
      <c r="D181" s="49">
        <v>252149</v>
      </c>
      <c r="E181" s="49">
        <v>255030</v>
      </c>
      <c r="F181" s="49">
        <v>257053</v>
      </c>
      <c r="G181" s="49">
        <v>257053</v>
      </c>
      <c r="H181" s="49">
        <v>257053</v>
      </c>
      <c r="I181" s="49">
        <v>123.409999</v>
      </c>
      <c r="J181" s="49">
        <v>128.34639799999999</v>
      </c>
      <c r="K181" s="49">
        <f>J181*1.04</f>
        <v>133.48025392</v>
      </c>
      <c r="L181" s="49">
        <f>K181*1.04</f>
        <v>138.81946407679999</v>
      </c>
      <c r="M181" s="49">
        <f>L181*1.04</f>
        <v>144.37224263987198</v>
      </c>
      <c r="N181" s="49">
        <f>D181*I181/1000</f>
        <v>31117.707837850998</v>
      </c>
      <c r="O181" s="49">
        <f>E181*J181/1000</f>
        <v>32732.18188194</v>
      </c>
      <c r="P181" s="49">
        <f t="shared" ref="P181:R191" si="12">F181*K181/1000</f>
        <v>34311.499710897755</v>
      </c>
      <c r="Q181" s="49">
        <f t="shared" si="12"/>
        <v>35683.959699333667</v>
      </c>
      <c r="R181" s="49">
        <f t="shared" si="12"/>
        <v>37111.318087307016</v>
      </c>
    </row>
    <row r="182" spans="1:18" s="2" customFormat="1" ht="55.15" hidden="1" x14ac:dyDescent="0.25">
      <c r="A182" s="1">
        <v>2</v>
      </c>
      <c r="B182" s="33" t="s">
        <v>255</v>
      </c>
      <c r="C182" s="1" t="s">
        <v>16</v>
      </c>
      <c r="D182" s="49">
        <v>357469</v>
      </c>
      <c r="E182" s="49">
        <v>380363</v>
      </c>
      <c r="F182" s="49">
        <v>371244</v>
      </c>
      <c r="G182" s="49">
        <v>371244</v>
      </c>
      <c r="H182" s="49">
        <v>371244</v>
      </c>
      <c r="I182" s="49">
        <v>184.33253999999999</v>
      </c>
      <c r="J182" s="49">
        <f>I182*1.0377146</f>
        <v>191.28456801308397</v>
      </c>
      <c r="K182" s="49">
        <v>201.52698799999999</v>
      </c>
      <c r="L182" s="49">
        <f t="shared" ref="L182:M192" si="13">K182*1.04</f>
        <v>209.58806751999998</v>
      </c>
      <c r="M182" s="49">
        <f t="shared" si="13"/>
        <v>217.97159022079998</v>
      </c>
      <c r="N182" s="49">
        <f>D182*I182/1000</f>
        <v>65893.16874126</v>
      </c>
      <c r="O182" s="49">
        <f t="shared" ref="O182:O191" si="14">E182*J182/1000</f>
        <v>72757.572143160651</v>
      </c>
      <c r="P182" s="49">
        <f t="shared" si="12"/>
        <v>74815.685133071995</v>
      </c>
      <c r="Q182" s="49">
        <f t="shared" si="12"/>
        <v>77808.312538394865</v>
      </c>
      <c r="R182" s="49">
        <f t="shared" si="12"/>
        <v>80920.645039930678</v>
      </c>
    </row>
    <row r="183" spans="1:18" s="2" customFormat="1" ht="69" hidden="1" x14ac:dyDescent="0.25">
      <c r="A183" s="1">
        <v>3</v>
      </c>
      <c r="B183" s="33" t="s">
        <v>256</v>
      </c>
      <c r="C183" s="1" t="s">
        <v>16</v>
      </c>
      <c r="D183" s="49">
        <v>621382</v>
      </c>
      <c r="E183" s="49">
        <v>688613</v>
      </c>
      <c r="F183" s="49">
        <v>710082</v>
      </c>
      <c r="G183" s="49">
        <v>710082</v>
      </c>
      <c r="H183" s="49">
        <v>710082</v>
      </c>
      <c r="I183" s="49">
        <v>179.20500100000001</v>
      </c>
      <c r="J183" s="49">
        <f>179.835245</f>
        <v>179.83524499999999</v>
      </c>
      <c r="K183" s="49">
        <v>194.641749</v>
      </c>
      <c r="L183" s="49">
        <f t="shared" si="13"/>
        <v>202.42741896000001</v>
      </c>
      <c r="M183" s="49">
        <f t="shared" si="13"/>
        <v>210.52451571840001</v>
      </c>
      <c r="N183" s="49">
        <f>D183*I183/1000</f>
        <v>111354.761931382</v>
      </c>
      <c r="O183" s="49">
        <f t="shared" si="14"/>
        <v>123836.887565185</v>
      </c>
      <c r="P183" s="49">
        <f t="shared" si="12"/>
        <v>138211.602413418</v>
      </c>
      <c r="Q183" s="49">
        <f t="shared" si="12"/>
        <v>143740.06650995472</v>
      </c>
      <c r="R183" s="49">
        <f t="shared" si="12"/>
        <v>149489.66917035289</v>
      </c>
    </row>
    <row r="184" spans="1:18" s="2" customFormat="1" ht="82.9" hidden="1" x14ac:dyDescent="0.25">
      <c r="A184" s="1">
        <v>4</v>
      </c>
      <c r="B184" s="33" t="s">
        <v>257</v>
      </c>
      <c r="C184" s="1" t="s">
        <v>16</v>
      </c>
      <c r="D184" s="49">
        <v>872984</v>
      </c>
      <c r="E184" s="49">
        <v>1292238</v>
      </c>
      <c r="F184" s="49">
        <v>1269562</v>
      </c>
      <c r="G184" s="49">
        <v>1269562</v>
      </c>
      <c r="H184" s="49">
        <v>1269562</v>
      </c>
      <c r="I184" s="49">
        <v>29.013407000000001</v>
      </c>
      <c r="J184" s="49">
        <v>25.7846805</v>
      </c>
      <c r="K184" s="49">
        <v>25.052566160000001</v>
      </c>
      <c r="L184" s="49">
        <f t="shared" si="13"/>
        <v>26.054668806400002</v>
      </c>
      <c r="M184" s="49">
        <f t="shared" si="13"/>
        <v>27.096855558656003</v>
      </c>
      <c r="N184" s="49">
        <f t="shared" ref="N184:N190" si="15">D184*I184/1000</f>
        <v>25328.240096488</v>
      </c>
      <c r="O184" s="49">
        <f t="shared" si="14"/>
        <v>33319.943959958997</v>
      </c>
      <c r="P184" s="49">
        <f t="shared" si="12"/>
        <v>31805.78599922192</v>
      </c>
      <c r="Q184" s="49">
        <f t="shared" si="12"/>
        <v>33078.0174391908</v>
      </c>
      <c r="R184" s="49">
        <f t="shared" si="12"/>
        <v>34401.138136758433</v>
      </c>
    </row>
    <row r="185" spans="1:18" s="2" customFormat="1" ht="55.15" hidden="1" x14ac:dyDescent="0.25">
      <c r="A185" s="1">
        <v>5</v>
      </c>
      <c r="B185" s="33" t="s">
        <v>258</v>
      </c>
      <c r="C185" s="1" t="s">
        <v>16</v>
      </c>
      <c r="D185" s="49">
        <v>1675</v>
      </c>
      <c r="E185" s="49">
        <v>1645</v>
      </c>
      <c r="F185" s="49">
        <v>1674</v>
      </c>
      <c r="G185" s="49">
        <v>1674</v>
      </c>
      <c r="H185" s="49">
        <v>1674</v>
      </c>
      <c r="I185" s="49">
        <v>13187.362388</v>
      </c>
      <c r="J185" s="49">
        <v>13599.101000000001</v>
      </c>
      <c r="K185" s="49">
        <v>11886.1212664</v>
      </c>
      <c r="L185" s="49">
        <f t="shared" si="13"/>
        <v>12361.566117056</v>
      </c>
      <c r="M185" s="49">
        <f t="shared" si="13"/>
        <v>12856.02876173824</v>
      </c>
      <c r="N185" s="49">
        <f t="shared" si="15"/>
        <v>22088.831999899998</v>
      </c>
      <c r="O185" s="49">
        <f t="shared" si="14"/>
        <v>22370.521144999999</v>
      </c>
      <c r="P185" s="49">
        <f t="shared" si="12"/>
        <v>19897.3669999536</v>
      </c>
      <c r="Q185" s="49">
        <f t="shared" si="12"/>
        <v>20693.261679951742</v>
      </c>
      <c r="R185" s="49">
        <f t="shared" si="12"/>
        <v>21520.992147149813</v>
      </c>
    </row>
    <row r="186" spans="1:18" s="2" customFormat="1" ht="27.6" hidden="1" x14ac:dyDescent="0.25">
      <c r="A186" s="1">
        <v>6</v>
      </c>
      <c r="B186" s="33" t="s">
        <v>208</v>
      </c>
      <c r="C186" s="1" t="s">
        <v>209</v>
      </c>
      <c r="D186" s="49">
        <v>1022644</v>
      </c>
      <c r="E186" s="49">
        <v>957496.1</v>
      </c>
      <c r="F186" s="49">
        <v>802955</v>
      </c>
      <c r="G186" s="49">
        <v>802955</v>
      </c>
      <c r="H186" s="49">
        <v>802955</v>
      </c>
      <c r="I186" s="49">
        <v>25.11</v>
      </c>
      <c r="J186" s="49">
        <f>I186*1.04</f>
        <v>26.1144</v>
      </c>
      <c r="K186" s="49">
        <f>I186*1.0816</f>
        <v>27.158975999999996</v>
      </c>
      <c r="L186" s="49">
        <f t="shared" si="13"/>
        <v>28.245335039999997</v>
      </c>
      <c r="M186" s="49">
        <f t="shared" si="13"/>
        <v>29.375148441599997</v>
      </c>
      <c r="N186" s="49">
        <f t="shared" si="15"/>
        <v>25678.590840000001</v>
      </c>
      <c r="O186" s="49">
        <f t="shared" si="14"/>
        <v>25004.436153839997</v>
      </c>
      <c r="P186" s="49">
        <f t="shared" si="12"/>
        <v>21807.435574079998</v>
      </c>
      <c r="Q186" s="49">
        <f t="shared" si="12"/>
        <v>22679.732997043197</v>
      </c>
      <c r="R186" s="49">
        <f t="shared" si="12"/>
        <v>23586.922316924927</v>
      </c>
    </row>
    <row r="187" spans="1:18" s="2" customFormat="1" ht="55.15" hidden="1" x14ac:dyDescent="0.25">
      <c r="A187" s="1">
        <v>7</v>
      </c>
      <c r="B187" s="33" t="s">
        <v>259</v>
      </c>
      <c r="C187" s="1" t="s">
        <v>16</v>
      </c>
      <c r="D187" s="49">
        <v>31931</v>
      </c>
      <c r="E187" s="49">
        <v>22565</v>
      </c>
      <c r="F187" s="49">
        <v>20871</v>
      </c>
      <c r="G187" s="49">
        <v>20871</v>
      </c>
      <c r="H187" s="49">
        <v>20871</v>
      </c>
      <c r="I187" s="49">
        <v>1926.8907400000001</v>
      </c>
      <c r="J187" s="49">
        <v>2051.0700000000002</v>
      </c>
      <c r="K187" s="49">
        <v>2147.2687700000001</v>
      </c>
      <c r="L187" s="49">
        <f t="shared" si="13"/>
        <v>2233.1595208000003</v>
      </c>
      <c r="M187" s="49">
        <f t="shared" si="13"/>
        <v>2322.4859016320006</v>
      </c>
      <c r="N187" s="49">
        <f t="shared" si="15"/>
        <v>61527.548218940006</v>
      </c>
      <c r="O187" s="49">
        <f t="shared" si="14"/>
        <v>46282.394550000005</v>
      </c>
      <c r="P187" s="49">
        <f t="shared" si="12"/>
        <v>44815.646498670001</v>
      </c>
      <c r="Q187" s="49">
        <f t="shared" si="12"/>
        <v>46608.272358616807</v>
      </c>
      <c r="R187" s="49">
        <f t="shared" si="12"/>
        <v>48472.603252961489</v>
      </c>
    </row>
    <row r="188" spans="1:18" s="2" customFormat="1" ht="27.6" hidden="1" x14ac:dyDescent="0.25">
      <c r="A188" s="1">
        <v>8</v>
      </c>
      <c r="B188" s="33" t="s">
        <v>210</v>
      </c>
      <c r="C188" s="1" t="s">
        <v>16</v>
      </c>
      <c r="D188" s="49">
        <v>2026544</v>
      </c>
      <c r="E188" s="49">
        <v>2186167</v>
      </c>
      <c r="F188" s="49">
        <v>2325032</v>
      </c>
      <c r="G188" s="49">
        <v>2325032</v>
      </c>
      <c r="H188" s="49">
        <v>2325032</v>
      </c>
      <c r="I188" s="49">
        <v>22.1</v>
      </c>
      <c r="J188" s="49">
        <f>I188*1.04</f>
        <v>22.984000000000002</v>
      </c>
      <c r="K188" s="49">
        <f>I188*1.0816</f>
        <v>23.903359999999999</v>
      </c>
      <c r="L188" s="49">
        <f t="shared" si="13"/>
        <v>24.859494399999999</v>
      </c>
      <c r="M188" s="49">
        <f t="shared" si="13"/>
        <v>25.853874176000001</v>
      </c>
      <c r="N188" s="49">
        <f t="shared" si="15"/>
        <v>44786.622400000007</v>
      </c>
      <c r="O188" s="49">
        <f t="shared" si="14"/>
        <v>50246.862328000003</v>
      </c>
      <c r="P188" s="49">
        <f t="shared" si="12"/>
        <v>55576.076907519993</v>
      </c>
      <c r="Q188" s="49">
        <f t="shared" si="12"/>
        <v>57799.119983820798</v>
      </c>
      <c r="R188" s="49">
        <f t="shared" si="12"/>
        <v>60111.084783173639</v>
      </c>
    </row>
    <row r="189" spans="1:18" s="2" customFormat="1" ht="82.9" hidden="1" x14ac:dyDescent="0.25">
      <c r="A189" s="1">
        <v>9</v>
      </c>
      <c r="B189" s="33" t="s">
        <v>260</v>
      </c>
      <c r="C189" s="1" t="s">
        <v>16</v>
      </c>
      <c r="D189" s="49">
        <v>6863</v>
      </c>
      <c r="E189" s="49">
        <v>7687</v>
      </c>
      <c r="F189" s="49">
        <v>8631</v>
      </c>
      <c r="G189" s="49">
        <v>8631</v>
      </c>
      <c r="H189" s="49">
        <v>8631</v>
      </c>
      <c r="I189" s="49">
        <v>4680.6400000000003</v>
      </c>
      <c r="J189" s="49">
        <v>4944.9509559999997</v>
      </c>
      <c r="K189" s="49">
        <v>5161.6731540000001</v>
      </c>
      <c r="L189" s="49">
        <f>K189*1.04</f>
        <v>5368.1400801600003</v>
      </c>
      <c r="M189" s="49">
        <f>L189*1.04</f>
        <v>5582.8656833664008</v>
      </c>
      <c r="N189" s="49">
        <f t="shared" si="15"/>
        <v>32123.232320000003</v>
      </c>
      <c r="O189" s="49">
        <f t="shared" si="14"/>
        <v>38011.837998771996</v>
      </c>
      <c r="P189" s="49">
        <f t="shared" si="12"/>
        <v>44550.400992174</v>
      </c>
      <c r="Q189" s="49">
        <f t="shared" si="12"/>
        <v>46332.417031860961</v>
      </c>
      <c r="R189" s="49">
        <f t="shared" si="12"/>
        <v>48185.713713135403</v>
      </c>
    </row>
    <row r="190" spans="1:18" s="2" customFormat="1" ht="69" hidden="1" x14ac:dyDescent="0.25">
      <c r="A190" s="1">
        <v>10</v>
      </c>
      <c r="B190" s="33" t="s">
        <v>261</v>
      </c>
      <c r="C190" s="1" t="s">
        <v>16</v>
      </c>
      <c r="D190" s="49">
        <v>6822</v>
      </c>
      <c r="E190" s="49">
        <v>7517</v>
      </c>
      <c r="F190" s="49">
        <v>8555</v>
      </c>
      <c r="G190" s="49">
        <v>8555</v>
      </c>
      <c r="H190" s="49">
        <v>8555</v>
      </c>
      <c r="I190" s="49">
        <v>477.67399499999999</v>
      </c>
      <c r="J190" s="49">
        <v>445.32659999999998</v>
      </c>
      <c r="K190" s="49">
        <v>458.12811219999998</v>
      </c>
      <c r="L190" s="49">
        <f t="shared" si="13"/>
        <v>476.453236688</v>
      </c>
      <c r="M190" s="49">
        <f t="shared" si="13"/>
        <v>495.51136615552002</v>
      </c>
      <c r="N190" s="49">
        <f t="shared" si="15"/>
        <v>3258.69199389</v>
      </c>
      <c r="O190" s="49">
        <f>E190*J190/1000</f>
        <v>3347.5200522</v>
      </c>
      <c r="P190" s="49">
        <f t="shared" si="12"/>
        <v>3919.2859998709996</v>
      </c>
      <c r="Q190" s="49">
        <f t="shared" si="12"/>
        <v>4076.05743986584</v>
      </c>
      <c r="R190" s="49">
        <f t="shared" si="12"/>
        <v>4239.099737460474</v>
      </c>
    </row>
    <row r="191" spans="1:18" s="2" customFormat="1" ht="27.6" hidden="1" x14ac:dyDescent="0.25">
      <c r="A191" s="1">
        <v>11</v>
      </c>
      <c r="B191" s="33" t="s">
        <v>211</v>
      </c>
      <c r="C191" s="1"/>
      <c r="D191" s="49"/>
      <c r="E191" s="49">
        <v>1</v>
      </c>
      <c r="F191" s="49">
        <v>1</v>
      </c>
      <c r="G191" s="49">
        <v>1</v>
      </c>
      <c r="H191" s="49">
        <v>1</v>
      </c>
      <c r="I191" s="49"/>
      <c r="J191" s="49">
        <v>3097485</v>
      </c>
      <c r="K191" s="49">
        <v>1081499</v>
      </c>
      <c r="L191" s="49">
        <f>K191*1.04+1</f>
        <v>1124759.96</v>
      </c>
      <c r="M191" s="49">
        <f t="shared" si="13"/>
        <v>1169750.3584</v>
      </c>
      <c r="N191" s="49">
        <f>D191*I191/1000</f>
        <v>0</v>
      </c>
      <c r="O191" s="49">
        <f t="shared" si="14"/>
        <v>3097.4850000000001</v>
      </c>
      <c r="P191" s="49">
        <f t="shared" si="12"/>
        <v>1081.499</v>
      </c>
      <c r="Q191" s="49">
        <f t="shared" si="12"/>
        <v>1124.7599599999999</v>
      </c>
      <c r="R191" s="49">
        <f t="shared" si="12"/>
        <v>1169.7503584000001</v>
      </c>
    </row>
    <row r="192" spans="1:18" s="2" customFormat="1" ht="69" hidden="1" x14ac:dyDescent="0.25">
      <c r="A192" s="1">
        <v>12</v>
      </c>
      <c r="B192" s="33" t="s">
        <v>212</v>
      </c>
      <c r="C192" s="1" t="s">
        <v>16</v>
      </c>
      <c r="D192" s="49">
        <v>3000</v>
      </c>
      <c r="E192" s="49"/>
      <c r="F192" s="49"/>
      <c r="G192" s="49"/>
      <c r="H192" s="49"/>
      <c r="I192" s="49"/>
      <c r="J192" s="49"/>
      <c r="K192" s="49"/>
      <c r="L192" s="49">
        <f t="shared" si="13"/>
        <v>0</v>
      </c>
      <c r="M192" s="49">
        <f t="shared" si="13"/>
        <v>0</v>
      </c>
      <c r="N192" s="49">
        <v>6000.0249999999996</v>
      </c>
      <c r="O192" s="49">
        <v>6000</v>
      </c>
      <c r="P192" s="49">
        <v>4495.6679999999997</v>
      </c>
      <c r="Q192" s="49">
        <f>P192*1.04</f>
        <v>4675.4947199999997</v>
      </c>
      <c r="R192" s="49">
        <f>Q192*1.04</f>
        <v>4862.5145087999999</v>
      </c>
    </row>
    <row r="193" spans="1:18" s="2" customFormat="1" ht="41.45" hidden="1" x14ac:dyDescent="0.25">
      <c r="A193" s="1">
        <v>13</v>
      </c>
      <c r="B193" s="33" t="s">
        <v>213</v>
      </c>
      <c r="C193" s="1"/>
      <c r="D193" s="49"/>
      <c r="E193" s="49"/>
      <c r="F193" s="49"/>
      <c r="G193" s="49"/>
      <c r="H193" s="49"/>
      <c r="I193" s="49"/>
      <c r="J193" s="49"/>
      <c r="K193" s="49"/>
      <c r="L193" s="49"/>
      <c r="M193" s="49"/>
      <c r="N193" s="49">
        <v>3767.136</v>
      </c>
      <c r="O193" s="49">
        <v>4137.15553</v>
      </c>
      <c r="P193" s="49">
        <v>4335.0469999999996</v>
      </c>
      <c r="Q193" s="49">
        <v>4501.5280000000002</v>
      </c>
      <c r="R193" s="49">
        <v>4674.549</v>
      </c>
    </row>
    <row r="194" spans="1:18" s="2" customFormat="1" ht="13.9" hidden="1" x14ac:dyDescent="0.25">
      <c r="A194" s="1"/>
      <c r="B194" s="10" t="s">
        <v>0</v>
      </c>
      <c r="C194" s="1"/>
      <c r="D194" s="23" t="s">
        <v>8</v>
      </c>
      <c r="E194" s="23" t="s">
        <v>8</v>
      </c>
      <c r="F194" s="23" t="s">
        <v>8</v>
      </c>
      <c r="G194" s="23" t="s">
        <v>8</v>
      </c>
      <c r="H194" s="23" t="s">
        <v>8</v>
      </c>
      <c r="I194" s="15"/>
      <c r="J194" s="15"/>
      <c r="K194" s="15"/>
      <c r="L194" s="15"/>
      <c r="M194" s="15"/>
      <c r="N194" s="50">
        <f>SUM(N181:N193)</f>
        <v>432924.55737971107</v>
      </c>
      <c r="O194" s="50">
        <f>SUM(O181:O193)</f>
        <v>461144.79830805666</v>
      </c>
      <c r="P194" s="50">
        <f>SUM(P181:P193)</f>
        <v>479623.00022887823</v>
      </c>
      <c r="Q194" s="50">
        <f>SUM(Q181:Q193)</f>
        <v>498801.0003580334</v>
      </c>
      <c r="R194" s="50">
        <f>SUM(R181:R193)</f>
        <v>518746.00025235472</v>
      </c>
    </row>
    <row r="195" spans="1:18" s="2" customFormat="1" ht="13.9" hidden="1" x14ac:dyDescent="0.25">
      <c r="A195" s="134" t="s">
        <v>214</v>
      </c>
      <c r="B195" s="134"/>
      <c r="C195" s="134"/>
      <c r="D195" s="134"/>
      <c r="E195" s="134"/>
      <c r="F195" s="134"/>
      <c r="G195" s="134"/>
      <c r="H195" s="134"/>
      <c r="I195" s="134"/>
      <c r="J195" s="134"/>
      <c r="K195" s="134"/>
      <c r="L195" s="134"/>
      <c r="M195" s="134"/>
      <c r="N195" s="134"/>
      <c r="O195" s="134"/>
      <c r="P195" s="134"/>
      <c r="Q195" s="134"/>
      <c r="R195" s="134"/>
    </row>
    <row r="196" spans="1:18" s="2" customFormat="1" ht="96.6" hidden="1" x14ac:dyDescent="0.25">
      <c r="A196" s="1">
        <v>1</v>
      </c>
      <c r="B196" s="33" t="s">
        <v>215</v>
      </c>
      <c r="C196" s="12" t="s">
        <v>216</v>
      </c>
      <c r="D196" s="49">
        <v>53</v>
      </c>
      <c r="E196" s="49">
        <v>50</v>
      </c>
      <c r="F196" s="49">
        <v>50</v>
      </c>
      <c r="G196" s="49">
        <v>50</v>
      </c>
      <c r="H196" s="49">
        <v>50</v>
      </c>
      <c r="I196" s="49"/>
      <c r="J196" s="49">
        <f>41943.99</f>
        <v>41943.99</v>
      </c>
      <c r="K196" s="49">
        <v>43621.749600000003</v>
      </c>
      <c r="L196" s="49">
        <v>45366.619584</v>
      </c>
      <c r="M196" s="49">
        <v>47181.28436736</v>
      </c>
      <c r="N196" s="49"/>
      <c r="O196" s="49">
        <v>2097.1999999999998</v>
      </c>
      <c r="P196" s="49">
        <v>2181.1</v>
      </c>
      <c r="Q196" s="49">
        <v>2268.4</v>
      </c>
      <c r="R196" s="49">
        <v>2359.3000000000002</v>
      </c>
    </row>
    <row r="197" spans="1:18" s="2" customFormat="1" ht="82.9" hidden="1" x14ac:dyDescent="0.25">
      <c r="A197" s="1">
        <v>2</v>
      </c>
      <c r="B197" s="33" t="s">
        <v>217</v>
      </c>
      <c r="C197" s="12" t="s">
        <v>218</v>
      </c>
      <c r="D197" s="49">
        <v>3</v>
      </c>
      <c r="E197" s="49">
        <v>4</v>
      </c>
      <c r="F197" s="49">
        <v>4</v>
      </c>
      <c r="G197" s="49">
        <v>4</v>
      </c>
      <c r="H197" s="49">
        <v>4</v>
      </c>
      <c r="I197" s="49"/>
      <c r="J197" s="49">
        <v>346642.81</v>
      </c>
      <c r="K197" s="49">
        <v>360508.52240000002</v>
      </c>
      <c r="L197" s="49">
        <v>374928.863296</v>
      </c>
      <c r="M197" s="49">
        <v>389926.01782784</v>
      </c>
      <c r="N197" s="49"/>
      <c r="O197" s="49">
        <v>1386.6</v>
      </c>
      <c r="P197" s="49">
        <v>1442</v>
      </c>
      <c r="Q197" s="49">
        <v>1499.7</v>
      </c>
      <c r="R197" s="49">
        <v>1559.7</v>
      </c>
    </row>
    <row r="198" spans="1:18" s="2" customFormat="1" ht="82.9" hidden="1" x14ac:dyDescent="0.25">
      <c r="A198" s="12">
        <v>3</v>
      </c>
      <c r="B198" s="41" t="s">
        <v>219</v>
      </c>
      <c r="C198" s="12" t="s">
        <v>218</v>
      </c>
      <c r="D198" s="49"/>
      <c r="E198" s="49">
        <v>10</v>
      </c>
      <c r="F198" s="49">
        <v>10</v>
      </c>
      <c r="G198" s="49">
        <v>10</v>
      </c>
      <c r="H198" s="49">
        <v>10</v>
      </c>
      <c r="I198" s="49"/>
      <c r="J198" s="49">
        <v>41617.79</v>
      </c>
      <c r="K198" s="49">
        <v>43282.501600000003</v>
      </c>
      <c r="L198" s="49">
        <v>45013.801663999999</v>
      </c>
      <c r="M198" s="49">
        <v>46814.353730559997</v>
      </c>
      <c r="N198" s="49"/>
      <c r="O198" s="49">
        <v>416.2</v>
      </c>
      <c r="P198" s="49">
        <v>432.8</v>
      </c>
      <c r="Q198" s="49">
        <v>450.1</v>
      </c>
      <c r="R198" s="49">
        <v>468.1</v>
      </c>
    </row>
    <row r="199" spans="1:18" s="2" customFormat="1" ht="82.9" hidden="1" x14ac:dyDescent="0.25">
      <c r="A199" s="12">
        <v>4</v>
      </c>
      <c r="B199" s="41" t="s">
        <v>220</v>
      </c>
      <c r="C199" s="12" t="s">
        <v>218</v>
      </c>
      <c r="D199" s="49"/>
      <c r="E199" s="49">
        <v>10</v>
      </c>
      <c r="F199" s="49">
        <v>10</v>
      </c>
      <c r="G199" s="49">
        <v>10</v>
      </c>
      <c r="H199" s="49">
        <v>10</v>
      </c>
      <c r="I199" s="49"/>
      <c r="J199" s="49">
        <v>13872.63</v>
      </c>
      <c r="K199" s="49">
        <v>14427.5352</v>
      </c>
      <c r="L199" s="49">
        <v>15004.636608000001</v>
      </c>
      <c r="M199" s="49">
        <v>15604.822072319999</v>
      </c>
      <c r="N199" s="49"/>
      <c r="O199" s="49">
        <v>138.69999999999999</v>
      </c>
      <c r="P199" s="49">
        <v>144.30000000000001</v>
      </c>
      <c r="Q199" s="49">
        <v>150</v>
      </c>
      <c r="R199" s="49">
        <v>156</v>
      </c>
    </row>
    <row r="200" spans="1:18" s="2" customFormat="1" ht="41.45" hidden="1" x14ac:dyDescent="0.25">
      <c r="A200" s="12">
        <v>5</v>
      </c>
      <c r="B200" s="41" t="s">
        <v>221</v>
      </c>
      <c r="C200" s="12" t="s">
        <v>218</v>
      </c>
      <c r="D200" s="49"/>
      <c r="E200" s="49">
        <v>500</v>
      </c>
      <c r="F200" s="49">
        <v>500</v>
      </c>
      <c r="G200" s="49">
        <v>500</v>
      </c>
      <c r="H200" s="49">
        <v>500</v>
      </c>
      <c r="I200" s="49"/>
      <c r="J200" s="49">
        <v>2794.01</v>
      </c>
      <c r="K200" s="49">
        <v>2905.7703999999999</v>
      </c>
      <c r="L200" s="49">
        <v>3022.0012160000001</v>
      </c>
      <c r="M200" s="49">
        <v>3142.8812646400002</v>
      </c>
      <c r="N200" s="49"/>
      <c r="O200" s="49">
        <v>1397</v>
      </c>
      <c r="P200" s="49">
        <v>1452.9</v>
      </c>
      <c r="Q200" s="49">
        <v>1511</v>
      </c>
      <c r="R200" s="49">
        <v>1571.4</v>
      </c>
    </row>
    <row r="201" spans="1:18" s="2" customFormat="1" ht="41.45" hidden="1" x14ac:dyDescent="0.25">
      <c r="A201" s="12">
        <v>6</v>
      </c>
      <c r="B201" s="41" t="s">
        <v>222</v>
      </c>
      <c r="C201" s="12" t="s">
        <v>218</v>
      </c>
      <c r="D201" s="49"/>
      <c r="E201" s="49">
        <v>1000</v>
      </c>
      <c r="F201" s="49">
        <v>1000</v>
      </c>
      <c r="G201" s="49">
        <v>1000</v>
      </c>
      <c r="H201" s="49">
        <v>1000</v>
      </c>
      <c r="I201" s="49"/>
      <c r="J201" s="49">
        <v>4190.8999999999996</v>
      </c>
      <c r="K201" s="49">
        <v>4358.5568000000003</v>
      </c>
      <c r="L201" s="49">
        <v>4532.8990720000002</v>
      </c>
      <c r="M201" s="49">
        <v>4714.2150348799996</v>
      </c>
      <c r="N201" s="49"/>
      <c r="O201" s="49">
        <v>4190.8999999999996</v>
      </c>
      <c r="P201" s="49">
        <v>4358.6000000000004</v>
      </c>
      <c r="Q201" s="49">
        <v>4532.8999999999996</v>
      </c>
      <c r="R201" s="49">
        <v>4714.2</v>
      </c>
    </row>
    <row r="202" spans="1:18" s="2" customFormat="1" ht="41.45" hidden="1" x14ac:dyDescent="0.25">
      <c r="A202" s="12">
        <v>7</v>
      </c>
      <c r="B202" s="41" t="s">
        <v>223</v>
      </c>
      <c r="C202" s="12" t="s">
        <v>218</v>
      </c>
      <c r="D202" s="49"/>
      <c r="E202" s="49">
        <v>250</v>
      </c>
      <c r="F202" s="49">
        <v>250</v>
      </c>
      <c r="G202" s="49">
        <v>250</v>
      </c>
      <c r="H202" s="49">
        <v>250</v>
      </c>
      <c r="I202" s="49"/>
      <c r="J202" s="49">
        <v>4159.62</v>
      </c>
      <c r="K202" s="49">
        <v>4326.0047999999997</v>
      </c>
      <c r="L202" s="49">
        <v>4499.0449920000001</v>
      </c>
      <c r="M202" s="49">
        <v>4679.0067916799999</v>
      </c>
      <c r="N202" s="49"/>
      <c r="O202" s="49">
        <v>1039.9000000000001</v>
      </c>
      <c r="P202" s="49">
        <v>1081.5</v>
      </c>
      <c r="Q202" s="49">
        <v>1124.8</v>
      </c>
      <c r="R202" s="49">
        <v>1169.8</v>
      </c>
    </row>
    <row r="203" spans="1:18" s="2" customFormat="1" ht="41.45" hidden="1" x14ac:dyDescent="0.25">
      <c r="A203" s="12">
        <v>8</v>
      </c>
      <c r="B203" s="41" t="s">
        <v>224</v>
      </c>
      <c r="C203" s="12" t="s">
        <v>218</v>
      </c>
      <c r="D203" s="49"/>
      <c r="E203" s="49">
        <v>500</v>
      </c>
      <c r="F203" s="49">
        <v>500</v>
      </c>
      <c r="G203" s="49">
        <v>500</v>
      </c>
      <c r="H203" s="49">
        <v>500</v>
      </c>
      <c r="I203" s="49"/>
      <c r="J203" s="49">
        <v>5546.25</v>
      </c>
      <c r="K203" s="49">
        <v>5768.1</v>
      </c>
      <c r="L203" s="49">
        <v>5998.8239999999996</v>
      </c>
      <c r="M203" s="49">
        <v>6238.7769600000001</v>
      </c>
      <c r="N203" s="49"/>
      <c r="O203" s="49">
        <v>2773.1</v>
      </c>
      <c r="P203" s="49">
        <v>2884.1</v>
      </c>
      <c r="Q203" s="49">
        <v>2999.4</v>
      </c>
      <c r="R203" s="49">
        <v>3119.4</v>
      </c>
    </row>
    <row r="204" spans="1:18" s="2" customFormat="1" ht="41.45" hidden="1" x14ac:dyDescent="0.25">
      <c r="A204" s="12">
        <v>9</v>
      </c>
      <c r="B204" s="41" t="s">
        <v>225</v>
      </c>
      <c r="C204" s="12" t="s">
        <v>218</v>
      </c>
      <c r="D204" s="49"/>
      <c r="E204" s="49">
        <v>200</v>
      </c>
      <c r="F204" s="49">
        <v>200</v>
      </c>
      <c r="G204" s="49">
        <v>200</v>
      </c>
      <c r="H204" s="49">
        <v>200</v>
      </c>
      <c r="I204" s="49"/>
      <c r="J204" s="49">
        <v>346.71</v>
      </c>
      <c r="K204" s="49">
        <v>360.57839999999999</v>
      </c>
      <c r="L204" s="49">
        <v>375.00153599999999</v>
      </c>
      <c r="M204" s="49">
        <v>390.00159744000001</v>
      </c>
      <c r="N204" s="49"/>
      <c r="O204" s="49">
        <v>69.3</v>
      </c>
      <c r="P204" s="49">
        <v>72.099999999999994</v>
      </c>
      <c r="Q204" s="49">
        <v>75</v>
      </c>
      <c r="R204" s="49">
        <v>78</v>
      </c>
    </row>
    <row r="205" spans="1:18" ht="41.45" hidden="1" x14ac:dyDescent="0.3">
      <c r="A205" s="12">
        <v>10</v>
      </c>
      <c r="B205" s="41" t="s">
        <v>226</v>
      </c>
      <c r="C205" s="12" t="s">
        <v>227</v>
      </c>
      <c r="D205" s="49"/>
      <c r="E205" s="49">
        <v>50</v>
      </c>
      <c r="F205" s="49">
        <v>50</v>
      </c>
      <c r="G205" s="49">
        <v>50</v>
      </c>
      <c r="H205" s="49">
        <v>50</v>
      </c>
      <c r="I205" s="49"/>
      <c r="J205" s="49">
        <v>1386.82</v>
      </c>
      <c r="K205" s="49">
        <v>1442.2927999999999</v>
      </c>
      <c r="L205" s="49">
        <v>1499.984512</v>
      </c>
      <c r="M205" s="49">
        <v>1559.9838924799999</v>
      </c>
      <c r="N205" s="49"/>
      <c r="O205" s="49">
        <v>69.3</v>
      </c>
      <c r="P205" s="49">
        <v>72.099999999999994</v>
      </c>
      <c r="Q205" s="49">
        <v>75</v>
      </c>
      <c r="R205" s="49">
        <v>78</v>
      </c>
    </row>
    <row r="206" spans="1:18" ht="41.45" hidden="1" x14ac:dyDescent="0.3">
      <c r="A206" s="12">
        <v>11</v>
      </c>
      <c r="B206" s="41" t="s">
        <v>228</v>
      </c>
      <c r="C206" s="12" t="s">
        <v>227</v>
      </c>
      <c r="D206" s="49">
        <v>503</v>
      </c>
      <c r="E206" s="49">
        <v>50</v>
      </c>
      <c r="F206" s="49">
        <v>50</v>
      </c>
      <c r="G206" s="49">
        <v>50</v>
      </c>
      <c r="H206" s="49">
        <v>50</v>
      </c>
      <c r="I206" s="49"/>
      <c r="J206" s="49">
        <v>1385.66</v>
      </c>
      <c r="K206" s="49">
        <v>1441.0863999999999</v>
      </c>
      <c r="L206" s="49">
        <v>1498.7298559999999</v>
      </c>
      <c r="M206" s="49">
        <v>1558.6790502399999</v>
      </c>
      <c r="N206" s="49"/>
      <c r="O206" s="49">
        <v>69.3</v>
      </c>
      <c r="P206" s="49">
        <v>72.099999999999994</v>
      </c>
      <c r="Q206" s="49">
        <v>74.900000000000006</v>
      </c>
      <c r="R206" s="49">
        <v>77.900000000000006</v>
      </c>
    </row>
    <row r="207" spans="1:18" ht="41.45" hidden="1" x14ac:dyDescent="0.3">
      <c r="A207" s="12">
        <v>12</v>
      </c>
      <c r="B207" s="41" t="s">
        <v>229</v>
      </c>
      <c r="C207" s="12" t="s">
        <v>230</v>
      </c>
      <c r="D207" s="49">
        <v>2058</v>
      </c>
      <c r="E207" s="49">
        <v>200</v>
      </c>
      <c r="F207" s="49">
        <v>200</v>
      </c>
      <c r="G207" s="49">
        <v>200</v>
      </c>
      <c r="H207" s="49">
        <v>200</v>
      </c>
      <c r="I207" s="49"/>
      <c r="J207" s="49">
        <v>346.36</v>
      </c>
      <c r="K207" s="49">
        <v>360.21440000000001</v>
      </c>
      <c r="L207" s="49">
        <v>374.62297599999999</v>
      </c>
      <c r="M207" s="49">
        <v>389.60789504000002</v>
      </c>
      <c r="N207" s="49"/>
      <c r="O207" s="49">
        <v>69.3</v>
      </c>
      <c r="P207" s="49">
        <v>72</v>
      </c>
      <c r="Q207" s="49">
        <v>74.900000000000006</v>
      </c>
      <c r="R207" s="49">
        <v>77.900000000000006</v>
      </c>
    </row>
    <row r="208" spans="1:18" s="2" customFormat="1" ht="69" hidden="1" x14ac:dyDescent="0.25">
      <c r="A208" s="12">
        <v>13</v>
      </c>
      <c r="B208" s="41" t="s">
        <v>231</v>
      </c>
      <c r="C208" s="12" t="s">
        <v>218</v>
      </c>
      <c r="D208" s="49"/>
      <c r="E208" s="49">
        <v>1269766</v>
      </c>
      <c r="F208" s="49">
        <v>20290</v>
      </c>
      <c r="G208" s="49">
        <v>20290</v>
      </c>
      <c r="H208" s="49">
        <v>20290</v>
      </c>
      <c r="I208" s="49"/>
      <c r="J208" s="49">
        <v>11.61</v>
      </c>
      <c r="K208" s="49">
        <v>12.07220248</v>
      </c>
      <c r="L208" s="49">
        <v>12.5550905792</v>
      </c>
      <c r="M208" s="49">
        <v>13.057294202368</v>
      </c>
      <c r="N208" s="49"/>
      <c r="O208" s="49">
        <v>14739.3</v>
      </c>
      <c r="P208" s="49">
        <v>244.9</v>
      </c>
      <c r="Q208" s="49">
        <v>254.7</v>
      </c>
      <c r="R208" s="49">
        <v>264.89999999999998</v>
      </c>
    </row>
    <row r="209" spans="1:18" ht="69" hidden="1" x14ac:dyDescent="0.3">
      <c r="A209" s="12">
        <v>14</v>
      </c>
      <c r="B209" s="41" t="s">
        <v>232</v>
      </c>
      <c r="C209" s="12" t="s">
        <v>218</v>
      </c>
      <c r="D209" s="49"/>
      <c r="E209" s="49">
        <v>1269766</v>
      </c>
      <c r="F209" s="49">
        <v>20290</v>
      </c>
      <c r="G209" s="49">
        <v>20290</v>
      </c>
      <c r="H209" s="49">
        <v>20290</v>
      </c>
      <c r="I209" s="49"/>
      <c r="J209" s="49">
        <v>11.61</v>
      </c>
      <c r="K209" s="49">
        <v>12.07220248</v>
      </c>
      <c r="L209" s="49">
        <v>12.5550905792</v>
      </c>
      <c r="M209" s="49">
        <v>13.057294202368</v>
      </c>
      <c r="N209" s="49"/>
      <c r="O209" s="49">
        <v>14739.3</v>
      </c>
      <c r="P209" s="49">
        <v>244.9</v>
      </c>
      <c r="Q209" s="49">
        <v>254.7</v>
      </c>
      <c r="R209" s="49">
        <v>264.89999999999998</v>
      </c>
    </row>
    <row r="210" spans="1:18" ht="41.45" hidden="1" x14ac:dyDescent="0.3">
      <c r="A210" s="12">
        <v>15</v>
      </c>
      <c r="B210" s="41" t="s">
        <v>233</v>
      </c>
      <c r="C210" s="12" t="s">
        <v>218</v>
      </c>
      <c r="D210" s="49">
        <v>1372975</v>
      </c>
      <c r="E210" s="49">
        <v>20290</v>
      </c>
      <c r="F210" s="49">
        <v>1650000</v>
      </c>
      <c r="G210" s="49">
        <v>1650000</v>
      </c>
      <c r="H210" s="49">
        <v>1650000</v>
      </c>
      <c r="I210" s="49"/>
      <c r="J210" s="49">
        <v>2.4500000000000002</v>
      </c>
      <c r="K210" s="49">
        <v>2.5471430399999999</v>
      </c>
      <c r="L210" s="49">
        <v>2.6490287615999999</v>
      </c>
      <c r="M210" s="49">
        <v>2.754989912064</v>
      </c>
      <c r="N210" s="49"/>
      <c r="O210" s="49">
        <v>49.7</v>
      </c>
      <c r="P210" s="49">
        <v>4202.8</v>
      </c>
      <c r="Q210" s="49">
        <v>4370.8999999999996</v>
      </c>
      <c r="R210" s="49">
        <v>4545.7</v>
      </c>
    </row>
    <row r="211" spans="1:18" ht="41.45" hidden="1" x14ac:dyDescent="0.3">
      <c r="A211" s="1">
        <v>16</v>
      </c>
      <c r="B211" s="33" t="s">
        <v>234</v>
      </c>
      <c r="C211" s="12" t="s">
        <v>227</v>
      </c>
      <c r="D211" s="49">
        <v>1024</v>
      </c>
      <c r="E211" s="49">
        <v>36.74</v>
      </c>
      <c r="F211" s="49">
        <v>35</v>
      </c>
      <c r="G211" s="49">
        <v>35</v>
      </c>
      <c r="H211" s="49">
        <v>35</v>
      </c>
      <c r="I211" s="49"/>
      <c r="J211" s="49">
        <v>111001.72</v>
      </c>
      <c r="K211" s="49">
        <v>115441.78464</v>
      </c>
      <c r="L211" s="49">
        <v>120059.4560256</v>
      </c>
      <c r="M211" s="49">
        <v>124861.83426662401</v>
      </c>
      <c r="N211" s="49"/>
      <c r="O211" s="49">
        <v>4078.2</v>
      </c>
      <c r="P211" s="49">
        <v>4040.5</v>
      </c>
      <c r="Q211" s="49">
        <v>4202.2</v>
      </c>
      <c r="R211" s="49">
        <v>4370.3</v>
      </c>
    </row>
    <row r="212" spans="1:18" ht="69" hidden="1" x14ac:dyDescent="0.3">
      <c r="A212" s="1">
        <v>17</v>
      </c>
      <c r="B212" s="33" t="s">
        <v>235</v>
      </c>
      <c r="C212" s="16"/>
      <c r="D212" s="49"/>
      <c r="E212" s="49"/>
      <c r="F212" s="49">
        <v>90000</v>
      </c>
      <c r="G212" s="49">
        <v>90000</v>
      </c>
      <c r="H212" s="49">
        <v>90000</v>
      </c>
      <c r="I212" s="49"/>
      <c r="J212" s="49"/>
      <c r="K212" s="49">
        <v>145.66399999999999</v>
      </c>
      <c r="L212" s="49">
        <v>151.49055999999999</v>
      </c>
      <c r="M212" s="49">
        <v>157.55018240000001</v>
      </c>
      <c r="N212" s="49"/>
      <c r="O212" s="49"/>
      <c r="P212" s="49">
        <v>13109.8</v>
      </c>
      <c r="Q212" s="49">
        <v>13634.2</v>
      </c>
      <c r="R212" s="49">
        <v>14179.5</v>
      </c>
    </row>
    <row r="213" spans="1:18" ht="69" hidden="1" x14ac:dyDescent="0.3">
      <c r="A213" s="1">
        <v>18</v>
      </c>
      <c r="B213" s="33" t="s">
        <v>236</v>
      </c>
      <c r="C213" s="16"/>
      <c r="D213" s="49"/>
      <c r="E213" s="49"/>
      <c r="F213" s="49">
        <v>90000</v>
      </c>
      <c r="G213" s="49">
        <v>90000</v>
      </c>
      <c r="H213" s="49">
        <v>90000</v>
      </c>
      <c r="I213" s="49"/>
      <c r="J213" s="49"/>
      <c r="K213" s="49">
        <v>145.66399999999999</v>
      </c>
      <c r="L213" s="49">
        <v>151.49055999999999</v>
      </c>
      <c r="M213" s="49">
        <v>157.55018240000001</v>
      </c>
      <c r="N213" s="49"/>
      <c r="O213" s="49"/>
      <c r="P213" s="49">
        <v>13109.8</v>
      </c>
      <c r="Q213" s="49">
        <v>13634.2</v>
      </c>
      <c r="R213" s="49">
        <v>14179.5</v>
      </c>
    </row>
    <row r="214" spans="1:18" ht="41.45" hidden="1" x14ac:dyDescent="0.3">
      <c r="A214" s="1">
        <v>19</v>
      </c>
      <c r="B214" s="33" t="s">
        <v>237</v>
      </c>
      <c r="C214" s="12"/>
      <c r="D214" s="49"/>
      <c r="E214" s="49"/>
      <c r="F214" s="49"/>
      <c r="G214" s="49"/>
      <c r="H214" s="49"/>
      <c r="I214" s="49"/>
      <c r="J214" s="49"/>
      <c r="K214" s="49"/>
      <c r="L214" s="49"/>
      <c r="M214" s="49"/>
      <c r="N214" s="49"/>
      <c r="O214" s="49">
        <v>50.5</v>
      </c>
      <c r="P214" s="49">
        <v>50.5</v>
      </c>
      <c r="Q214" s="49">
        <v>50.5</v>
      </c>
      <c r="R214" s="49">
        <v>50.5</v>
      </c>
    </row>
    <row r="215" spans="1:18" ht="14.45" hidden="1" x14ac:dyDescent="0.3">
      <c r="A215" s="9"/>
      <c r="B215" s="10" t="s">
        <v>0</v>
      </c>
      <c r="C215" s="3"/>
      <c r="D215" s="17" t="s">
        <v>8</v>
      </c>
      <c r="E215" s="17" t="s">
        <v>8</v>
      </c>
      <c r="F215" s="17" t="s">
        <v>8</v>
      </c>
      <c r="G215" s="17" t="s">
        <v>8</v>
      </c>
      <c r="H215" s="17" t="s">
        <v>8</v>
      </c>
      <c r="I215" s="17" t="s">
        <v>8</v>
      </c>
      <c r="J215" s="17" t="s">
        <v>8</v>
      </c>
      <c r="K215" s="17" t="s">
        <v>8</v>
      </c>
      <c r="L215" s="17" t="s">
        <v>8</v>
      </c>
      <c r="M215" s="17" t="s">
        <v>8</v>
      </c>
      <c r="N215" s="50">
        <v>38189</v>
      </c>
      <c r="O215" s="50">
        <v>47373.8</v>
      </c>
      <c r="P215" s="50">
        <v>49268.800000000003</v>
      </c>
      <c r="Q215" s="50">
        <v>51237.5</v>
      </c>
      <c r="R215" s="50">
        <v>53285</v>
      </c>
    </row>
    <row r="216" spans="1:18" ht="14.45" hidden="1" x14ac:dyDescent="0.3">
      <c r="A216" s="134" t="s">
        <v>238</v>
      </c>
      <c r="B216" s="134"/>
      <c r="C216" s="134"/>
      <c r="D216" s="134"/>
      <c r="E216" s="134"/>
      <c r="F216" s="134"/>
      <c r="G216" s="134"/>
      <c r="H216" s="134"/>
      <c r="I216" s="134"/>
      <c r="J216" s="134"/>
      <c r="K216" s="134"/>
      <c r="L216" s="134"/>
      <c r="M216" s="134"/>
      <c r="N216" s="134"/>
      <c r="O216" s="134"/>
      <c r="P216" s="134"/>
      <c r="Q216" s="134"/>
      <c r="R216" s="134"/>
    </row>
    <row r="217" spans="1:18" ht="69" hidden="1" x14ac:dyDescent="0.3">
      <c r="A217" s="40"/>
      <c r="B217" s="33" t="s">
        <v>239</v>
      </c>
      <c r="C217" s="3"/>
      <c r="D217" s="49"/>
      <c r="E217" s="49"/>
      <c r="F217" s="49"/>
      <c r="G217" s="49"/>
      <c r="H217" s="49"/>
      <c r="I217" s="49" t="s">
        <v>58</v>
      </c>
      <c r="J217" s="49" t="s">
        <v>58</v>
      </c>
      <c r="K217" s="49" t="s">
        <v>58</v>
      </c>
      <c r="L217" s="49" t="s">
        <v>58</v>
      </c>
      <c r="M217" s="49" t="s">
        <v>58</v>
      </c>
      <c r="N217" s="49">
        <v>27047.4</v>
      </c>
      <c r="O217" s="49">
        <v>40554.9</v>
      </c>
      <c r="P217" s="49">
        <v>46303</v>
      </c>
      <c r="Q217" s="49">
        <v>48198.8</v>
      </c>
      <c r="R217" s="49">
        <v>50169</v>
      </c>
    </row>
    <row r="218" spans="1:18" ht="14.45" hidden="1" x14ac:dyDescent="0.3">
      <c r="A218" s="1">
        <v>1</v>
      </c>
      <c r="B218" s="39" t="s">
        <v>240</v>
      </c>
      <c r="C218" s="1" t="s">
        <v>57</v>
      </c>
      <c r="D218" s="49">
        <v>41109</v>
      </c>
      <c r="E218" s="49">
        <v>30000</v>
      </c>
      <c r="F218" s="49">
        <v>30000</v>
      </c>
      <c r="G218" s="49">
        <v>30000</v>
      </c>
      <c r="H218" s="49">
        <v>30000</v>
      </c>
      <c r="I218" s="49"/>
      <c r="J218" s="49"/>
      <c r="K218" s="49"/>
      <c r="L218" s="49"/>
      <c r="M218" s="49"/>
      <c r="N218" s="49"/>
      <c r="O218" s="49"/>
      <c r="P218" s="49"/>
      <c r="Q218" s="49"/>
      <c r="R218" s="49"/>
    </row>
    <row r="219" spans="1:18" ht="14.45" hidden="1" x14ac:dyDescent="0.3">
      <c r="A219" s="1">
        <v>2</v>
      </c>
      <c r="B219" s="39" t="s">
        <v>241</v>
      </c>
      <c r="C219" s="1" t="s">
        <v>57</v>
      </c>
      <c r="D219" s="49">
        <v>8</v>
      </c>
      <c r="E219" s="49">
        <v>8</v>
      </c>
      <c r="F219" s="49">
        <v>8</v>
      </c>
      <c r="G219" s="49">
        <v>8</v>
      </c>
      <c r="H219" s="49">
        <v>8</v>
      </c>
      <c r="I219" s="49"/>
      <c r="J219" s="49"/>
      <c r="K219" s="49"/>
      <c r="L219" s="49"/>
      <c r="M219" s="49"/>
      <c r="N219" s="49"/>
      <c r="O219" s="49"/>
      <c r="P219" s="49"/>
      <c r="Q219" s="49"/>
      <c r="R219" s="49"/>
    </row>
    <row r="220" spans="1:18" s="2" customFormat="1" ht="13.9" hidden="1" x14ac:dyDescent="0.25">
      <c r="A220" s="1">
        <v>3</v>
      </c>
      <c r="B220" s="39" t="s">
        <v>242</v>
      </c>
      <c r="C220" s="1" t="s">
        <v>57</v>
      </c>
      <c r="D220" s="49">
        <v>5</v>
      </c>
      <c r="E220" s="49">
        <v>5</v>
      </c>
      <c r="F220" s="49">
        <v>5</v>
      </c>
      <c r="G220" s="49">
        <v>5</v>
      </c>
      <c r="H220" s="49">
        <v>5</v>
      </c>
      <c r="I220" s="49"/>
      <c r="J220" s="49"/>
      <c r="K220" s="49"/>
      <c r="L220" s="49"/>
      <c r="M220" s="49"/>
      <c r="N220" s="49"/>
      <c r="O220" s="49"/>
      <c r="P220" s="49"/>
      <c r="Q220" s="49"/>
      <c r="R220" s="49"/>
    </row>
    <row r="221" spans="1:18" ht="14.45" hidden="1" x14ac:dyDescent="0.3">
      <c r="A221" s="9"/>
      <c r="B221" s="10" t="s">
        <v>0</v>
      </c>
      <c r="C221" s="3"/>
      <c r="D221" s="18" t="s">
        <v>8</v>
      </c>
      <c r="E221" s="18" t="s">
        <v>8</v>
      </c>
      <c r="F221" s="18" t="s">
        <v>8</v>
      </c>
      <c r="G221" s="18" t="s">
        <v>8</v>
      </c>
      <c r="H221" s="18" t="s">
        <v>8</v>
      </c>
      <c r="I221" s="18" t="s">
        <v>8</v>
      </c>
      <c r="J221" s="18" t="s">
        <v>8</v>
      </c>
      <c r="K221" s="18" t="s">
        <v>8</v>
      </c>
      <c r="L221" s="18" t="s">
        <v>8</v>
      </c>
      <c r="M221" s="18" t="s">
        <v>8</v>
      </c>
      <c r="N221" s="50">
        <v>27047.4</v>
      </c>
      <c r="O221" s="50">
        <v>40554.9</v>
      </c>
      <c r="P221" s="50">
        <v>46303</v>
      </c>
      <c r="Q221" s="50">
        <v>48198.8</v>
      </c>
      <c r="R221" s="50">
        <v>50169</v>
      </c>
    </row>
    <row r="222" spans="1:18" ht="14.45" hidden="1" x14ac:dyDescent="0.3">
      <c r="A222" s="134" t="s">
        <v>268</v>
      </c>
      <c r="B222" s="147"/>
      <c r="C222" s="147"/>
      <c r="D222" s="147"/>
      <c r="E222" s="147"/>
      <c r="F222" s="147"/>
      <c r="G222" s="147"/>
      <c r="H222" s="147"/>
      <c r="I222" s="147"/>
      <c r="J222" s="147"/>
      <c r="K222" s="147"/>
      <c r="L222" s="147"/>
      <c r="M222" s="147"/>
      <c r="N222" s="147"/>
      <c r="O222" s="147"/>
      <c r="P222" s="147"/>
      <c r="Q222" s="147"/>
      <c r="R222" s="148"/>
    </row>
    <row r="223" spans="1:18" ht="41.45" hidden="1" x14ac:dyDescent="0.3">
      <c r="A223" s="1">
        <v>1</v>
      </c>
      <c r="B223" s="34" t="s">
        <v>185</v>
      </c>
      <c r="C223" s="1" t="s">
        <v>14</v>
      </c>
      <c r="D223" s="49">
        <v>1311</v>
      </c>
      <c r="E223" s="49">
        <v>1357</v>
      </c>
      <c r="F223" s="49">
        <v>1244</v>
      </c>
      <c r="G223" s="49">
        <v>1244</v>
      </c>
      <c r="H223" s="49">
        <v>1244</v>
      </c>
      <c r="I223" s="49">
        <v>16394.689999999999</v>
      </c>
      <c r="J223" s="49">
        <v>17252.669999999998</v>
      </c>
      <c r="K223" s="49">
        <v>18459.34</v>
      </c>
      <c r="L223" s="49">
        <v>18459.34</v>
      </c>
      <c r="M223" s="49">
        <v>18459.34</v>
      </c>
      <c r="N223" s="49">
        <v>21436.487000000001</v>
      </c>
      <c r="O223" s="49">
        <f>23412.3+56</f>
        <v>23468.3</v>
      </c>
      <c r="P223" s="49">
        <v>22960.83</v>
      </c>
      <c r="Q223" s="49">
        <v>22960.83</v>
      </c>
      <c r="R223" s="49">
        <v>22960.83</v>
      </c>
    </row>
    <row r="224" spans="1:18" ht="41.45" hidden="1" x14ac:dyDescent="0.3">
      <c r="A224" s="1">
        <v>2</v>
      </c>
      <c r="B224" s="35" t="s">
        <v>186</v>
      </c>
      <c r="C224" s="1" t="s">
        <v>14</v>
      </c>
      <c r="D224" s="49">
        <v>190</v>
      </c>
      <c r="E224" s="49">
        <v>190</v>
      </c>
      <c r="F224" s="49">
        <v>214</v>
      </c>
      <c r="G224" s="49">
        <v>214</v>
      </c>
      <c r="H224" s="49">
        <v>214</v>
      </c>
      <c r="I224" s="49">
        <v>3696.04</v>
      </c>
      <c r="J224" s="49">
        <v>3696.04</v>
      </c>
      <c r="K224" s="49">
        <v>3281.66</v>
      </c>
      <c r="L224" s="49">
        <v>3281.66</v>
      </c>
      <c r="M224" s="49">
        <v>3281.66</v>
      </c>
      <c r="N224" s="49">
        <v>703.18</v>
      </c>
      <c r="O224" s="49">
        <v>703.18</v>
      </c>
      <c r="P224" s="49">
        <v>703.32</v>
      </c>
      <c r="Q224" s="49">
        <v>703.32</v>
      </c>
      <c r="R224" s="49">
        <v>703.32</v>
      </c>
    </row>
    <row r="225" spans="1:18" ht="55.15" hidden="1" x14ac:dyDescent="0.3">
      <c r="A225" s="1">
        <v>3</v>
      </c>
      <c r="B225" s="35" t="s">
        <v>187</v>
      </c>
      <c r="C225" s="1" t="s">
        <v>14</v>
      </c>
      <c r="D225" s="49" t="s">
        <v>58</v>
      </c>
      <c r="E225" s="49">
        <v>488</v>
      </c>
      <c r="F225" s="49">
        <v>413</v>
      </c>
      <c r="G225" s="49">
        <v>413</v>
      </c>
      <c r="H225" s="49">
        <v>413</v>
      </c>
      <c r="I225" s="49" t="s">
        <v>58</v>
      </c>
      <c r="J225" s="49">
        <v>41278.71</v>
      </c>
      <c r="K225" s="49">
        <v>43325.65</v>
      </c>
      <c r="L225" s="49">
        <v>43325.65</v>
      </c>
      <c r="M225" s="49">
        <v>43325.65</v>
      </c>
      <c r="N225" s="49" t="s">
        <v>58</v>
      </c>
      <c r="O225" s="49">
        <v>20154.07</v>
      </c>
      <c r="P225" s="49">
        <v>17890.52</v>
      </c>
      <c r="Q225" s="49">
        <v>17890.52</v>
      </c>
      <c r="R225" s="49">
        <v>17890.52</v>
      </c>
    </row>
    <row r="226" spans="1:18" ht="27.6" hidden="1" x14ac:dyDescent="0.3">
      <c r="A226" s="1">
        <v>4</v>
      </c>
      <c r="B226" s="35" t="s">
        <v>188</v>
      </c>
      <c r="C226" s="1" t="s">
        <v>189</v>
      </c>
      <c r="D226" s="49">
        <v>46289</v>
      </c>
      <c r="E226" s="49">
        <v>85240</v>
      </c>
      <c r="F226" s="49">
        <v>82707</v>
      </c>
      <c r="G226" s="49">
        <v>82707</v>
      </c>
      <c r="H226" s="49">
        <v>82707</v>
      </c>
      <c r="I226" s="49">
        <v>64.680000000000007</v>
      </c>
      <c r="J226" s="49">
        <v>68.069999999999993</v>
      </c>
      <c r="K226" s="49">
        <v>73.84</v>
      </c>
      <c r="L226" s="49">
        <v>73.84</v>
      </c>
      <c r="M226" s="49">
        <v>73.84</v>
      </c>
      <c r="N226" s="49">
        <v>1656.4</v>
      </c>
      <c r="O226" s="49">
        <v>5807.69</v>
      </c>
      <c r="P226" s="49">
        <v>6107.13</v>
      </c>
      <c r="Q226" s="49">
        <v>6107.13</v>
      </c>
      <c r="R226" s="49">
        <v>6107.13</v>
      </c>
    </row>
    <row r="227" spans="1:18" ht="110.45" hidden="1" x14ac:dyDescent="0.3">
      <c r="A227" s="1">
        <v>5</v>
      </c>
      <c r="B227" s="35" t="s">
        <v>190</v>
      </c>
      <c r="C227" s="1" t="s">
        <v>14</v>
      </c>
      <c r="D227" s="49">
        <v>14510</v>
      </c>
      <c r="E227" s="49">
        <v>13530</v>
      </c>
      <c r="F227" s="49">
        <v>13784</v>
      </c>
      <c r="G227" s="49">
        <v>13784</v>
      </c>
      <c r="H227" s="49">
        <v>13784</v>
      </c>
      <c r="I227" s="49">
        <v>1080</v>
      </c>
      <c r="J227" s="49">
        <v>1080</v>
      </c>
      <c r="K227" s="49">
        <v>1085.6099999999999</v>
      </c>
      <c r="L227" s="49">
        <v>1085.6099999999999</v>
      </c>
      <c r="M227" s="49">
        <v>1085.6099999999999</v>
      </c>
      <c r="N227" s="49">
        <v>15670</v>
      </c>
      <c r="O227" s="49">
        <v>14612.4</v>
      </c>
      <c r="P227" s="49">
        <v>14963.64</v>
      </c>
      <c r="Q227" s="49">
        <v>14963.64</v>
      </c>
      <c r="R227" s="49">
        <v>14963.64</v>
      </c>
    </row>
    <row r="228" spans="1:18" ht="96.6" hidden="1" x14ac:dyDescent="0.3">
      <c r="A228" s="1">
        <v>6</v>
      </c>
      <c r="B228" s="35" t="s">
        <v>191</v>
      </c>
      <c r="C228" s="1" t="s">
        <v>14</v>
      </c>
      <c r="D228" s="49">
        <v>670</v>
      </c>
      <c r="E228" s="49">
        <v>420</v>
      </c>
      <c r="F228" s="49">
        <v>685</v>
      </c>
      <c r="G228" s="49">
        <v>685</v>
      </c>
      <c r="H228" s="49">
        <v>685</v>
      </c>
      <c r="I228" s="49">
        <v>17333.330000000002</v>
      </c>
      <c r="J228" s="49">
        <v>17333.330000000002</v>
      </c>
      <c r="K228" s="49">
        <v>18459.34</v>
      </c>
      <c r="L228" s="49">
        <v>18459.34</v>
      </c>
      <c r="M228" s="49">
        <v>18459.34</v>
      </c>
      <c r="N228" s="49">
        <v>11613.331</v>
      </c>
      <c r="O228" s="49">
        <v>7293.6440000000002</v>
      </c>
      <c r="P228" s="49">
        <v>12641.31</v>
      </c>
      <c r="Q228" s="49">
        <v>12641.31</v>
      </c>
      <c r="R228" s="49">
        <v>12641.31</v>
      </c>
    </row>
    <row r="229" spans="1:18" ht="14.45" hidden="1" x14ac:dyDescent="0.3">
      <c r="A229" s="1">
        <v>7</v>
      </c>
      <c r="B229" s="35" t="s">
        <v>192</v>
      </c>
      <c r="C229" s="1" t="s">
        <v>14</v>
      </c>
      <c r="D229" s="49">
        <v>260</v>
      </c>
      <c r="E229" s="49">
        <v>180</v>
      </c>
      <c r="F229" s="49">
        <v>195</v>
      </c>
      <c r="G229" s="49">
        <v>195</v>
      </c>
      <c r="H229" s="49">
        <v>195</v>
      </c>
      <c r="I229" s="49">
        <v>5000</v>
      </c>
      <c r="J229" s="49">
        <v>5000</v>
      </c>
      <c r="K229" s="49">
        <v>5260.47</v>
      </c>
      <c r="L229" s="49">
        <v>5260.47</v>
      </c>
      <c r="M229" s="49">
        <v>5260.47</v>
      </c>
      <c r="N229" s="49">
        <v>1300</v>
      </c>
      <c r="O229" s="49">
        <v>900</v>
      </c>
      <c r="P229" s="49">
        <v>1026.44</v>
      </c>
      <c r="Q229" s="49">
        <v>1026.44</v>
      </c>
      <c r="R229" s="49">
        <v>1026.44</v>
      </c>
    </row>
    <row r="230" spans="1:18" ht="14.45" hidden="1" x14ac:dyDescent="0.3">
      <c r="A230" s="1">
        <v>8</v>
      </c>
      <c r="B230" s="36" t="s">
        <v>249</v>
      </c>
      <c r="C230" s="1"/>
      <c r="D230" s="49"/>
      <c r="E230" s="49"/>
      <c r="F230" s="49"/>
      <c r="G230" s="49"/>
      <c r="H230" s="49"/>
      <c r="I230" s="49"/>
      <c r="J230" s="49"/>
      <c r="K230" s="49"/>
      <c r="L230" s="49"/>
      <c r="M230" s="49"/>
      <c r="N230" s="49"/>
      <c r="O230" s="49"/>
      <c r="P230" s="49"/>
      <c r="Q230" s="49"/>
      <c r="R230" s="49"/>
    </row>
    <row r="231" spans="1:18" ht="55.15" hidden="1" x14ac:dyDescent="0.3">
      <c r="A231" s="24" t="s">
        <v>243</v>
      </c>
      <c r="B231" s="35" t="s">
        <v>193</v>
      </c>
      <c r="C231" s="1" t="s">
        <v>57</v>
      </c>
      <c r="D231" s="49">
        <v>24</v>
      </c>
      <c r="E231" s="49">
        <v>24</v>
      </c>
      <c r="F231" s="49">
        <v>24</v>
      </c>
      <c r="G231" s="49">
        <v>24</v>
      </c>
      <c r="H231" s="49">
        <v>24</v>
      </c>
      <c r="I231" s="49"/>
      <c r="J231" s="49"/>
      <c r="K231" s="49"/>
      <c r="L231" s="49"/>
      <c r="M231" s="49"/>
      <c r="N231" s="49">
        <v>1090.1400000000001</v>
      </c>
      <c r="O231" s="49">
        <v>1090</v>
      </c>
      <c r="P231" s="49">
        <v>1090</v>
      </c>
      <c r="Q231" s="49">
        <v>1090</v>
      </c>
      <c r="R231" s="49">
        <v>1090</v>
      </c>
    </row>
    <row r="232" spans="1:18" ht="27.6" hidden="1" x14ac:dyDescent="0.3">
      <c r="A232" s="13" t="s">
        <v>244</v>
      </c>
      <c r="B232" s="35" t="s">
        <v>194</v>
      </c>
      <c r="C232" s="1" t="s">
        <v>57</v>
      </c>
      <c r="D232" s="49">
        <v>1</v>
      </c>
      <c r="E232" s="49">
        <v>1</v>
      </c>
      <c r="F232" s="49">
        <v>1</v>
      </c>
      <c r="G232" s="49">
        <v>1</v>
      </c>
      <c r="H232" s="49">
        <v>1</v>
      </c>
      <c r="I232" s="49"/>
      <c r="J232" s="49"/>
      <c r="K232" s="49"/>
      <c r="L232" s="49"/>
      <c r="M232" s="49"/>
      <c r="N232" s="49">
        <v>800</v>
      </c>
      <c r="O232" s="49">
        <f>800+155.8</f>
        <v>955.8</v>
      </c>
      <c r="P232" s="49">
        <v>800</v>
      </c>
      <c r="Q232" s="49">
        <v>800</v>
      </c>
      <c r="R232" s="49">
        <v>800</v>
      </c>
    </row>
    <row r="233" spans="1:18" ht="82.9" hidden="1" x14ac:dyDescent="0.3">
      <c r="A233" s="13" t="s">
        <v>245</v>
      </c>
      <c r="B233" s="37" t="s">
        <v>195</v>
      </c>
      <c r="C233" s="1" t="s">
        <v>57</v>
      </c>
      <c r="D233" s="49">
        <v>18</v>
      </c>
      <c r="E233" s="49">
        <v>18</v>
      </c>
      <c r="F233" s="49">
        <v>18</v>
      </c>
      <c r="G233" s="49">
        <v>18</v>
      </c>
      <c r="H233" s="49">
        <v>18</v>
      </c>
      <c r="I233" s="49"/>
      <c r="J233" s="49"/>
      <c r="K233" s="49"/>
      <c r="L233" s="49"/>
      <c r="M233" s="49"/>
      <c r="N233" s="49">
        <v>1000</v>
      </c>
      <c r="O233" s="49">
        <v>1000</v>
      </c>
      <c r="P233" s="49">
        <v>1000</v>
      </c>
      <c r="Q233" s="49">
        <v>1000</v>
      </c>
      <c r="R233" s="49">
        <v>1000</v>
      </c>
    </row>
    <row r="234" spans="1:18" ht="55.15" hidden="1" x14ac:dyDescent="0.3">
      <c r="A234" s="13" t="s">
        <v>246</v>
      </c>
      <c r="B234" s="35" t="s">
        <v>196</v>
      </c>
      <c r="C234" s="1" t="s">
        <v>57</v>
      </c>
      <c r="D234" s="49">
        <v>1</v>
      </c>
      <c r="E234" s="49">
        <v>1</v>
      </c>
      <c r="F234" s="49">
        <v>1</v>
      </c>
      <c r="G234" s="49">
        <v>1</v>
      </c>
      <c r="H234" s="49">
        <v>1</v>
      </c>
      <c r="I234" s="49"/>
      <c r="J234" s="49"/>
      <c r="K234" s="49"/>
      <c r="L234" s="49"/>
      <c r="M234" s="49"/>
      <c r="N234" s="49">
        <v>100</v>
      </c>
      <c r="O234" s="49">
        <v>200</v>
      </c>
      <c r="P234" s="49">
        <v>200</v>
      </c>
      <c r="Q234" s="49">
        <v>200</v>
      </c>
      <c r="R234" s="49">
        <v>200</v>
      </c>
    </row>
    <row r="235" spans="1:18" ht="41.45" hidden="1" x14ac:dyDescent="0.3">
      <c r="A235" s="13" t="s">
        <v>247</v>
      </c>
      <c r="B235" s="35" t="s">
        <v>197</v>
      </c>
      <c r="C235" s="1" t="s">
        <v>57</v>
      </c>
      <c r="D235" s="49">
        <v>1</v>
      </c>
      <c r="E235" s="49">
        <v>1</v>
      </c>
      <c r="F235" s="49">
        <v>1</v>
      </c>
      <c r="G235" s="49">
        <v>1</v>
      </c>
      <c r="H235" s="49">
        <v>1</v>
      </c>
      <c r="I235" s="49"/>
      <c r="J235" s="49"/>
      <c r="K235" s="49"/>
      <c r="L235" s="49"/>
      <c r="M235" s="49"/>
      <c r="N235" s="49">
        <v>200</v>
      </c>
      <c r="O235" s="49">
        <v>200</v>
      </c>
      <c r="P235" s="49">
        <v>200</v>
      </c>
      <c r="Q235" s="49">
        <v>200</v>
      </c>
      <c r="R235" s="49">
        <v>200</v>
      </c>
    </row>
    <row r="236" spans="1:18" ht="27.6" hidden="1" x14ac:dyDescent="0.3">
      <c r="A236" s="13" t="s">
        <v>248</v>
      </c>
      <c r="B236" s="38" t="s">
        <v>198</v>
      </c>
      <c r="C236" s="1" t="s">
        <v>57</v>
      </c>
      <c r="D236" s="49">
        <v>1</v>
      </c>
      <c r="E236" s="49">
        <v>1</v>
      </c>
      <c r="F236" s="49">
        <v>1</v>
      </c>
      <c r="G236" s="49">
        <v>1</v>
      </c>
      <c r="H236" s="49">
        <v>1</v>
      </c>
      <c r="I236" s="49"/>
      <c r="J236" s="49"/>
      <c r="K236" s="49"/>
      <c r="L236" s="49"/>
      <c r="M236" s="49"/>
      <c r="N236" s="49">
        <v>200</v>
      </c>
      <c r="O236" s="49">
        <v>200</v>
      </c>
      <c r="P236" s="49">
        <v>200</v>
      </c>
      <c r="Q236" s="49">
        <v>200</v>
      </c>
      <c r="R236" s="49">
        <v>200</v>
      </c>
    </row>
    <row r="237" spans="1:18" ht="41.45" hidden="1" x14ac:dyDescent="0.3">
      <c r="A237" s="1">
        <v>9</v>
      </c>
      <c r="B237" s="35" t="s">
        <v>199</v>
      </c>
      <c r="C237" s="1" t="s">
        <v>200</v>
      </c>
      <c r="D237" s="49">
        <v>82</v>
      </c>
      <c r="E237" s="49">
        <v>1122</v>
      </c>
      <c r="F237" s="49">
        <v>2604</v>
      </c>
      <c r="G237" s="49">
        <v>2601</v>
      </c>
      <c r="H237" s="49">
        <v>2597</v>
      </c>
      <c r="I237" s="49"/>
      <c r="J237" s="49"/>
      <c r="K237" s="49"/>
      <c r="L237" s="49"/>
      <c r="M237" s="49"/>
      <c r="N237" s="49">
        <v>45.1</v>
      </c>
      <c r="O237" s="49">
        <f>1260+190</f>
        <v>1450</v>
      </c>
      <c r="P237" s="49">
        <f>3906+197</f>
        <v>4103</v>
      </c>
      <c r="Q237" s="49">
        <f>3901+202</f>
        <v>4103</v>
      </c>
      <c r="R237" s="49">
        <f>3896+207</f>
        <v>4103</v>
      </c>
    </row>
    <row r="238" spans="1:18" ht="41.45" hidden="1" x14ac:dyDescent="0.3">
      <c r="A238" s="1">
        <v>10</v>
      </c>
      <c r="B238" s="35" t="s">
        <v>201</v>
      </c>
      <c r="C238" s="1" t="s">
        <v>202</v>
      </c>
      <c r="D238" s="49">
        <v>17</v>
      </c>
      <c r="E238" s="49">
        <v>20</v>
      </c>
      <c r="F238" s="49">
        <v>270</v>
      </c>
      <c r="G238" s="49">
        <v>270</v>
      </c>
      <c r="H238" s="49">
        <v>270</v>
      </c>
      <c r="I238" s="49"/>
      <c r="J238" s="49"/>
      <c r="K238" s="49"/>
      <c r="L238" s="49"/>
      <c r="M238" s="49"/>
      <c r="N238" s="49">
        <v>54.4</v>
      </c>
      <c r="O238" s="49">
        <v>70</v>
      </c>
      <c r="P238" s="49">
        <v>945</v>
      </c>
      <c r="Q238" s="49">
        <v>945</v>
      </c>
      <c r="R238" s="49">
        <v>945</v>
      </c>
    </row>
    <row r="239" spans="1:18" s="2" customFormat="1" ht="13.9" hidden="1" x14ac:dyDescent="0.25">
      <c r="A239" s="9"/>
      <c r="B239" s="10" t="s">
        <v>0</v>
      </c>
      <c r="C239" s="3"/>
      <c r="D239" s="11" t="s">
        <v>8</v>
      </c>
      <c r="E239" s="11" t="s">
        <v>8</v>
      </c>
      <c r="F239" s="11" t="s">
        <v>8</v>
      </c>
      <c r="G239" s="11" t="s">
        <v>8</v>
      </c>
      <c r="H239" s="11" t="s">
        <v>8</v>
      </c>
      <c r="I239" s="11" t="s">
        <v>8</v>
      </c>
      <c r="J239" s="11" t="s">
        <v>8</v>
      </c>
      <c r="K239" s="11" t="s">
        <v>8</v>
      </c>
      <c r="L239" s="11" t="s">
        <v>8</v>
      </c>
      <c r="M239" s="11" t="s">
        <v>8</v>
      </c>
      <c r="N239" s="50">
        <f>SUM(N223:N238)</f>
        <v>55869.038</v>
      </c>
      <c r="O239" s="50">
        <f>SUM(O223:O238)</f>
        <v>78105.084000000017</v>
      </c>
      <c r="P239" s="50">
        <f>SUM(P223:P238)</f>
        <v>84831.19</v>
      </c>
      <c r="Q239" s="50">
        <f>SUM(Q223:Q238)</f>
        <v>84831.19</v>
      </c>
      <c r="R239" s="50">
        <f>SUM(R223:R238)</f>
        <v>84831.19</v>
      </c>
    </row>
    <row r="240" spans="1:18" s="2" customFormat="1" ht="15" customHeight="1" x14ac:dyDescent="0.25">
      <c r="A240" s="134" t="s">
        <v>250</v>
      </c>
      <c r="B240" s="134"/>
      <c r="C240" s="134"/>
      <c r="D240" s="134"/>
      <c r="E240" s="134"/>
      <c r="F240" s="134"/>
      <c r="G240" s="134"/>
      <c r="H240" s="134"/>
      <c r="I240" s="134"/>
      <c r="J240" s="134"/>
      <c r="K240" s="134"/>
      <c r="L240" s="134"/>
      <c r="M240" s="134"/>
      <c r="N240" s="134"/>
      <c r="O240" s="134"/>
      <c r="P240" s="134"/>
      <c r="Q240" s="134"/>
      <c r="R240" s="134"/>
    </row>
    <row r="241" spans="1:18" s="2" customFormat="1" ht="60" x14ac:dyDescent="0.25">
      <c r="A241" s="1">
        <v>1</v>
      </c>
      <c r="B241" s="32" t="s">
        <v>251</v>
      </c>
      <c r="C241" s="3" t="s">
        <v>14</v>
      </c>
      <c r="D241" s="49">
        <v>3804</v>
      </c>
      <c r="E241" s="49">
        <v>3735</v>
      </c>
      <c r="F241" s="49">
        <v>3725</v>
      </c>
      <c r="G241" s="49">
        <v>3745</v>
      </c>
      <c r="H241" s="49">
        <v>3745</v>
      </c>
      <c r="I241" s="49">
        <v>477251.91</v>
      </c>
      <c r="J241" s="49">
        <v>496341.99</v>
      </c>
      <c r="K241" s="49"/>
      <c r="L241" s="49"/>
      <c r="M241" s="49"/>
      <c r="N241" s="49">
        <v>1670437.08</v>
      </c>
      <c r="O241" s="49">
        <v>1747725.58</v>
      </c>
      <c r="P241" s="49">
        <v>1796815.69</v>
      </c>
      <c r="Q241" s="49">
        <v>1856367.49</v>
      </c>
      <c r="R241" s="49">
        <v>1909640.79</v>
      </c>
    </row>
    <row r="242" spans="1:18" s="2" customFormat="1" ht="105" x14ac:dyDescent="0.25">
      <c r="A242" s="1">
        <v>2</v>
      </c>
      <c r="B242" s="32" t="s">
        <v>252</v>
      </c>
      <c r="C242" s="1" t="s">
        <v>14</v>
      </c>
      <c r="D242" s="49">
        <v>11606</v>
      </c>
      <c r="E242" s="49">
        <v>9824</v>
      </c>
      <c r="F242" s="49">
        <v>9939</v>
      </c>
      <c r="G242" s="49">
        <v>9956</v>
      </c>
      <c r="H242" s="49">
        <v>9976</v>
      </c>
      <c r="I242" s="49">
        <v>778606.57</v>
      </c>
      <c r="J242" s="49">
        <v>814861.63</v>
      </c>
      <c r="K242" s="49"/>
      <c r="L242" s="49"/>
      <c r="M242" s="49"/>
      <c r="N242" s="49">
        <v>675699.31</v>
      </c>
      <c r="O242" s="49">
        <v>1279004.54</v>
      </c>
      <c r="P242" s="49">
        <v>1430170.75</v>
      </c>
      <c r="Q242" s="49">
        <v>1543026.67</v>
      </c>
      <c r="R242" s="49">
        <v>1624176.19</v>
      </c>
    </row>
    <row r="243" spans="1:18" s="2" customFormat="1" ht="15" customHeight="1" x14ac:dyDescent="0.25">
      <c r="A243" s="31"/>
      <c r="B243" s="31" t="s">
        <v>0</v>
      </c>
      <c r="C243" s="29" t="s">
        <v>8</v>
      </c>
      <c r="D243" s="29" t="s">
        <v>8</v>
      </c>
      <c r="E243" s="29" t="s">
        <v>8</v>
      </c>
      <c r="F243" s="29" t="s">
        <v>8</v>
      </c>
      <c r="G243" s="29" t="s">
        <v>8</v>
      </c>
      <c r="H243" s="29" t="s">
        <v>8</v>
      </c>
      <c r="I243" s="29" t="s">
        <v>8</v>
      </c>
      <c r="J243" s="29" t="s">
        <v>8</v>
      </c>
      <c r="K243" s="29" t="s">
        <v>8</v>
      </c>
      <c r="L243" s="29" t="s">
        <v>8</v>
      </c>
      <c r="M243" s="29" t="s">
        <v>8</v>
      </c>
      <c r="N243" s="50">
        <f>SUM(N241:N242)</f>
        <v>2346136.39</v>
      </c>
      <c r="O243" s="50">
        <f>SUM(O241:O242)</f>
        <v>3026730.12</v>
      </c>
      <c r="P243" s="50">
        <f>SUM(P241:P242)</f>
        <v>3226986.44</v>
      </c>
      <c r="Q243" s="50">
        <f>SUM(Q241:Q242)</f>
        <v>3399394.16</v>
      </c>
      <c r="R243" s="50">
        <f>SUM(R241:R242)</f>
        <v>3533816.98</v>
      </c>
    </row>
  </sheetData>
  <customSheetViews>
    <customSheetView guid="{CA612BCB-111F-4786-B98F-3B66BF1F01C7}" scale="90" showPageBreaks="1"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1"/>
    </customSheetView>
    <customSheetView guid="{364080A9-4C50-4D56-AFFE-3F56BEE01D21}" scale="90" showPageBreaks="1"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2"/>
    </customSheetView>
    <customSheetView guid="{E442A37A-C329-497A-93AF-778FC95E568D}" scale="90"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3"/>
    </customSheetView>
    <customSheetView guid="{E4E24A0D-4CE4-4533-9643-8904DCA0EAAD}" scale="90"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4"/>
    </customSheetView>
    <customSheetView guid="{4873CEAB-4E26-4DB7-8CA3-1027F54FA069}" scale="90"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5"/>
    </customSheetView>
    <customSheetView guid="{15008CFB-90AE-4019-A345-B8744D25D0C3}" scale="90" showPageBreaks="1"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6"/>
    </customSheetView>
    <customSheetView guid="{1237AFA1-68A6-41BB-9F1F-2BB33CF3BCCE}" scale="90" showPageBreaks="1"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7"/>
    </customSheetView>
    <customSheetView guid="{765F1DBD-C068-444A-8B13-2916A4A9BA3F}" scale="90"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8"/>
    </customSheetView>
    <customSheetView guid="{AC3D1D09-98ED-4CFD-8F29-C435F099150F}" scale="90"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9"/>
    </customSheetView>
    <customSheetView guid="{5B955171-6155-4477-93FE-98906395A697}" scale="90"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10"/>
    </customSheetView>
    <customSheetView guid="{69868B4C-820B-4999-9363-14A229151CE0}" scale="90" showPageBreaks="1" fitToPage="1" hiddenRows="1" hiddenColumns="1" state="hidden">
      <pane ySplit="238" topLeftCell="A240" activePane="bottomLeft" state="frozen"/>
      <selection pane="bottomLeft" activeCell="N243" sqref="N243:R243"/>
      <pageMargins left="0.39370078740157483" right="0.39370078740157483" top="0.39370078740157483" bottom="0.39370078740157483" header="0" footer="0"/>
      <printOptions horizontalCentered="1"/>
      <pageSetup paperSize="9" scale="63" fitToHeight="0" orientation="landscape" r:id="rId11"/>
    </customSheetView>
  </customSheetViews>
  <mergeCells count="23">
    <mergeCell ref="A240:R240"/>
    <mergeCell ref="A1:R1"/>
    <mergeCell ref="A2:A3"/>
    <mergeCell ref="B2:B3"/>
    <mergeCell ref="C2:C3"/>
    <mergeCell ref="I2:M2"/>
    <mergeCell ref="A89:R89"/>
    <mergeCell ref="A216:R216"/>
    <mergeCell ref="A123:R123"/>
    <mergeCell ref="A126:R126"/>
    <mergeCell ref="A173:R173"/>
    <mergeCell ref="A180:R180"/>
    <mergeCell ref="A222:R222"/>
    <mergeCell ref="A195:R195"/>
    <mergeCell ref="A118:R118"/>
    <mergeCell ref="D2:H2"/>
    <mergeCell ref="A106:R106"/>
    <mergeCell ref="N2:R2"/>
    <mergeCell ref="A5:R5"/>
    <mergeCell ref="A49:R49"/>
    <mergeCell ref="A55:R55"/>
    <mergeCell ref="B44:B45"/>
    <mergeCell ref="A44:A45"/>
  </mergeCells>
  <printOptions horizontalCentered="1"/>
  <pageMargins left="0.39370078740157483" right="0.39370078740157483" top="0.39370078740157483" bottom="0.39370078740157483" header="0" footer="0"/>
  <pageSetup paperSize="9" scale="63" fitToHeight="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82"/>
  <sheetViews>
    <sheetView tabSelected="1" zoomScale="90" zoomScaleNormal="90" workbookViewId="0">
      <selection activeCell="J10" sqref="J10"/>
    </sheetView>
  </sheetViews>
  <sheetFormatPr defaultColWidth="9.140625" defaultRowHeight="15" x14ac:dyDescent="0.25"/>
  <cols>
    <col min="1" max="1" width="7.7109375" style="27" customWidth="1"/>
    <col min="2" max="2" width="51.140625" style="54" customWidth="1"/>
    <col min="3" max="3" width="19" style="27" bestFit="1" customWidth="1"/>
    <col min="4" max="4" width="17.5703125" style="4" hidden="1" customWidth="1"/>
    <col min="5" max="6" width="17.5703125" style="4" customWidth="1"/>
    <col min="7" max="7" width="22.5703125" style="4" bestFit="1" customWidth="1"/>
    <col min="8" max="8" width="20.5703125" style="4" hidden="1" customWidth="1"/>
    <col min="9" max="10" width="20.5703125" style="4" customWidth="1"/>
    <col min="11" max="11" width="22.5703125" style="4" bestFit="1" customWidth="1"/>
    <col min="12" max="12" width="14" style="4" customWidth="1"/>
    <col min="13" max="13" width="28.140625" style="4" customWidth="1"/>
    <col min="14" max="14" width="19" style="4" customWidth="1"/>
    <col min="15" max="15" width="17.28515625" style="4" customWidth="1"/>
    <col min="16" max="16" width="11.85546875" style="4" customWidth="1"/>
    <col min="17" max="17" width="12.28515625" style="4" customWidth="1"/>
    <col min="18" max="18" width="12.7109375" style="4" customWidth="1"/>
    <col min="19" max="16384" width="9.140625" style="4"/>
  </cols>
  <sheetData>
    <row r="1" spans="1:11" ht="18.75" x14ac:dyDescent="0.3">
      <c r="K1" s="133" t="s">
        <v>406</v>
      </c>
    </row>
    <row r="2" spans="1:11" s="2" customFormat="1" ht="72.599999999999994" customHeight="1" x14ac:dyDescent="0.25">
      <c r="A2" s="155" t="s">
        <v>407</v>
      </c>
      <c r="B2" s="155"/>
      <c r="C2" s="155"/>
      <c r="D2" s="155"/>
      <c r="E2" s="155"/>
      <c r="F2" s="155"/>
      <c r="G2" s="155"/>
      <c r="H2" s="155"/>
      <c r="I2" s="155"/>
      <c r="J2" s="155"/>
      <c r="K2" s="155"/>
    </row>
    <row r="3" spans="1:11" s="2" customFormat="1" ht="15" customHeight="1" x14ac:dyDescent="0.25">
      <c r="A3" s="57"/>
      <c r="B3" s="59"/>
      <c r="C3" s="60"/>
      <c r="D3" s="60"/>
      <c r="E3" s="60"/>
      <c r="F3" s="60"/>
      <c r="G3" s="60"/>
      <c r="H3" s="60"/>
      <c r="I3" s="60"/>
      <c r="J3" s="60"/>
      <c r="K3" s="57"/>
    </row>
    <row r="4" spans="1:11" s="58" customFormat="1" ht="64.150000000000006" customHeight="1" x14ac:dyDescent="0.2">
      <c r="A4" s="156" t="s">
        <v>1</v>
      </c>
      <c r="B4" s="157" t="s">
        <v>2</v>
      </c>
      <c r="C4" s="156" t="s">
        <v>3</v>
      </c>
      <c r="D4" s="156" t="s">
        <v>4</v>
      </c>
      <c r="E4" s="156"/>
      <c r="F4" s="156"/>
      <c r="G4" s="156"/>
      <c r="H4" s="156" t="s">
        <v>5</v>
      </c>
      <c r="I4" s="156"/>
      <c r="J4" s="156"/>
      <c r="K4" s="156"/>
    </row>
    <row r="5" spans="1:11" s="58" customFormat="1" ht="57" x14ac:dyDescent="0.2">
      <c r="A5" s="156"/>
      <c r="B5" s="158"/>
      <c r="C5" s="156"/>
      <c r="D5" s="62" t="s">
        <v>341</v>
      </c>
      <c r="E5" s="62" t="s">
        <v>343</v>
      </c>
      <c r="F5" s="62" t="s">
        <v>344</v>
      </c>
      <c r="G5" s="62" t="s">
        <v>345</v>
      </c>
      <c r="H5" s="62" t="s">
        <v>341</v>
      </c>
      <c r="I5" s="62" t="s">
        <v>343</v>
      </c>
      <c r="J5" s="62" t="s">
        <v>344</v>
      </c>
      <c r="K5" s="25" t="s">
        <v>346</v>
      </c>
    </row>
    <row r="6" spans="1:11" s="2" customFormat="1" ht="13.9" x14ac:dyDescent="0.25">
      <c r="A6" s="1">
        <v>1</v>
      </c>
      <c r="B6" s="1">
        <v>2</v>
      </c>
      <c r="C6" s="1">
        <v>3</v>
      </c>
      <c r="D6" s="1">
        <v>4</v>
      </c>
      <c r="E6" s="1">
        <v>4</v>
      </c>
      <c r="F6" s="1">
        <v>5</v>
      </c>
      <c r="G6" s="1">
        <v>6</v>
      </c>
      <c r="H6" s="61">
        <v>14</v>
      </c>
      <c r="I6" s="61">
        <v>7</v>
      </c>
      <c r="J6" s="61">
        <v>8</v>
      </c>
      <c r="K6" s="53">
        <v>9</v>
      </c>
    </row>
    <row r="7" spans="1:11" s="2" customFormat="1" ht="13.9" customHeight="1" x14ac:dyDescent="0.25">
      <c r="A7" s="149" t="s">
        <v>250</v>
      </c>
      <c r="B7" s="147"/>
      <c r="C7" s="147"/>
      <c r="D7" s="147"/>
      <c r="E7" s="147"/>
      <c r="F7" s="147"/>
      <c r="G7" s="147"/>
      <c r="H7" s="147"/>
      <c r="I7" s="147"/>
      <c r="J7" s="147"/>
      <c r="K7" s="148"/>
    </row>
    <row r="8" spans="1:11" s="2" customFormat="1" ht="60" x14ac:dyDescent="0.25">
      <c r="A8" s="93">
        <v>1</v>
      </c>
      <c r="B8" s="64" t="s">
        <v>251</v>
      </c>
      <c r="C8" s="63" t="s">
        <v>14</v>
      </c>
      <c r="D8" s="65">
        <v>3717</v>
      </c>
      <c r="E8" s="65">
        <v>3647</v>
      </c>
      <c r="F8" s="65">
        <v>3414</v>
      </c>
      <c r="G8" s="65">
        <v>3381</v>
      </c>
      <c r="H8" s="65"/>
      <c r="I8" s="65">
        <v>2120226.6</v>
      </c>
      <c r="J8" s="65">
        <v>2051474</v>
      </c>
      <c r="K8" s="65">
        <v>2051473.1</v>
      </c>
    </row>
    <row r="9" spans="1:11" s="2" customFormat="1" ht="75" x14ac:dyDescent="0.25">
      <c r="A9" s="93">
        <v>2</v>
      </c>
      <c r="B9" s="64" t="s">
        <v>252</v>
      </c>
      <c r="C9" s="63" t="s">
        <v>14</v>
      </c>
      <c r="D9" s="65">
        <v>9306</v>
      </c>
      <c r="E9" s="65">
        <v>9940</v>
      </c>
      <c r="F9" s="65">
        <v>9340</v>
      </c>
      <c r="G9" s="65">
        <v>9381</v>
      </c>
      <c r="H9" s="65"/>
      <c r="I9" s="65">
        <v>1403561.1</v>
      </c>
      <c r="J9" s="65">
        <v>1447313.7</v>
      </c>
      <c r="K9" s="65">
        <v>1447313.7</v>
      </c>
    </row>
    <row r="10" spans="1:11" s="2" customFormat="1" x14ac:dyDescent="0.25">
      <c r="A10" s="66"/>
      <c r="B10" s="97" t="s">
        <v>0</v>
      </c>
      <c r="C10" s="67" t="s">
        <v>8</v>
      </c>
      <c r="D10" s="67" t="s">
        <v>8</v>
      </c>
      <c r="E10" s="67"/>
      <c r="F10" s="67"/>
      <c r="G10" s="67" t="s">
        <v>8</v>
      </c>
      <c r="H10" s="68">
        <f>SUM(H8:H9)</f>
        <v>0</v>
      </c>
      <c r="I10" s="124">
        <f>SUM(I8:I9)</f>
        <v>3523787.7</v>
      </c>
      <c r="J10" s="124">
        <f>SUM(J8:J9)</f>
        <v>3498787.7</v>
      </c>
      <c r="K10" s="124">
        <f>SUM(K8:K9)</f>
        <v>3498786.8</v>
      </c>
    </row>
    <row r="11" spans="1:11" ht="14.45" customHeight="1" x14ac:dyDescent="0.25">
      <c r="A11" s="150" t="s">
        <v>265</v>
      </c>
      <c r="B11" s="151"/>
      <c r="C11" s="151"/>
      <c r="D11" s="151"/>
      <c r="E11" s="151"/>
      <c r="F11" s="151"/>
      <c r="G11" s="151"/>
      <c r="H11" s="151"/>
      <c r="I11" s="151"/>
      <c r="J11" s="151"/>
      <c r="K11" s="152"/>
    </row>
    <row r="12" spans="1:11" ht="45" x14ac:dyDescent="0.25">
      <c r="A12" s="93">
        <v>1</v>
      </c>
      <c r="B12" s="69" t="s">
        <v>262</v>
      </c>
      <c r="C12" s="70" t="s">
        <v>128</v>
      </c>
      <c r="D12" s="65">
        <v>95154</v>
      </c>
      <c r="E12" s="65">
        <v>131584</v>
      </c>
      <c r="F12" s="65">
        <v>131584</v>
      </c>
      <c r="G12" s="65">
        <v>131584</v>
      </c>
      <c r="H12" s="65"/>
      <c r="I12" s="65">
        <v>17865.099999999999</v>
      </c>
      <c r="J12" s="65">
        <v>17865.099999999999</v>
      </c>
      <c r="K12" s="65">
        <v>17865.099999999999</v>
      </c>
    </row>
    <row r="13" spans="1:11" ht="45" x14ac:dyDescent="0.25">
      <c r="A13" s="93">
        <v>2</v>
      </c>
      <c r="B13" s="69" t="s">
        <v>130</v>
      </c>
      <c r="C13" s="70" t="s">
        <v>128</v>
      </c>
      <c r="D13" s="65">
        <v>10307</v>
      </c>
      <c r="E13" s="65">
        <v>8006</v>
      </c>
      <c r="F13" s="65">
        <v>8006</v>
      </c>
      <c r="G13" s="65">
        <v>8006</v>
      </c>
      <c r="H13" s="65"/>
      <c r="I13" s="65">
        <v>1093.5</v>
      </c>
      <c r="J13" s="65">
        <v>1093.5</v>
      </c>
      <c r="K13" s="65">
        <v>1093.5</v>
      </c>
    </row>
    <row r="14" spans="1:11" ht="75" x14ac:dyDescent="0.25">
      <c r="A14" s="93">
        <v>3</v>
      </c>
      <c r="B14" s="69" t="s">
        <v>263</v>
      </c>
      <c r="C14" s="70" t="s">
        <v>128</v>
      </c>
      <c r="D14" s="65">
        <v>3952</v>
      </c>
      <c r="E14" s="65">
        <v>768</v>
      </c>
      <c r="F14" s="65">
        <v>768</v>
      </c>
      <c r="G14" s="65">
        <v>768</v>
      </c>
      <c r="H14" s="65"/>
      <c r="I14" s="65">
        <v>107.3</v>
      </c>
      <c r="J14" s="65">
        <v>107.3</v>
      </c>
      <c r="K14" s="65">
        <v>107.3</v>
      </c>
    </row>
    <row r="15" spans="1:11" ht="45" x14ac:dyDescent="0.25">
      <c r="A15" s="93">
        <v>4</v>
      </c>
      <c r="B15" s="131" t="s">
        <v>399</v>
      </c>
      <c r="C15" s="70"/>
      <c r="D15" s="126"/>
      <c r="E15" s="126" t="s">
        <v>58</v>
      </c>
      <c r="F15" s="126" t="s">
        <v>58</v>
      </c>
      <c r="G15" s="126" t="s">
        <v>58</v>
      </c>
      <c r="H15" s="126"/>
      <c r="I15" s="126">
        <v>3084</v>
      </c>
      <c r="J15" s="126">
        <v>3084</v>
      </c>
      <c r="K15" s="126">
        <v>3084</v>
      </c>
    </row>
    <row r="16" spans="1:11" x14ac:dyDescent="0.25">
      <c r="A16" s="71"/>
      <c r="B16" s="72" t="s">
        <v>0</v>
      </c>
      <c r="C16" s="71"/>
      <c r="D16" s="17" t="s">
        <v>8</v>
      </c>
      <c r="E16" s="17"/>
      <c r="F16" s="17"/>
      <c r="G16" s="17" t="s">
        <v>8</v>
      </c>
      <c r="H16" s="68">
        <v>21153.4</v>
      </c>
      <c r="I16" s="124">
        <f>SUM(I12:I15)</f>
        <v>22149.899999999998</v>
      </c>
      <c r="J16" s="124">
        <f>SUM(J12:J15)</f>
        <v>22149.899999999998</v>
      </c>
      <c r="K16" s="124">
        <f>SUM(K12:K15)</f>
        <v>22149.899999999998</v>
      </c>
    </row>
    <row r="17" spans="1:11" ht="14.45" customHeight="1" x14ac:dyDescent="0.25">
      <c r="A17" s="150" t="s">
        <v>238</v>
      </c>
      <c r="B17" s="151"/>
      <c r="C17" s="151"/>
      <c r="D17" s="151"/>
      <c r="E17" s="151"/>
      <c r="F17" s="151"/>
      <c r="G17" s="151"/>
      <c r="H17" s="151"/>
      <c r="I17" s="151"/>
      <c r="J17" s="151"/>
      <c r="K17" s="151"/>
    </row>
    <row r="18" spans="1:11" ht="60" x14ac:dyDescent="0.25">
      <c r="A18" s="93"/>
      <c r="B18" s="73" t="s">
        <v>283</v>
      </c>
      <c r="C18" s="71"/>
      <c r="D18" s="65"/>
      <c r="E18" s="65"/>
      <c r="F18" s="65"/>
      <c r="G18" s="65"/>
      <c r="H18" s="65"/>
      <c r="I18" s="65">
        <v>46284</v>
      </c>
      <c r="J18" s="65">
        <f>46448.7-164.7</f>
        <v>46284</v>
      </c>
      <c r="K18" s="65">
        <f>46448.7-164.7</f>
        <v>46284</v>
      </c>
    </row>
    <row r="19" spans="1:11" x14ac:dyDescent="0.25">
      <c r="A19" s="93">
        <v>1</v>
      </c>
      <c r="B19" s="73" t="s">
        <v>284</v>
      </c>
      <c r="C19" s="63" t="s">
        <v>57</v>
      </c>
      <c r="D19" s="65">
        <v>53687</v>
      </c>
      <c r="E19" s="96">
        <v>30000</v>
      </c>
      <c r="F19" s="96">
        <v>30000</v>
      </c>
      <c r="G19" s="103">
        <v>30013</v>
      </c>
      <c r="H19" s="65"/>
      <c r="I19" s="65"/>
      <c r="J19" s="65"/>
      <c r="K19" s="65"/>
    </row>
    <row r="20" spans="1:11" x14ac:dyDescent="0.25">
      <c r="A20" s="93">
        <v>2</v>
      </c>
      <c r="B20" s="73" t="s">
        <v>285</v>
      </c>
      <c r="C20" s="63" t="s">
        <v>57</v>
      </c>
      <c r="D20" s="65">
        <v>8</v>
      </c>
      <c r="E20" s="96">
        <v>8</v>
      </c>
      <c r="F20" s="96">
        <v>8</v>
      </c>
      <c r="G20" s="103">
        <v>8</v>
      </c>
      <c r="H20" s="65"/>
      <c r="I20" s="65"/>
      <c r="J20" s="65"/>
      <c r="K20" s="65"/>
    </row>
    <row r="21" spans="1:11" x14ac:dyDescent="0.25">
      <c r="A21" s="93">
        <v>3</v>
      </c>
      <c r="B21" s="73" t="s">
        <v>286</v>
      </c>
      <c r="C21" s="63" t="s">
        <v>57</v>
      </c>
      <c r="D21" s="65">
        <v>5</v>
      </c>
      <c r="E21" s="96">
        <v>5</v>
      </c>
      <c r="F21" s="96">
        <v>5</v>
      </c>
      <c r="G21" s="103">
        <v>5</v>
      </c>
      <c r="H21" s="65"/>
      <c r="I21" s="65"/>
      <c r="J21" s="65"/>
      <c r="K21" s="65"/>
    </row>
    <row r="22" spans="1:11" ht="30" x14ac:dyDescent="0.25">
      <c r="A22" s="93">
        <v>4</v>
      </c>
      <c r="B22" s="73" t="s">
        <v>287</v>
      </c>
      <c r="C22" s="63" t="s">
        <v>57</v>
      </c>
      <c r="D22" s="65"/>
      <c r="E22" s="96">
        <v>500</v>
      </c>
      <c r="F22" s="96">
        <v>500</v>
      </c>
      <c r="G22" s="103">
        <v>908</v>
      </c>
      <c r="H22" s="65"/>
      <c r="I22" s="65"/>
      <c r="J22" s="65"/>
      <c r="K22" s="65"/>
    </row>
    <row r="23" spans="1:11" x14ac:dyDescent="0.25">
      <c r="A23" s="71"/>
      <c r="B23" s="72" t="s">
        <v>0</v>
      </c>
      <c r="C23" s="71"/>
      <c r="D23" s="17" t="s">
        <v>8</v>
      </c>
      <c r="E23" s="17"/>
      <c r="F23" s="17"/>
      <c r="G23" s="17" t="s">
        <v>8</v>
      </c>
      <c r="H23" s="68">
        <v>43944.9</v>
      </c>
      <c r="I23" s="124">
        <f t="shared" ref="I23:J23" si="0">I18</f>
        <v>46284</v>
      </c>
      <c r="J23" s="124">
        <f t="shared" si="0"/>
        <v>46284</v>
      </c>
      <c r="K23" s="124">
        <f>K18</f>
        <v>46284</v>
      </c>
    </row>
    <row r="24" spans="1:11" ht="14.45" customHeight="1" x14ac:dyDescent="0.25">
      <c r="A24" s="150" t="s">
        <v>203</v>
      </c>
      <c r="B24" s="151"/>
      <c r="C24" s="151"/>
      <c r="D24" s="151"/>
      <c r="E24" s="151"/>
      <c r="F24" s="151"/>
      <c r="G24" s="151"/>
      <c r="H24" s="151"/>
      <c r="I24" s="151"/>
      <c r="J24" s="151"/>
      <c r="K24" s="152"/>
    </row>
    <row r="25" spans="1:11" ht="60" x14ac:dyDescent="0.25">
      <c r="A25" s="93">
        <v>1</v>
      </c>
      <c r="B25" s="73" t="s">
        <v>204</v>
      </c>
      <c r="C25" s="63" t="s">
        <v>205</v>
      </c>
      <c r="D25" s="65">
        <v>3</v>
      </c>
      <c r="E25" s="65">
        <v>3</v>
      </c>
      <c r="F25" s="65">
        <v>3</v>
      </c>
      <c r="G25" s="65">
        <v>3</v>
      </c>
      <c r="H25" s="65"/>
      <c r="I25" s="65">
        <v>1664</v>
      </c>
      <c r="J25" s="65">
        <v>1412</v>
      </c>
      <c r="K25" s="65">
        <v>1412</v>
      </c>
    </row>
    <row r="26" spans="1:11" ht="60" x14ac:dyDescent="0.25">
      <c r="A26" s="93">
        <v>2</v>
      </c>
      <c r="B26" s="73" t="s">
        <v>206</v>
      </c>
      <c r="C26" s="63" t="s">
        <v>205</v>
      </c>
      <c r="D26" s="65">
        <v>2</v>
      </c>
      <c r="E26" s="65">
        <v>3</v>
      </c>
      <c r="F26" s="65">
        <v>3</v>
      </c>
      <c r="G26" s="65">
        <v>3</v>
      </c>
      <c r="H26" s="65"/>
      <c r="I26" s="65">
        <v>8442</v>
      </c>
      <c r="J26" s="65">
        <v>8194</v>
      </c>
      <c r="K26" s="65">
        <v>8194</v>
      </c>
    </row>
    <row r="27" spans="1:11" x14ac:dyDescent="0.25">
      <c r="A27" s="93">
        <v>3</v>
      </c>
      <c r="B27" s="73" t="s">
        <v>270</v>
      </c>
      <c r="C27" s="63" t="s">
        <v>205</v>
      </c>
      <c r="D27" s="65">
        <v>1</v>
      </c>
      <c r="E27" s="65">
        <v>1</v>
      </c>
      <c r="F27" s="65">
        <v>1</v>
      </c>
      <c r="G27" s="65">
        <v>1</v>
      </c>
      <c r="H27" s="65"/>
      <c r="I27" s="65">
        <v>3079</v>
      </c>
      <c r="J27" s="65">
        <v>2831</v>
      </c>
      <c r="K27" s="65">
        <v>2831</v>
      </c>
    </row>
    <row r="28" spans="1:11" ht="120" x14ac:dyDescent="0.25">
      <c r="A28" s="93">
        <v>4</v>
      </c>
      <c r="B28" s="73" t="s">
        <v>207</v>
      </c>
      <c r="C28" s="63" t="s">
        <v>205</v>
      </c>
      <c r="D28" s="65">
        <v>3</v>
      </c>
      <c r="E28" s="65">
        <v>3</v>
      </c>
      <c r="F28" s="65">
        <v>3</v>
      </c>
      <c r="G28" s="65">
        <v>3</v>
      </c>
      <c r="H28" s="65"/>
      <c r="I28" s="65">
        <v>14163</v>
      </c>
      <c r="J28" s="65">
        <v>13561</v>
      </c>
      <c r="K28" s="65">
        <v>13561</v>
      </c>
    </row>
    <row r="29" spans="1:11" ht="90" x14ac:dyDescent="0.25">
      <c r="A29" s="93">
        <v>5</v>
      </c>
      <c r="B29" s="73" t="s">
        <v>271</v>
      </c>
      <c r="C29" s="63" t="s">
        <v>205</v>
      </c>
      <c r="D29" s="65">
        <v>1</v>
      </c>
      <c r="E29" s="65">
        <v>1</v>
      </c>
      <c r="F29" s="65">
        <v>1</v>
      </c>
      <c r="G29" s="65">
        <v>1</v>
      </c>
      <c r="H29" s="65"/>
      <c r="I29" s="65">
        <v>1732</v>
      </c>
      <c r="J29" s="65">
        <v>1532</v>
      </c>
      <c r="K29" s="65">
        <v>1532</v>
      </c>
    </row>
    <row r="30" spans="1:11" x14ac:dyDescent="0.25">
      <c r="A30" s="71"/>
      <c r="B30" s="72" t="s">
        <v>0</v>
      </c>
      <c r="C30" s="71" t="s">
        <v>8</v>
      </c>
      <c r="D30" s="17" t="s">
        <v>8</v>
      </c>
      <c r="E30" s="17"/>
      <c r="F30" s="17"/>
      <c r="G30" s="17" t="s">
        <v>8</v>
      </c>
      <c r="H30" s="68">
        <f>SUM(H25:H29)</f>
        <v>0</v>
      </c>
      <c r="I30" s="124">
        <f t="shared" ref="I30:J30" si="1">I29+I28+I27+I26+I25</f>
        <v>29080</v>
      </c>
      <c r="J30" s="124">
        <f t="shared" si="1"/>
        <v>27530</v>
      </c>
      <c r="K30" s="124">
        <f>K29+K28+K27+K26+K25</f>
        <v>27530</v>
      </c>
    </row>
    <row r="31" spans="1:11" ht="14.45" customHeight="1" x14ac:dyDescent="0.25">
      <c r="A31" s="150" t="s">
        <v>267</v>
      </c>
      <c r="B31" s="151"/>
      <c r="C31" s="151"/>
      <c r="D31" s="151"/>
      <c r="E31" s="151"/>
      <c r="F31" s="151"/>
      <c r="G31" s="151"/>
      <c r="H31" s="151"/>
      <c r="I31" s="151"/>
      <c r="J31" s="151"/>
      <c r="K31" s="152"/>
    </row>
    <row r="32" spans="1:11" ht="60" x14ac:dyDescent="0.25">
      <c r="A32" s="93">
        <v>1</v>
      </c>
      <c r="B32" s="73" t="s">
        <v>254</v>
      </c>
      <c r="C32" s="63" t="s">
        <v>16</v>
      </c>
      <c r="D32" s="65">
        <v>255240</v>
      </c>
      <c r="E32" s="65">
        <v>260071</v>
      </c>
      <c r="F32" s="65">
        <v>257292</v>
      </c>
      <c r="G32" s="65">
        <v>257292</v>
      </c>
      <c r="H32" s="65">
        <v>32759.1</v>
      </c>
      <c r="I32" s="65">
        <v>34714</v>
      </c>
      <c r="J32" s="65">
        <v>34343</v>
      </c>
      <c r="K32" s="65">
        <v>34343</v>
      </c>
    </row>
    <row r="33" spans="1:11" ht="45" x14ac:dyDescent="0.25">
      <c r="A33" s="93">
        <v>2</v>
      </c>
      <c r="B33" s="73" t="s">
        <v>255</v>
      </c>
      <c r="C33" s="63" t="s">
        <v>16</v>
      </c>
      <c r="D33" s="65">
        <v>375871</v>
      </c>
      <c r="E33" s="65">
        <v>380870</v>
      </c>
      <c r="F33" s="65">
        <v>378686</v>
      </c>
      <c r="G33" s="65">
        <v>378686</v>
      </c>
      <c r="H33" s="65">
        <v>71384.7</v>
      </c>
      <c r="I33" s="65">
        <v>74823.5</v>
      </c>
      <c r="J33" s="65">
        <v>75414.960000000006</v>
      </c>
      <c r="K33" s="65">
        <v>75414.960000000006</v>
      </c>
    </row>
    <row r="34" spans="1:11" ht="60" x14ac:dyDescent="0.25">
      <c r="A34" s="93">
        <v>3</v>
      </c>
      <c r="B34" s="73" t="s">
        <v>256</v>
      </c>
      <c r="C34" s="63" t="s">
        <v>16</v>
      </c>
      <c r="D34" s="65">
        <v>689188</v>
      </c>
      <c r="E34" s="65">
        <v>702859</v>
      </c>
      <c r="F34" s="65">
        <v>705656</v>
      </c>
      <c r="G34" s="65">
        <v>705656</v>
      </c>
      <c r="H34" s="65">
        <v>123130.9</v>
      </c>
      <c r="I34" s="65">
        <v>135776.29999999999</v>
      </c>
      <c r="J34" s="65">
        <v>142662.39999999999</v>
      </c>
      <c r="K34" s="65">
        <v>142662.39999999999</v>
      </c>
    </row>
    <row r="35" spans="1:11" ht="60" x14ac:dyDescent="0.25">
      <c r="A35" s="93">
        <v>4</v>
      </c>
      <c r="B35" s="73" t="s">
        <v>306</v>
      </c>
      <c r="C35" s="63" t="s">
        <v>16</v>
      </c>
      <c r="D35" s="65">
        <v>1512120</v>
      </c>
      <c r="E35" s="65">
        <v>1642814</v>
      </c>
      <c r="F35" s="65">
        <v>1595861</v>
      </c>
      <c r="G35" s="65">
        <v>1595861</v>
      </c>
      <c r="H35" s="65">
        <v>33203.599999999999</v>
      </c>
      <c r="I35" s="65">
        <v>40422.97</v>
      </c>
      <c r="J35" s="65">
        <v>40057.199999999997</v>
      </c>
      <c r="K35" s="65">
        <v>40057.199999999997</v>
      </c>
    </row>
    <row r="36" spans="1:11" ht="60" x14ac:dyDescent="0.25">
      <c r="A36" s="93">
        <v>5</v>
      </c>
      <c r="B36" s="73" t="s">
        <v>258</v>
      </c>
      <c r="C36" s="63" t="s">
        <v>16</v>
      </c>
      <c r="D36" s="65">
        <v>1646</v>
      </c>
      <c r="E36" s="65">
        <v>1775</v>
      </c>
      <c r="F36" s="65">
        <v>1554</v>
      </c>
      <c r="G36" s="65">
        <v>1554</v>
      </c>
      <c r="H36" s="65">
        <v>22370.5</v>
      </c>
      <c r="I36" s="65">
        <v>20897.3</v>
      </c>
      <c r="J36" s="65">
        <v>14679.5</v>
      </c>
      <c r="K36" s="65">
        <v>14679.5</v>
      </c>
    </row>
    <row r="37" spans="1:11" x14ac:dyDescent="0.25">
      <c r="A37" s="93">
        <v>6</v>
      </c>
      <c r="B37" s="73" t="s">
        <v>208</v>
      </c>
      <c r="C37" s="63" t="s">
        <v>209</v>
      </c>
      <c r="D37" s="65">
        <v>1063159</v>
      </c>
      <c r="E37" s="65">
        <v>1091354</v>
      </c>
      <c r="F37" s="65">
        <v>1000170.87</v>
      </c>
      <c r="G37" s="65">
        <v>1000170.87</v>
      </c>
      <c r="H37" s="65">
        <v>27763.7</v>
      </c>
      <c r="I37" s="65">
        <v>29771.7</v>
      </c>
      <c r="J37" s="65">
        <v>27284.1</v>
      </c>
      <c r="K37" s="65">
        <v>27284.1</v>
      </c>
    </row>
    <row r="38" spans="1:11" ht="60" x14ac:dyDescent="0.25">
      <c r="A38" s="93">
        <v>7</v>
      </c>
      <c r="B38" s="73" t="s">
        <v>259</v>
      </c>
      <c r="C38" s="63" t="s">
        <v>16</v>
      </c>
      <c r="D38" s="65">
        <v>22292</v>
      </c>
      <c r="E38" s="65">
        <v>20486</v>
      </c>
      <c r="F38" s="65">
        <v>20623</v>
      </c>
      <c r="G38" s="65">
        <v>20623</v>
      </c>
      <c r="H38" s="65">
        <v>45779.3</v>
      </c>
      <c r="I38" s="65">
        <v>43649.9</v>
      </c>
      <c r="J38" s="65">
        <v>45231.981</v>
      </c>
      <c r="K38" s="65">
        <v>45231.981</v>
      </c>
    </row>
    <row r="39" spans="1:11" ht="30" x14ac:dyDescent="0.25">
      <c r="A39" s="93">
        <v>8</v>
      </c>
      <c r="B39" s="73" t="s">
        <v>210</v>
      </c>
      <c r="C39" s="63" t="s">
        <v>16</v>
      </c>
      <c r="D39" s="65">
        <v>2272095</v>
      </c>
      <c r="E39" s="65">
        <v>2006078</v>
      </c>
      <c r="F39" s="65">
        <v>2004912</v>
      </c>
      <c r="G39" s="65">
        <v>2004912</v>
      </c>
      <c r="H39" s="65">
        <v>52221.8</v>
      </c>
      <c r="I39" s="65">
        <v>47945.3</v>
      </c>
      <c r="J39" s="65">
        <v>47917.4</v>
      </c>
      <c r="K39" s="65">
        <v>47917.4</v>
      </c>
    </row>
    <row r="40" spans="1:11" ht="75" x14ac:dyDescent="0.25">
      <c r="A40" s="93">
        <v>9</v>
      </c>
      <c r="B40" s="73" t="s">
        <v>260</v>
      </c>
      <c r="C40" s="63" t="s">
        <v>16</v>
      </c>
      <c r="D40" s="65">
        <v>7705</v>
      </c>
      <c r="E40" s="65">
        <v>9800</v>
      </c>
      <c r="F40" s="65">
        <v>8907</v>
      </c>
      <c r="G40" s="65">
        <v>8907</v>
      </c>
      <c r="H40" s="65">
        <v>38071.699999999997</v>
      </c>
      <c r="I40" s="65">
        <v>53022.9</v>
      </c>
      <c r="J40" s="65">
        <v>48732.800000000003</v>
      </c>
      <c r="K40" s="65">
        <v>48732.800000000003</v>
      </c>
    </row>
    <row r="41" spans="1:11" ht="75" x14ac:dyDescent="0.25">
      <c r="A41" s="93">
        <v>10</v>
      </c>
      <c r="B41" s="73" t="s">
        <v>261</v>
      </c>
      <c r="C41" s="63" t="s">
        <v>16</v>
      </c>
      <c r="D41" s="65">
        <v>7568</v>
      </c>
      <c r="E41" s="65">
        <v>9122</v>
      </c>
      <c r="F41" s="65">
        <v>8674</v>
      </c>
      <c r="G41" s="65">
        <v>8674</v>
      </c>
      <c r="H41" s="65">
        <v>3363.4</v>
      </c>
      <c r="I41" s="65">
        <v>4265.5</v>
      </c>
      <c r="J41" s="65">
        <v>4050.8</v>
      </c>
      <c r="K41" s="65">
        <v>4050.8</v>
      </c>
    </row>
    <row r="42" spans="1:11" ht="30" x14ac:dyDescent="0.25">
      <c r="A42" s="93">
        <v>11</v>
      </c>
      <c r="B42" s="73" t="s">
        <v>211</v>
      </c>
      <c r="C42" s="63" t="s">
        <v>16</v>
      </c>
      <c r="D42" s="65">
        <v>1</v>
      </c>
      <c r="E42" s="65">
        <v>3</v>
      </c>
      <c r="F42" s="65">
        <v>3</v>
      </c>
      <c r="G42" s="65">
        <v>3</v>
      </c>
      <c r="H42" s="65">
        <v>936.7</v>
      </c>
      <c r="I42" s="65">
        <v>6075.65</v>
      </c>
      <c r="J42" s="65">
        <v>6075.65</v>
      </c>
      <c r="K42" s="65">
        <v>6075.65</v>
      </c>
    </row>
    <row r="43" spans="1:11" ht="45" x14ac:dyDescent="0.25">
      <c r="A43" s="93">
        <v>12</v>
      </c>
      <c r="B43" s="73" t="s">
        <v>342</v>
      </c>
      <c r="C43" s="63" t="s">
        <v>16</v>
      </c>
      <c r="D43" s="65"/>
      <c r="E43" s="65">
        <v>2000</v>
      </c>
      <c r="F43" s="65">
        <v>2000</v>
      </c>
      <c r="G43" s="65">
        <v>2000</v>
      </c>
      <c r="H43" s="65">
        <v>6000</v>
      </c>
      <c r="I43" s="65">
        <v>3500</v>
      </c>
      <c r="J43" s="65">
        <v>3500</v>
      </c>
      <c r="K43" s="65">
        <v>3500</v>
      </c>
    </row>
    <row r="44" spans="1:11" ht="30" x14ac:dyDescent="0.25">
      <c r="A44" s="93">
        <v>13</v>
      </c>
      <c r="B44" s="73" t="s">
        <v>288</v>
      </c>
      <c r="C44" s="63" t="s">
        <v>16</v>
      </c>
      <c r="D44" s="65"/>
      <c r="E44" s="65">
        <v>108</v>
      </c>
      <c r="F44" s="65">
        <v>108</v>
      </c>
      <c r="G44" s="65">
        <v>108</v>
      </c>
      <c r="H44" s="65">
        <v>0</v>
      </c>
      <c r="I44" s="65">
        <v>91.152000000000001</v>
      </c>
      <c r="J44" s="65">
        <v>91.152000000000001</v>
      </c>
      <c r="K44" s="65">
        <v>91.152000000000001</v>
      </c>
    </row>
    <row r="45" spans="1:11" ht="30" x14ac:dyDescent="0.25">
      <c r="A45" s="93">
        <v>14</v>
      </c>
      <c r="B45" s="73" t="s">
        <v>289</v>
      </c>
      <c r="C45" s="63" t="s">
        <v>16</v>
      </c>
      <c r="D45" s="65"/>
      <c r="E45" s="65">
        <v>108</v>
      </c>
      <c r="F45" s="65">
        <v>108</v>
      </c>
      <c r="G45" s="65">
        <v>108</v>
      </c>
      <c r="H45" s="65">
        <v>0</v>
      </c>
      <c r="I45" s="65">
        <v>440.73072000000002</v>
      </c>
      <c r="J45" s="65">
        <v>440.73072000000002</v>
      </c>
      <c r="K45" s="65">
        <v>440.73072000000002</v>
      </c>
    </row>
    <row r="46" spans="1:11" ht="45" x14ac:dyDescent="0.25">
      <c r="A46" s="93">
        <v>15</v>
      </c>
      <c r="B46" s="73" t="s">
        <v>213</v>
      </c>
      <c r="C46" s="63"/>
      <c r="D46" s="65"/>
      <c r="E46" s="65" t="s">
        <v>58</v>
      </c>
      <c r="F46" s="65" t="s">
        <v>58</v>
      </c>
      <c r="G46" s="65" t="s">
        <v>58</v>
      </c>
      <c r="H46" s="65">
        <v>3993.4540000000002</v>
      </c>
      <c r="I46" s="65">
        <v>5616.1109999999999</v>
      </c>
      <c r="J46" s="65">
        <v>5616.1109999999999</v>
      </c>
      <c r="K46" s="65">
        <v>5616.1109999999999</v>
      </c>
    </row>
    <row r="47" spans="1:11" x14ac:dyDescent="0.25">
      <c r="A47" s="63"/>
      <c r="B47" s="72" t="s">
        <v>0</v>
      </c>
      <c r="C47" s="63"/>
      <c r="D47" s="74" t="s">
        <v>8</v>
      </c>
      <c r="E47" s="74"/>
      <c r="F47" s="74"/>
      <c r="G47" s="74" t="s">
        <v>8</v>
      </c>
      <c r="H47" s="68">
        <f>SUM(H32:H46)</f>
        <v>460978.85400000005</v>
      </c>
      <c r="I47" s="124">
        <f t="shared" ref="I47:J47" si="2">SUM(I32:I46)</f>
        <v>501013.01372000005</v>
      </c>
      <c r="J47" s="124">
        <f t="shared" si="2"/>
        <v>496097.78471999994</v>
      </c>
      <c r="K47" s="124">
        <f>SUM(K32:K46)</f>
        <v>496097.78471999994</v>
      </c>
    </row>
    <row r="48" spans="1:11" ht="14.45" customHeight="1" x14ac:dyDescent="0.25">
      <c r="A48" s="150" t="s">
        <v>214</v>
      </c>
      <c r="B48" s="151"/>
      <c r="C48" s="151"/>
      <c r="D48" s="151"/>
      <c r="E48" s="151"/>
      <c r="F48" s="151"/>
      <c r="G48" s="151"/>
      <c r="H48" s="151"/>
      <c r="I48" s="151"/>
      <c r="J48" s="151"/>
      <c r="K48" s="152"/>
    </row>
    <row r="49" spans="1:11" ht="90" x14ac:dyDescent="0.25">
      <c r="A49" s="93">
        <v>1</v>
      </c>
      <c r="B49" s="73" t="s">
        <v>215</v>
      </c>
      <c r="C49" s="75" t="s">
        <v>297</v>
      </c>
      <c r="D49" s="65">
        <v>50</v>
      </c>
      <c r="E49" s="65">
        <v>50</v>
      </c>
      <c r="F49" s="65">
        <v>50</v>
      </c>
      <c r="G49" s="65">
        <v>52</v>
      </c>
      <c r="H49" s="65"/>
      <c r="I49" s="65">
        <v>2268.33</v>
      </c>
      <c r="J49" s="65">
        <v>2268.3000000000002</v>
      </c>
      <c r="K49" s="65">
        <v>2268.3000000000002</v>
      </c>
    </row>
    <row r="50" spans="1:11" ht="45" x14ac:dyDescent="0.25">
      <c r="A50" s="94">
        <v>2</v>
      </c>
      <c r="B50" s="76" t="s">
        <v>290</v>
      </c>
      <c r="C50" s="75" t="s">
        <v>295</v>
      </c>
      <c r="D50" s="65">
        <v>500</v>
      </c>
      <c r="E50" s="65">
        <v>100</v>
      </c>
      <c r="F50" s="65">
        <v>100</v>
      </c>
      <c r="G50" s="65">
        <v>103</v>
      </c>
      <c r="H50" s="65"/>
      <c r="I50" s="65">
        <v>302.2</v>
      </c>
      <c r="J50" s="65">
        <v>302.2</v>
      </c>
      <c r="K50" s="65">
        <v>302.2</v>
      </c>
    </row>
    <row r="51" spans="1:11" ht="45" x14ac:dyDescent="0.25">
      <c r="A51" s="93">
        <v>3</v>
      </c>
      <c r="B51" s="76" t="s">
        <v>291</v>
      </c>
      <c r="C51" s="75" t="s">
        <v>295</v>
      </c>
      <c r="D51" s="65">
        <v>1005</v>
      </c>
      <c r="E51" s="65">
        <v>100</v>
      </c>
      <c r="F51" s="65">
        <v>100</v>
      </c>
      <c r="G51" s="65">
        <v>101</v>
      </c>
      <c r="H51" s="65"/>
      <c r="I51" s="65">
        <v>453.29</v>
      </c>
      <c r="J51" s="65">
        <v>453.29</v>
      </c>
      <c r="K51" s="65">
        <v>453.29</v>
      </c>
    </row>
    <row r="52" spans="1:11" ht="45" x14ac:dyDescent="0.25">
      <c r="A52" s="94">
        <v>4</v>
      </c>
      <c r="B52" s="76" t="s">
        <v>223</v>
      </c>
      <c r="C52" s="75" t="s">
        <v>295</v>
      </c>
      <c r="D52" s="65">
        <v>251</v>
      </c>
      <c r="E52" s="65">
        <v>100</v>
      </c>
      <c r="F52" s="65">
        <v>100</v>
      </c>
      <c r="G52" s="65">
        <v>100</v>
      </c>
      <c r="H52" s="65"/>
      <c r="I52" s="65">
        <v>449.9</v>
      </c>
      <c r="J52" s="65">
        <v>449.9</v>
      </c>
      <c r="K52" s="65">
        <v>449.9</v>
      </c>
    </row>
    <row r="53" spans="1:11" ht="45" x14ac:dyDescent="0.25">
      <c r="A53" s="93">
        <v>5</v>
      </c>
      <c r="B53" s="76" t="s">
        <v>224</v>
      </c>
      <c r="C53" s="75" t="s">
        <v>295</v>
      </c>
      <c r="D53" s="65">
        <v>500</v>
      </c>
      <c r="E53" s="65">
        <v>100</v>
      </c>
      <c r="F53" s="65">
        <v>100</v>
      </c>
      <c r="G53" s="65">
        <v>101</v>
      </c>
      <c r="H53" s="65"/>
      <c r="I53" s="65">
        <v>599.88</v>
      </c>
      <c r="J53" s="65">
        <v>599.88</v>
      </c>
      <c r="K53" s="65">
        <v>599.88</v>
      </c>
    </row>
    <row r="54" spans="1:11" ht="45" x14ac:dyDescent="0.25">
      <c r="A54" s="94">
        <v>6</v>
      </c>
      <c r="B54" s="76" t="s">
        <v>226</v>
      </c>
      <c r="C54" s="75" t="s">
        <v>296</v>
      </c>
      <c r="D54" s="65">
        <v>50.02</v>
      </c>
      <c r="E54" s="65">
        <v>50</v>
      </c>
      <c r="F54" s="65">
        <v>50</v>
      </c>
      <c r="G54" s="65">
        <v>77.63</v>
      </c>
      <c r="H54" s="65"/>
      <c r="I54" s="65">
        <v>75</v>
      </c>
      <c r="J54" s="65">
        <v>75</v>
      </c>
      <c r="K54" s="65">
        <v>75</v>
      </c>
    </row>
    <row r="55" spans="1:11" ht="45" x14ac:dyDescent="0.25">
      <c r="A55" s="93">
        <v>7</v>
      </c>
      <c r="B55" s="76" t="s">
        <v>228</v>
      </c>
      <c r="C55" s="75" t="s">
        <v>296</v>
      </c>
      <c r="D55" s="65">
        <v>50.07</v>
      </c>
      <c r="E55" s="65">
        <v>50</v>
      </c>
      <c r="F55" s="65">
        <v>50</v>
      </c>
      <c r="G55" s="65">
        <v>61.61</v>
      </c>
      <c r="H55" s="65"/>
      <c r="I55" s="65">
        <v>74.94</v>
      </c>
      <c r="J55" s="65">
        <v>74.94</v>
      </c>
      <c r="K55" s="65">
        <v>74.94</v>
      </c>
    </row>
    <row r="56" spans="1:11" ht="45" x14ac:dyDescent="0.25">
      <c r="A56" s="94">
        <v>8</v>
      </c>
      <c r="B56" s="76" t="s">
        <v>229</v>
      </c>
      <c r="C56" s="75" t="s">
        <v>16</v>
      </c>
      <c r="D56" s="65">
        <v>202</v>
      </c>
      <c r="E56" s="65">
        <v>200</v>
      </c>
      <c r="F56" s="65">
        <v>200</v>
      </c>
      <c r="G56" s="65">
        <v>205</v>
      </c>
      <c r="H56" s="65"/>
      <c r="I56" s="65">
        <v>74.92</v>
      </c>
      <c r="J56" s="65">
        <v>74.92</v>
      </c>
      <c r="K56" s="65">
        <v>74.92</v>
      </c>
    </row>
    <row r="57" spans="1:11" ht="75" x14ac:dyDescent="0.25">
      <c r="A57" s="93">
        <v>9</v>
      </c>
      <c r="B57" s="76" t="s">
        <v>231</v>
      </c>
      <c r="C57" s="75" t="s">
        <v>295</v>
      </c>
      <c r="D57" s="65">
        <v>1269766</v>
      </c>
      <c r="E57" s="65">
        <v>2019842</v>
      </c>
      <c r="F57" s="65">
        <v>2019842</v>
      </c>
      <c r="G57" s="65">
        <v>2024665</v>
      </c>
      <c r="H57" s="65"/>
      <c r="I57" s="65">
        <v>19350.09</v>
      </c>
      <c r="J57" s="65">
        <v>19350.099999999999</v>
      </c>
      <c r="K57" s="65">
        <v>19350.099999999999</v>
      </c>
    </row>
    <row r="58" spans="1:11" ht="75" x14ac:dyDescent="0.25">
      <c r="A58" s="94">
        <v>10</v>
      </c>
      <c r="B58" s="76" t="s">
        <v>232</v>
      </c>
      <c r="C58" s="75" t="s">
        <v>295</v>
      </c>
      <c r="D58" s="65">
        <v>1269766</v>
      </c>
      <c r="E58" s="65">
        <v>2019842</v>
      </c>
      <c r="F58" s="65">
        <v>2019842</v>
      </c>
      <c r="G58" s="65">
        <v>2024665</v>
      </c>
      <c r="H58" s="65"/>
      <c r="I58" s="65">
        <v>19350.09</v>
      </c>
      <c r="J58" s="65">
        <v>19350.099999999999</v>
      </c>
      <c r="K58" s="65">
        <v>19350.099999999999</v>
      </c>
    </row>
    <row r="59" spans="1:11" ht="45" x14ac:dyDescent="0.25">
      <c r="A59" s="93">
        <v>11</v>
      </c>
      <c r="B59" s="76" t="s">
        <v>233</v>
      </c>
      <c r="C59" s="75" t="s">
        <v>295</v>
      </c>
      <c r="D59" s="65">
        <v>20312</v>
      </c>
      <c r="E59" s="65">
        <v>1361166</v>
      </c>
      <c r="F59" s="65">
        <v>1361166</v>
      </c>
      <c r="G59" s="65">
        <v>1398636</v>
      </c>
      <c r="H59" s="65"/>
      <c r="I59" s="65">
        <v>3607.09</v>
      </c>
      <c r="J59" s="65">
        <v>3607.09</v>
      </c>
      <c r="K59" s="65">
        <v>3607.09</v>
      </c>
    </row>
    <row r="60" spans="1:11" ht="45" x14ac:dyDescent="0.25">
      <c r="A60" s="94">
        <v>12</v>
      </c>
      <c r="B60" s="73" t="s">
        <v>234</v>
      </c>
      <c r="C60" s="75" t="s">
        <v>296</v>
      </c>
      <c r="D60" s="65">
        <v>36.81</v>
      </c>
      <c r="E60" s="65">
        <v>30</v>
      </c>
      <c r="F60" s="65">
        <v>30</v>
      </c>
      <c r="G60" s="65">
        <v>32.58</v>
      </c>
      <c r="H60" s="65"/>
      <c r="I60" s="65">
        <v>3601.78</v>
      </c>
      <c r="J60" s="65">
        <v>3601.78</v>
      </c>
      <c r="K60" s="65">
        <f>3601.78+44.9</f>
        <v>3646.6800000000003</v>
      </c>
    </row>
    <row r="61" spans="1:11" ht="45" x14ac:dyDescent="0.25">
      <c r="A61" s="93">
        <v>13</v>
      </c>
      <c r="B61" s="73" t="s">
        <v>237</v>
      </c>
      <c r="C61" s="75"/>
      <c r="D61" s="65"/>
      <c r="E61" s="102"/>
      <c r="F61" s="102"/>
      <c r="G61" s="102"/>
      <c r="H61" s="102"/>
      <c r="I61" s="102">
        <v>48.99</v>
      </c>
      <c r="J61" s="102">
        <v>48.99</v>
      </c>
      <c r="K61" s="102">
        <v>4.0999999999999996</v>
      </c>
    </row>
    <row r="62" spans="1:11" x14ac:dyDescent="0.25">
      <c r="A62" s="71"/>
      <c r="B62" s="72" t="s">
        <v>0</v>
      </c>
      <c r="C62" s="71"/>
      <c r="D62" s="17" t="s">
        <v>8</v>
      </c>
      <c r="E62" s="17"/>
      <c r="F62" s="17"/>
      <c r="G62" s="17" t="s">
        <v>8</v>
      </c>
      <c r="H62" s="68">
        <f>SUM(H49:H61)</f>
        <v>0</v>
      </c>
      <c r="I62" s="124">
        <f t="shared" ref="I62:J62" si="3">SUM(I49:I61)</f>
        <v>50256.499999999993</v>
      </c>
      <c r="J62" s="124">
        <f t="shared" si="3"/>
        <v>50256.49</v>
      </c>
      <c r="K62" s="124">
        <f>SUM(K49:K61)</f>
        <v>50256.5</v>
      </c>
    </row>
    <row r="63" spans="1:11" ht="14.45" customHeight="1" x14ac:dyDescent="0.25">
      <c r="A63" s="150" t="s">
        <v>12</v>
      </c>
      <c r="B63" s="151"/>
      <c r="C63" s="151"/>
      <c r="D63" s="151"/>
      <c r="E63" s="151"/>
      <c r="F63" s="151"/>
      <c r="G63" s="151"/>
      <c r="H63" s="151"/>
      <c r="I63" s="151"/>
      <c r="J63" s="151"/>
      <c r="K63" s="152"/>
    </row>
    <row r="64" spans="1:11" ht="45" x14ac:dyDescent="0.25">
      <c r="A64" s="93">
        <v>1</v>
      </c>
      <c r="B64" s="77" t="s">
        <v>13</v>
      </c>
      <c r="C64" s="63" t="s">
        <v>14</v>
      </c>
      <c r="D64" s="75">
        <v>2</v>
      </c>
      <c r="E64" s="75">
        <v>3</v>
      </c>
      <c r="F64" s="75">
        <v>2</v>
      </c>
      <c r="G64" s="75">
        <v>2</v>
      </c>
      <c r="H64" s="75">
        <v>0</v>
      </c>
      <c r="I64" s="75">
        <v>2005.5029999999999</v>
      </c>
      <c r="J64" s="75">
        <v>3704.4450000000002</v>
      </c>
      <c r="K64" s="75">
        <v>3704.4450000000002</v>
      </c>
    </row>
    <row r="65" spans="1:11" ht="45" x14ac:dyDescent="0.25">
      <c r="A65" s="93">
        <v>2</v>
      </c>
      <c r="B65" s="77" t="s">
        <v>30</v>
      </c>
      <c r="C65" s="63" t="s">
        <v>14</v>
      </c>
      <c r="D65" s="75">
        <v>7</v>
      </c>
      <c r="E65" s="75">
        <v>6</v>
      </c>
      <c r="F65" s="75">
        <v>7</v>
      </c>
      <c r="G65" s="75">
        <v>7</v>
      </c>
      <c r="H65" s="75">
        <v>0</v>
      </c>
      <c r="I65" s="75">
        <v>3346.2350000000001</v>
      </c>
      <c r="J65" s="75">
        <v>1579.4269999999999</v>
      </c>
      <c r="K65" s="75">
        <v>1579.4269999999999</v>
      </c>
    </row>
    <row r="66" spans="1:11" ht="45" x14ac:dyDescent="0.25">
      <c r="A66" s="93">
        <v>3</v>
      </c>
      <c r="B66" s="77" t="s">
        <v>29</v>
      </c>
      <c r="C66" s="63" t="s">
        <v>14</v>
      </c>
      <c r="D66" s="75">
        <v>6</v>
      </c>
      <c r="E66" s="75">
        <v>6</v>
      </c>
      <c r="F66" s="75">
        <v>5</v>
      </c>
      <c r="G66" s="75">
        <v>5</v>
      </c>
      <c r="H66" s="75">
        <v>0</v>
      </c>
      <c r="I66" s="75">
        <v>4113.3729999999996</v>
      </c>
      <c r="J66" s="75">
        <v>4082.431</v>
      </c>
      <c r="K66" s="75">
        <v>4082.431</v>
      </c>
    </row>
    <row r="67" spans="1:11" ht="45" x14ac:dyDescent="0.25">
      <c r="A67" s="93">
        <v>4</v>
      </c>
      <c r="B67" s="77" t="s">
        <v>28</v>
      </c>
      <c r="C67" s="63" t="s">
        <v>14</v>
      </c>
      <c r="D67" s="75">
        <v>8</v>
      </c>
      <c r="E67" s="75">
        <v>12</v>
      </c>
      <c r="F67" s="75">
        <v>12</v>
      </c>
      <c r="G67" s="75">
        <v>12</v>
      </c>
      <c r="H67" s="75">
        <v>0</v>
      </c>
      <c r="I67" s="75">
        <v>7948.5990000000002</v>
      </c>
      <c r="J67" s="75">
        <v>7497.0919999999996</v>
      </c>
      <c r="K67" s="75">
        <v>7497.0919999999996</v>
      </c>
    </row>
    <row r="68" spans="1:11" ht="45" x14ac:dyDescent="0.25">
      <c r="A68" s="93">
        <v>5</v>
      </c>
      <c r="B68" s="77" t="s">
        <v>27</v>
      </c>
      <c r="C68" s="63" t="s">
        <v>14</v>
      </c>
      <c r="D68" s="75">
        <v>12</v>
      </c>
      <c r="E68" s="75">
        <v>18</v>
      </c>
      <c r="F68" s="75">
        <v>19</v>
      </c>
      <c r="G68" s="75">
        <v>19</v>
      </c>
      <c r="H68" s="75">
        <v>0</v>
      </c>
      <c r="I68" s="75">
        <v>8638.8240000000005</v>
      </c>
      <c r="J68" s="75">
        <v>8108.2470000000003</v>
      </c>
      <c r="K68" s="75">
        <v>8108.2470000000003</v>
      </c>
    </row>
    <row r="69" spans="1:11" ht="45" x14ac:dyDescent="0.25">
      <c r="A69" s="93">
        <v>6</v>
      </c>
      <c r="B69" s="77" t="s">
        <v>24</v>
      </c>
      <c r="C69" s="63" t="s">
        <v>14</v>
      </c>
      <c r="D69" s="75">
        <v>12</v>
      </c>
      <c r="E69" s="75">
        <v>9</v>
      </c>
      <c r="F69" s="75">
        <v>11</v>
      </c>
      <c r="G69" s="75">
        <v>11</v>
      </c>
      <c r="H69" s="75">
        <v>0</v>
      </c>
      <c r="I69" s="75">
        <v>5288.8710000000001</v>
      </c>
      <c r="J69" s="75">
        <v>5728.7520000000004</v>
      </c>
      <c r="K69" s="75">
        <v>5728.7520000000004</v>
      </c>
    </row>
    <row r="70" spans="1:11" ht="45" x14ac:dyDescent="0.25">
      <c r="A70" s="93">
        <v>7</v>
      </c>
      <c r="B70" s="77" t="s">
        <v>25</v>
      </c>
      <c r="C70" s="63" t="s">
        <v>14</v>
      </c>
      <c r="D70" s="75">
        <v>19</v>
      </c>
      <c r="E70" s="75">
        <v>11</v>
      </c>
      <c r="F70" s="75">
        <v>11</v>
      </c>
      <c r="G70" s="75">
        <v>11</v>
      </c>
      <c r="H70" s="75">
        <v>0</v>
      </c>
      <c r="I70" s="75">
        <v>5388.7129999999997</v>
      </c>
      <c r="J70" s="75">
        <v>4963.1570000000002</v>
      </c>
      <c r="K70" s="75">
        <v>4963.1570000000002</v>
      </c>
    </row>
    <row r="71" spans="1:11" ht="45" x14ac:dyDescent="0.25">
      <c r="A71" s="93">
        <v>8</v>
      </c>
      <c r="B71" s="77" t="s">
        <v>26</v>
      </c>
      <c r="C71" s="63" t="s">
        <v>14</v>
      </c>
      <c r="D71" s="75">
        <v>53</v>
      </c>
      <c r="E71" s="75">
        <v>85</v>
      </c>
      <c r="F71" s="75">
        <v>83</v>
      </c>
      <c r="G71" s="75">
        <v>83</v>
      </c>
      <c r="H71" s="75">
        <v>0</v>
      </c>
      <c r="I71" s="75">
        <v>24190.116000000002</v>
      </c>
      <c r="J71" s="75">
        <v>21727.904999999999</v>
      </c>
      <c r="K71" s="75">
        <v>21727.904999999999</v>
      </c>
    </row>
    <row r="72" spans="1:11" ht="45" x14ac:dyDescent="0.25">
      <c r="A72" s="93">
        <v>9</v>
      </c>
      <c r="B72" s="77" t="s">
        <v>303</v>
      </c>
      <c r="C72" s="63" t="s">
        <v>14</v>
      </c>
      <c r="D72" s="75">
        <v>0</v>
      </c>
      <c r="E72" s="75">
        <v>0</v>
      </c>
      <c r="F72" s="75">
        <v>0</v>
      </c>
      <c r="G72" s="75">
        <v>0</v>
      </c>
      <c r="H72" s="75">
        <v>0</v>
      </c>
      <c r="I72" s="75">
        <v>0</v>
      </c>
      <c r="J72" s="75">
        <v>0</v>
      </c>
      <c r="K72" s="75">
        <v>0</v>
      </c>
    </row>
    <row r="73" spans="1:11" ht="45" x14ac:dyDescent="0.25">
      <c r="A73" s="93">
        <v>10</v>
      </c>
      <c r="B73" s="77" t="s">
        <v>23</v>
      </c>
      <c r="C73" s="63" t="s">
        <v>14</v>
      </c>
      <c r="D73" s="75">
        <v>43</v>
      </c>
      <c r="E73" s="75">
        <v>57</v>
      </c>
      <c r="F73" s="75">
        <v>57</v>
      </c>
      <c r="G73" s="75">
        <v>57</v>
      </c>
      <c r="H73" s="75">
        <v>0</v>
      </c>
      <c r="I73" s="75">
        <v>15312.23</v>
      </c>
      <c r="J73" s="75">
        <v>14042.3</v>
      </c>
      <c r="K73" s="75">
        <v>14042.3</v>
      </c>
    </row>
    <row r="74" spans="1:11" ht="45" x14ac:dyDescent="0.25">
      <c r="A74" s="93">
        <v>11</v>
      </c>
      <c r="B74" s="77" t="s">
        <v>31</v>
      </c>
      <c r="C74" s="63" t="s">
        <v>14</v>
      </c>
      <c r="D74" s="75">
        <v>24</v>
      </c>
      <c r="E74" s="75">
        <v>105</v>
      </c>
      <c r="F74" s="75">
        <v>105</v>
      </c>
      <c r="G74" s="75">
        <v>105</v>
      </c>
      <c r="H74" s="75">
        <v>0</v>
      </c>
      <c r="I74" s="75">
        <v>28206.77</v>
      </c>
      <c r="J74" s="75">
        <v>25867.4</v>
      </c>
      <c r="K74" s="75">
        <v>25867.4</v>
      </c>
    </row>
    <row r="75" spans="1:11" ht="45" x14ac:dyDescent="0.25">
      <c r="A75" s="93">
        <v>12</v>
      </c>
      <c r="B75" s="77" t="s">
        <v>35</v>
      </c>
      <c r="C75" s="63" t="s">
        <v>14</v>
      </c>
      <c r="D75" s="75">
        <v>2</v>
      </c>
      <c r="E75" s="75">
        <v>2</v>
      </c>
      <c r="F75" s="75">
        <v>2</v>
      </c>
      <c r="G75" s="75">
        <v>2</v>
      </c>
      <c r="H75" s="75">
        <v>0</v>
      </c>
      <c r="I75" s="75">
        <v>2355.25</v>
      </c>
      <c r="J75" s="75">
        <v>2147.3013575705054</v>
      </c>
      <c r="K75" s="75">
        <v>2147.3013575705054</v>
      </c>
    </row>
    <row r="76" spans="1:11" ht="45" x14ac:dyDescent="0.25">
      <c r="A76" s="93">
        <v>13</v>
      </c>
      <c r="B76" s="77" t="s">
        <v>51</v>
      </c>
      <c r="C76" s="63" t="s">
        <v>14</v>
      </c>
      <c r="D76" s="75">
        <v>2</v>
      </c>
      <c r="E76" s="75">
        <v>2</v>
      </c>
      <c r="F76" s="75">
        <v>2</v>
      </c>
      <c r="G76" s="75">
        <v>2</v>
      </c>
      <c r="H76" s="75">
        <v>0</v>
      </c>
      <c r="I76" s="75">
        <v>1095.1600000000001</v>
      </c>
      <c r="J76" s="75">
        <v>998.47217091136758</v>
      </c>
      <c r="K76" s="75">
        <v>998.47217091136758</v>
      </c>
    </row>
    <row r="77" spans="1:11" ht="45" x14ac:dyDescent="0.25">
      <c r="A77" s="93">
        <v>14</v>
      </c>
      <c r="B77" s="77" t="s">
        <v>36</v>
      </c>
      <c r="C77" s="63" t="s">
        <v>14</v>
      </c>
      <c r="D77" s="75">
        <v>15</v>
      </c>
      <c r="E77" s="75">
        <v>17</v>
      </c>
      <c r="F77" s="75">
        <v>17</v>
      </c>
      <c r="G77" s="75">
        <v>17</v>
      </c>
      <c r="H77" s="75">
        <v>0</v>
      </c>
      <c r="I77" s="75">
        <v>7846.57</v>
      </c>
      <c r="J77" s="75">
        <v>7153.79984810923</v>
      </c>
      <c r="K77" s="75">
        <v>7153.79984810923</v>
      </c>
    </row>
    <row r="78" spans="1:11" ht="45" x14ac:dyDescent="0.25">
      <c r="A78" s="93">
        <v>15</v>
      </c>
      <c r="B78" s="77" t="s">
        <v>37</v>
      </c>
      <c r="C78" s="63" t="s">
        <v>14</v>
      </c>
      <c r="D78" s="75">
        <v>1</v>
      </c>
      <c r="E78" s="75">
        <v>2</v>
      </c>
      <c r="F78" s="75">
        <v>2</v>
      </c>
      <c r="G78" s="75">
        <v>2</v>
      </c>
      <c r="H78" s="75">
        <v>0</v>
      </c>
      <c r="I78" s="75">
        <v>1982.53</v>
      </c>
      <c r="J78" s="75">
        <v>1807.4878410836898</v>
      </c>
      <c r="K78" s="75">
        <v>1807.4878410836898</v>
      </c>
    </row>
    <row r="79" spans="1:11" ht="45" x14ac:dyDescent="0.25">
      <c r="A79" s="93">
        <v>16</v>
      </c>
      <c r="B79" s="77" t="s">
        <v>38</v>
      </c>
      <c r="C79" s="63" t="s">
        <v>14</v>
      </c>
      <c r="D79" s="75">
        <v>2</v>
      </c>
      <c r="E79" s="75">
        <v>3</v>
      </c>
      <c r="F79" s="75">
        <v>3</v>
      </c>
      <c r="G79" s="75">
        <v>3</v>
      </c>
      <c r="H79" s="75">
        <v>0</v>
      </c>
      <c r="I79" s="75">
        <v>2416.2800000000002</v>
      </c>
      <c r="J79" s="75">
        <v>2202.9484777382136</v>
      </c>
      <c r="K79" s="75">
        <v>2202.9484777382136</v>
      </c>
    </row>
    <row r="80" spans="1:11" ht="45" x14ac:dyDescent="0.25">
      <c r="A80" s="93">
        <v>17</v>
      </c>
      <c r="B80" s="77" t="s">
        <v>39</v>
      </c>
      <c r="C80" s="63" t="s">
        <v>14</v>
      </c>
      <c r="D80" s="75">
        <v>109</v>
      </c>
      <c r="E80" s="75">
        <v>128</v>
      </c>
      <c r="F80" s="75">
        <v>128</v>
      </c>
      <c r="G80" s="75">
        <v>128</v>
      </c>
      <c r="H80" s="75">
        <v>0</v>
      </c>
      <c r="I80" s="75">
        <v>64205.13</v>
      </c>
      <c r="J80" s="75">
        <v>58536.502186530342</v>
      </c>
      <c r="K80" s="75">
        <v>58536.502186530342</v>
      </c>
    </row>
    <row r="81" spans="1:11" ht="45" x14ac:dyDescent="0.25">
      <c r="A81" s="93">
        <v>18</v>
      </c>
      <c r="B81" s="77" t="s">
        <v>40</v>
      </c>
      <c r="C81" s="63" t="s">
        <v>14</v>
      </c>
      <c r="D81" s="75">
        <v>113</v>
      </c>
      <c r="E81" s="75">
        <v>110</v>
      </c>
      <c r="F81" s="75">
        <v>110</v>
      </c>
      <c r="G81" s="75">
        <v>110</v>
      </c>
      <c r="H81" s="75">
        <v>0</v>
      </c>
      <c r="I81" s="75">
        <v>11842.93</v>
      </c>
      <c r="J81" s="75">
        <v>10797.328118056648</v>
      </c>
      <c r="K81" s="75">
        <v>10797.328118056648</v>
      </c>
    </row>
    <row r="82" spans="1:11" ht="45" x14ac:dyDescent="0.25">
      <c r="A82" s="93">
        <v>19</v>
      </c>
      <c r="B82" s="77" t="s">
        <v>304</v>
      </c>
      <c r="C82" s="63" t="s">
        <v>14</v>
      </c>
      <c r="D82" s="75">
        <v>0</v>
      </c>
      <c r="E82" s="75">
        <v>48</v>
      </c>
      <c r="F82" s="75">
        <v>48</v>
      </c>
      <c r="G82" s="75">
        <v>48</v>
      </c>
      <c r="H82" s="75">
        <v>0</v>
      </c>
      <c r="I82" s="75">
        <v>28415.33597</v>
      </c>
      <c r="J82" s="75">
        <v>28768.866239999999</v>
      </c>
      <c r="K82" s="75">
        <v>28768.866239999999</v>
      </c>
    </row>
    <row r="83" spans="1:11" ht="45" x14ac:dyDescent="0.25">
      <c r="A83" s="93">
        <v>20</v>
      </c>
      <c r="B83" s="77" t="s">
        <v>54</v>
      </c>
      <c r="C83" s="63" t="s">
        <v>14</v>
      </c>
      <c r="D83" s="75">
        <v>94</v>
      </c>
      <c r="E83" s="75">
        <v>138</v>
      </c>
      <c r="F83" s="75">
        <v>138</v>
      </c>
      <c r="G83" s="75">
        <v>138</v>
      </c>
      <c r="H83" s="75">
        <v>0</v>
      </c>
      <c r="I83" s="75">
        <v>27694.049689999996</v>
      </c>
      <c r="J83" s="75">
        <v>27960.968129999997</v>
      </c>
      <c r="K83" s="75">
        <v>27960.968129999997</v>
      </c>
    </row>
    <row r="84" spans="1:11" ht="30" x14ac:dyDescent="0.25">
      <c r="A84" s="93">
        <v>21</v>
      </c>
      <c r="B84" s="77" t="s">
        <v>55</v>
      </c>
      <c r="C84" s="63" t="s">
        <v>14</v>
      </c>
      <c r="D84" s="75">
        <v>156</v>
      </c>
      <c r="E84" s="75">
        <v>130</v>
      </c>
      <c r="F84" s="75">
        <v>130</v>
      </c>
      <c r="G84" s="75">
        <v>130</v>
      </c>
      <c r="H84" s="75">
        <v>0</v>
      </c>
      <c r="I84" s="75">
        <v>13683.829400000001</v>
      </c>
      <c r="J84" s="75">
        <v>14303.964470000001</v>
      </c>
      <c r="K84" s="75">
        <v>14303.964470000001</v>
      </c>
    </row>
    <row r="85" spans="1:11" ht="60" x14ac:dyDescent="0.25">
      <c r="A85" s="93">
        <v>22</v>
      </c>
      <c r="B85" s="77" t="s">
        <v>48</v>
      </c>
      <c r="C85" s="63" t="s">
        <v>16</v>
      </c>
      <c r="D85" s="75">
        <v>33</v>
      </c>
      <c r="E85" s="75">
        <v>28</v>
      </c>
      <c r="F85" s="75">
        <v>40</v>
      </c>
      <c r="G85" s="75">
        <v>40</v>
      </c>
      <c r="H85" s="75">
        <v>0</v>
      </c>
      <c r="I85" s="75">
        <v>8911.9</v>
      </c>
      <c r="J85" s="75">
        <v>10658</v>
      </c>
      <c r="K85" s="75">
        <v>10658</v>
      </c>
    </row>
    <row r="86" spans="1:11" ht="60" x14ac:dyDescent="0.25">
      <c r="A86" s="93">
        <v>23</v>
      </c>
      <c r="B86" s="77" t="s">
        <v>34</v>
      </c>
      <c r="C86" s="63" t="s">
        <v>16</v>
      </c>
      <c r="D86" s="75">
        <v>10</v>
      </c>
      <c r="E86" s="75">
        <v>6</v>
      </c>
      <c r="F86" s="75">
        <v>12</v>
      </c>
      <c r="G86" s="75">
        <v>12</v>
      </c>
      <c r="H86" s="75">
        <v>0</v>
      </c>
      <c r="I86" s="75">
        <v>1569.4</v>
      </c>
      <c r="J86" s="75">
        <v>758</v>
      </c>
      <c r="K86" s="75">
        <v>758</v>
      </c>
    </row>
    <row r="87" spans="1:11" ht="45" x14ac:dyDescent="0.25">
      <c r="A87" s="93">
        <v>24</v>
      </c>
      <c r="B87" s="77" t="s">
        <v>17</v>
      </c>
      <c r="C87" s="63" t="s">
        <v>16</v>
      </c>
      <c r="D87" s="75">
        <v>359</v>
      </c>
      <c r="E87" s="75">
        <v>374</v>
      </c>
      <c r="F87" s="75">
        <v>395</v>
      </c>
      <c r="G87" s="75">
        <v>395</v>
      </c>
      <c r="H87" s="75">
        <v>0</v>
      </c>
      <c r="I87" s="75">
        <v>57028.053999999996</v>
      </c>
      <c r="J87" s="75">
        <v>58670.89</v>
      </c>
      <c r="K87" s="75">
        <v>58670.89</v>
      </c>
    </row>
    <row r="88" spans="1:11" ht="45" x14ac:dyDescent="0.25">
      <c r="A88" s="93">
        <v>25</v>
      </c>
      <c r="B88" s="77" t="s">
        <v>42</v>
      </c>
      <c r="C88" s="63" t="s">
        <v>16</v>
      </c>
      <c r="D88" s="75">
        <v>67</v>
      </c>
      <c r="E88" s="75">
        <v>30</v>
      </c>
      <c r="F88" s="75">
        <v>36</v>
      </c>
      <c r="G88" s="75">
        <v>36</v>
      </c>
      <c r="H88" s="75">
        <v>0</v>
      </c>
      <c r="I88" s="75">
        <v>4296.1000000000004</v>
      </c>
      <c r="J88" s="75">
        <v>4880.3</v>
      </c>
      <c r="K88" s="75">
        <v>4880.3</v>
      </c>
    </row>
    <row r="89" spans="1:11" ht="45" x14ac:dyDescent="0.25">
      <c r="A89" s="93">
        <v>26</v>
      </c>
      <c r="B89" s="77" t="s">
        <v>18</v>
      </c>
      <c r="C89" s="63" t="s">
        <v>16</v>
      </c>
      <c r="D89" s="75">
        <v>69</v>
      </c>
      <c r="E89" s="75">
        <v>82</v>
      </c>
      <c r="F89" s="75">
        <v>85</v>
      </c>
      <c r="G89" s="75">
        <v>85</v>
      </c>
      <c r="H89" s="75">
        <v>0</v>
      </c>
      <c r="I89" s="75">
        <v>15909.609</v>
      </c>
      <c r="J89" s="75">
        <v>14598.245999999999</v>
      </c>
      <c r="K89" s="75">
        <v>14598.245999999999</v>
      </c>
    </row>
    <row r="90" spans="1:11" ht="30" x14ac:dyDescent="0.25">
      <c r="A90" s="93">
        <v>27</v>
      </c>
      <c r="B90" s="77" t="s">
        <v>49</v>
      </c>
      <c r="C90" s="63" t="s">
        <v>16</v>
      </c>
      <c r="D90" s="75">
        <v>7</v>
      </c>
      <c r="E90" s="75">
        <v>6</v>
      </c>
      <c r="F90" s="75">
        <v>10</v>
      </c>
      <c r="G90" s="75">
        <v>10</v>
      </c>
      <c r="H90" s="75">
        <v>0</v>
      </c>
      <c r="I90" s="75">
        <v>4489.2</v>
      </c>
      <c r="J90" s="75">
        <v>4463</v>
      </c>
      <c r="K90" s="75">
        <v>4463</v>
      </c>
    </row>
    <row r="91" spans="1:11" ht="30" x14ac:dyDescent="0.25">
      <c r="A91" s="93">
        <v>28</v>
      </c>
      <c r="B91" s="77" t="s">
        <v>46</v>
      </c>
      <c r="C91" s="63" t="s">
        <v>16</v>
      </c>
      <c r="D91" s="75">
        <v>11</v>
      </c>
      <c r="E91" s="75">
        <v>13</v>
      </c>
      <c r="F91" s="75">
        <v>13</v>
      </c>
      <c r="G91" s="75">
        <v>13</v>
      </c>
      <c r="H91" s="75">
        <v>0</v>
      </c>
      <c r="I91" s="75">
        <v>1454.2</v>
      </c>
      <c r="J91" s="75">
        <v>1446</v>
      </c>
      <c r="K91" s="75">
        <v>1446</v>
      </c>
    </row>
    <row r="92" spans="1:11" ht="30" x14ac:dyDescent="0.25">
      <c r="A92" s="93">
        <v>29</v>
      </c>
      <c r="B92" s="77" t="s">
        <v>43</v>
      </c>
      <c r="C92" s="63" t="s">
        <v>16</v>
      </c>
      <c r="D92" s="75">
        <v>6</v>
      </c>
      <c r="E92" s="75">
        <v>5</v>
      </c>
      <c r="F92" s="75">
        <v>2</v>
      </c>
      <c r="G92" s="75">
        <v>2</v>
      </c>
      <c r="H92" s="75">
        <v>0</v>
      </c>
      <c r="I92" s="75">
        <v>1298.4000000000001</v>
      </c>
      <c r="J92" s="75">
        <v>3309.5341800000001</v>
      </c>
      <c r="K92" s="75">
        <v>3309.5341800000001</v>
      </c>
    </row>
    <row r="93" spans="1:11" ht="30" x14ac:dyDescent="0.25">
      <c r="A93" s="93">
        <v>30</v>
      </c>
      <c r="B93" s="77" t="s">
        <v>44</v>
      </c>
      <c r="C93" s="63" t="s">
        <v>16</v>
      </c>
      <c r="D93" s="75">
        <v>15</v>
      </c>
      <c r="E93" s="75"/>
      <c r="F93" s="75"/>
      <c r="G93" s="75"/>
      <c r="H93" s="75"/>
      <c r="I93" s="75"/>
      <c r="J93" s="75"/>
      <c r="K93" s="75"/>
    </row>
    <row r="94" spans="1:11" ht="30" x14ac:dyDescent="0.25">
      <c r="A94" s="93">
        <v>31</v>
      </c>
      <c r="B94" s="77" t="s">
        <v>22</v>
      </c>
      <c r="C94" s="63" t="s">
        <v>16</v>
      </c>
      <c r="D94" s="75">
        <v>342</v>
      </c>
      <c r="E94" s="75">
        <v>343</v>
      </c>
      <c r="F94" s="75">
        <v>342</v>
      </c>
      <c r="G94" s="75">
        <v>342</v>
      </c>
      <c r="H94" s="75">
        <v>0</v>
      </c>
      <c r="I94" s="75">
        <v>32010.506679999999</v>
      </c>
      <c r="J94" s="75">
        <v>31930.197040000003</v>
      </c>
      <c r="K94" s="75">
        <v>31930.197040000003</v>
      </c>
    </row>
    <row r="95" spans="1:11" ht="30" x14ac:dyDescent="0.25">
      <c r="A95" s="93">
        <v>32</v>
      </c>
      <c r="B95" s="77" t="s">
        <v>21</v>
      </c>
      <c r="C95" s="63" t="s">
        <v>16</v>
      </c>
      <c r="D95" s="75">
        <v>28</v>
      </c>
      <c r="E95" s="75">
        <v>29</v>
      </c>
      <c r="F95" s="75">
        <v>28</v>
      </c>
      <c r="G95" s="75">
        <v>28</v>
      </c>
      <c r="H95" s="75">
        <v>0</v>
      </c>
      <c r="I95" s="75">
        <v>3532.2210000000005</v>
      </c>
      <c r="J95" s="75">
        <v>3335.5540000000001</v>
      </c>
      <c r="K95" s="75">
        <v>3335.5540000000001</v>
      </c>
    </row>
    <row r="96" spans="1:11" ht="30" x14ac:dyDescent="0.25">
      <c r="A96" s="93">
        <v>33</v>
      </c>
      <c r="B96" s="77" t="s">
        <v>20</v>
      </c>
      <c r="C96" s="63" t="s">
        <v>16</v>
      </c>
      <c r="D96" s="75">
        <v>51</v>
      </c>
      <c r="E96" s="75">
        <v>52</v>
      </c>
      <c r="F96" s="75">
        <v>48</v>
      </c>
      <c r="G96" s="75">
        <v>48</v>
      </c>
      <c r="H96" s="75">
        <v>0</v>
      </c>
      <c r="I96" s="75">
        <v>7257.4310000000005</v>
      </c>
      <c r="J96" s="75">
        <v>6169.6</v>
      </c>
      <c r="K96" s="75">
        <v>6169.6</v>
      </c>
    </row>
    <row r="97" spans="1:11" ht="45" x14ac:dyDescent="0.25">
      <c r="A97" s="93">
        <v>34</v>
      </c>
      <c r="B97" s="77" t="s">
        <v>32</v>
      </c>
      <c r="C97" s="63" t="s">
        <v>16</v>
      </c>
      <c r="D97" s="75">
        <v>0</v>
      </c>
      <c r="E97" s="75">
        <v>6</v>
      </c>
      <c r="F97" s="75">
        <v>6</v>
      </c>
      <c r="G97" s="75">
        <v>6</v>
      </c>
      <c r="H97" s="75">
        <v>0</v>
      </c>
      <c r="I97" s="75">
        <v>0</v>
      </c>
      <c r="J97" s="75">
        <v>0</v>
      </c>
      <c r="K97" s="75">
        <v>0</v>
      </c>
    </row>
    <row r="98" spans="1:11" ht="75" x14ac:dyDescent="0.25">
      <c r="A98" s="93">
        <v>35</v>
      </c>
      <c r="B98" s="77" t="s">
        <v>52</v>
      </c>
      <c r="C98" s="63" t="s">
        <v>16</v>
      </c>
      <c r="D98" s="75">
        <v>11</v>
      </c>
      <c r="E98" s="75">
        <v>15</v>
      </c>
      <c r="F98" s="75">
        <v>15</v>
      </c>
      <c r="G98" s="75">
        <v>15</v>
      </c>
      <c r="H98" s="75">
        <v>0</v>
      </c>
      <c r="I98" s="75">
        <v>6862.3</v>
      </c>
      <c r="J98" s="75">
        <v>6779</v>
      </c>
      <c r="K98" s="75">
        <v>6779</v>
      </c>
    </row>
    <row r="99" spans="1:11" ht="30" x14ac:dyDescent="0.25">
      <c r="A99" s="93">
        <v>36</v>
      </c>
      <c r="B99" s="77" t="s">
        <v>15</v>
      </c>
      <c r="C99" s="63" t="s">
        <v>16</v>
      </c>
      <c r="D99" s="75">
        <v>213</v>
      </c>
      <c r="E99" s="75">
        <v>201</v>
      </c>
      <c r="F99" s="75">
        <v>222</v>
      </c>
      <c r="G99" s="75">
        <v>222</v>
      </c>
      <c r="H99" s="75">
        <v>0</v>
      </c>
      <c r="I99" s="75">
        <v>57319.350789999997</v>
      </c>
      <c r="J99" s="75">
        <v>52681.797999999995</v>
      </c>
      <c r="K99" s="75">
        <v>52681.797999999995</v>
      </c>
    </row>
    <row r="100" spans="1:11" ht="45" x14ac:dyDescent="0.25">
      <c r="A100" s="93">
        <v>37</v>
      </c>
      <c r="B100" s="77" t="s">
        <v>19</v>
      </c>
      <c r="C100" s="63" t="s">
        <v>16</v>
      </c>
      <c r="D100" s="75">
        <v>95</v>
      </c>
      <c r="E100" s="75">
        <v>96</v>
      </c>
      <c r="F100" s="75">
        <v>103</v>
      </c>
      <c r="G100" s="75">
        <v>103</v>
      </c>
      <c r="H100" s="75">
        <v>0</v>
      </c>
      <c r="I100" s="75">
        <v>20245.75635</v>
      </c>
      <c r="J100" s="75">
        <v>17212.98935</v>
      </c>
      <c r="K100" s="75">
        <v>17212.98935</v>
      </c>
    </row>
    <row r="101" spans="1:11" ht="45" x14ac:dyDescent="0.25">
      <c r="A101" s="93">
        <v>38</v>
      </c>
      <c r="B101" s="77" t="s">
        <v>45</v>
      </c>
      <c r="C101" s="63" t="s">
        <v>16</v>
      </c>
      <c r="D101" s="75">
        <v>37</v>
      </c>
      <c r="E101" s="75">
        <v>39</v>
      </c>
      <c r="F101" s="75">
        <v>35</v>
      </c>
      <c r="G101" s="75">
        <v>35</v>
      </c>
      <c r="H101" s="75">
        <v>0</v>
      </c>
      <c r="I101" s="75">
        <v>12914.880000000001</v>
      </c>
      <c r="J101" s="75">
        <v>13054.06717</v>
      </c>
      <c r="K101" s="75">
        <v>13054.06717</v>
      </c>
    </row>
    <row r="102" spans="1:11" ht="45" x14ac:dyDescent="0.25">
      <c r="A102" s="93">
        <v>39</v>
      </c>
      <c r="B102" s="77" t="s">
        <v>305</v>
      </c>
      <c r="C102" s="63" t="s">
        <v>16</v>
      </c>
      <c r="D102" s="75">
        <v>0</v>
      </c>
      <c r="E102" s="75">
        <v>8</v>
      </c>
      <c r="F102" s="75">
        <v>8</v>
      </c>
      <c r="G102" s="75">
        <v>8</v>
      </c>
      <c r="H102" s="75">
        <v>0</v>
      </c>
      <c r="I102" s="75">
        <v>40</v>
      </c>
      <c r="J102" s="75">
        <v>48.38</v>
      </c>
      <c r="K102" s="75">
        <v>48.38</v>
      </c>
    </row>
    <row r="103" spans="1:11" x14ac:dyDescent="0.25">
      <c r="A103" s="93">
        <v>40</v>
      </c>
      <c r="B103" s="77" t="s">
        <v>33</v>
      </c>
      <c r="C103" s="63" t="s">
        <v>56</v>
      </c>
      <c r="D103" s="75">
        <v>84476</v>
      </c>
      <c r="E103" s="75">
        <v>127044.5</v>
      </c>
      <c r="F103" s="75">
        <v>128519</v>
      </c>
      <c r="G103" s="75">
        <v>128519</v>
      </c>
      <c r="H103" s="75">
        <v>0</v>
      </c>
      <c r="I103" s="75">
        <v>235124.04</v>
      </c>
      <c r="J103" s="75">
        <v>235124.04399999999</v>
      </c>
      <c r="K103" s="75">
        <v>235124.04399999999</v>
      </c>
    </row>
    <row r="104" spans="1:11" ht="14.45" customHeight="1" x14ac:dyDescent="0.25">
      <c r="A104" s="160">
        <v>41</v>
      </c>
      <c r="B104" s="153" t="s">
        <v>41</v>
      </c>
      <c r="C104" s="63" t="s">
        <v>14</v>
      </c>
      <c r="D104" s="75">
        <v>155</v>
      </c>
      <c r="E104" s="75">
        <v>184</v>
      </c>
      <c r="F104" s="75">
        <v>184</v>
      </c>
      <c r="G104" s="75">
        <v>184</v>
      </c>
      <c r="H104" s="75">
        <v>0</v>
      </c>
      <c r="I104" s="75"/>
      <c r="J104" s="75"/>
      <c r="K104" s="75"/>
    </row>
    <row r="105" spans="1:11" x14ac:dyDescent="0.25">
      <c r="A105" s="161"/>
      <c r="B105" s="154"/>
      <c r="C105" s="63" t="s">
        <v>57</v>
      </c>
      <c r="D105" s="75">
        <v>175</v>
      </c>
      <c r="E105" s="75">
        <v>199</v>
      </c>
      <c r="F105" s="75">
        <v>199</v>
      </c>
      <c r="G105" s="75">
        <v>199</v>
      </c>
      <c r="H105" s="75"/>
      <c r="I105" s="75">
        <v>6392.6083499999995</v>
      </c>
      <c r="J105" s="75">
        <v>6392.56</v>
      </c>
      <c r="K105" s="75">
        <v>6392.56</v>
      </c>
    </row>
    <row r="106" spans="1:11" ht="60" x14ac:dyDescent="0.25">
      <c r="A106" s="93">
        <v>42</v>
      </c>
      <c r="B106" s="77" t="s">
        <v>50</v>
      </c>
      <c r="C106" s="63" t="s">
        <v>16</v>
      </c>
      <c r="D106" s="75">
        <v>2</v>
      </c>
      <c r="E106" s="75">
        <v>3</v>
      </c>
      <c r="F106" s="75">
        <v>3</v>
      </c>
      <c r="G106" s="75">
        <v>3</v>
      </c>
      <c r="H106" s="75">
        <v>0</v>
      </c>
      <c r="I106" s="75">
        <v>628.1</v>
      </c>
      <c r="J106" s="75">
        <v>610</v>
      </c>
      <c r="K106" s="75">
        <v>610</v>
      </c>
    </row>
    <row r="107" spans="1:11" ht="60" x14ac:dyDescent="0.25">
      <c r="A107" s="93">
        <v>43</v>
      </c>
      <c r="B107" s="77" t="s">
        <v>53</v>
      </c>
      <c r="C107" s="63" t="s">
        <v>16</v>
      </c>
      <c r="D107" s="75">
        <v>5</v>
      </c>
      <c r="E107" s="75">
        <v>1</v>
      </c>
      <c r="F107" s="75">
        <v>0</v>
      </c>
      <c r="G107" s="75">
        <v>0</v>
      </c>
      <c r="H107" s="75">
        <v>0</v>
      </c>
      <c r="I107" s="75">
        <v>674.8</v>
      </c>
      <c r="J107" s="75">
        <v>0</v>
      </c>
      <c r="K107" s="75">
        <v>0</v>
      </c>
    </row>
    <row r="108" spans="1:11" x14ac:dyDescent="0.25">
      <c r="A108" s="78"/>
      <c r="B108" s="79" t="s">
        <v>0</v>
      </c>
      <c r="C108" s="71" t="s">
        <v>8</v>
      </c>
      <c r="D108" s="71" t="s">
        <v>8</v>
      </c>
      <c r="E108" s="71"/>
      <c r="F108" s="71"/>
      <c r="G108" s="71" t="s">
        <v>8</v>
      </c>
      <c r="H108" s="80">
        <f>SUM(H64:H107)</f>
        <v>0</v>
      </c>
      <c r="I108" s="125">
        <f>SUM(I64:I107)</f>
        <v>743935.15623000008</v>
      </c>
      <c r="J108" s="125">
        <f t="shared" ref="J108:K108" si="4">SUM(J64:J107)</f>
        <v>724100.95458000002</v>
      </c>
      <c r="K108" s="125">
        <f t="shared" si="4"/>
        <v>724100.95458000002</v>
      </c>
    </row>
    <row r="109" spans="1:11" ht="14.45" customHeight="1" x14ac:dyDescent="0.25">
      <c r="A109" s="165" t="s">
        <v>268</v>
      </c>
      <c r="B109" s="166"/>
      <c r="C109" s="166"/>
      <c r="D109" s="166"/>
      <c r="E109" s="166"/>
      <c r="F109" s="166"/>
      <c r="G109" s="166"/>
      <c r="H109" s="166"/>
      <c r="I109" s="166"/>
      <c r="J109" s="166"/>
      <c r="K109" s="166"/>
    </row>
    <row r="110" spans="1:11" ht="45" x14ac:dyDescent="0.25">
      <c r="A110" s="75" t="s">
        <v>277</v>
      </c>
      <c r="B110" s="83" t="s">
        <v>185</v>
      </c>
      <c r="C110" s="75" t="s">
        <v>14</v>
      </c>
      <c r="D110" s="75">
        <v>1362</v>
      </c>
      <c r="E110" s="75">
        <v>952</v>
      </c>
      <c r="F110" s="75">
        <v>1365</v>
      </c>
      <c r="G110" s="110">
        <v>1372</v>
      </c>
      <c r="H110" s="110">
        <v>23622.05084</v>
      </c>
      <c r="I110" s="110">
        <f>20406.673+1534.124+407.766</f>
        <v>22348.562999999998</v>
      </c>
      <c r="J110" s="75">
        <f>23557.39436+57.52962+1016.35662+1361.534+383.53</f>
        <v>26376.344599999997</v>
      </c>
      <c r="K110" s="110">
        <v>26376.342999999997</v>
      </c>
    </row>
    <row r="111" spans="1:11" ht="45" x14ac:dyDescent="0.25">
      <c r="A111" s="75" t="s">
        <v>278</v>
      </c>
      <c r="B111" s="76" t="s">
        <v>186</v>
      </c>
      <c r="C111" s="75" t="s">
        <v>14</v>
      </c>
      <c r="D111" s="75">
        <v>190</v>
      </c>
      <c r="E111" s="75">
        <v>206</v>
      </c>
      <c r="F111" s="75">
        <v>206</v>
      </c>
      <c r="G111" s="110">
        <v>207</v>
      </c>
      <c r="H111" s="110">
        <v>703.18</v>
      </c>
      <c r="I111" s="110">
        <v>703.32799999999997</v>
      </c>
      <c r="J111" s="75">
        <v>703.32799999999997</v>
      </c>
      <c r="K111" s="110">
        <v>703.32799999999997</v>
      </c>
    </row>
    <row r="112" spans="1:11" ht="60" x14ac:dyDescent="0.25">
      <c r="A112" s="75" t="s">
        <v>279</v>
      </c>
      <c r="B112" s="76" t="s">
        <v>280</v>
      </c>
      <c r="C112" s="75" t="s">
        <v>14</v>
      </c>
      <c r="D112" s="75"/>
      <c r="E112" s="75">
        <v>108</v>
      </c>
      <c r="F112" s="75" t="s">
        <v>58</v>
      </c>
      <c r="G112" s="110" t="s">
        <v>58</v>
      </c>
      <c r="H112" s="110"/>
      <c r="I112" s="110">
        <v>2000</v>
      </c>
      <c r="J112" s="75" t="s">
        <v>58</v>
      </c>
      <c r="K112" s="110" t="s">
        <v>58</v>
      </c>
    </row>
    <row r="113" spans="1:11" ht="30" x14ac:dyDescent="0.25">
      <c r="A113" s="75" t="s">
        <v>320</v>
      </c>
      <c r="B113" s="76" t="s">
        <v>188</v>
      </c>
      <c r="C113" s="75" t="s">
        <v>189</v>
      </c>
      <c r="D113" s="75">
        <v>85360</v>
      </c>
      <c r="E113" s="75">
        <v>18902</v>
      </c>
      <c r="F113" s="75">
        <v>18902</v>
      </c>
      <c r="G113" s="110">
        <v>18902</v>
      </c>
      <c r="H113" s="110">
        <v>5807.6880000000001</v>
      </c>
      <c r="I113" s="110">
        <v>1450</v>
      </c>
      <c r="J113" s="75">
        <v>1450</v>
      </c>
      <c r="K113" s="110">
        <v>1450</v>
      </c>
    </row>
    <row r="114" spans="1:11" ht="105" x14ac:dyDescent="0.25">
      <c r="A114" s="75" t="s">
        <v>321</v>
      </c>
      <c r="B114" s="76" t="s">
        <v>190</v>
      </c>
      <c r="C114" s="75" t="s">
        <v>14</v>
      </c>
      <c r="D114" s="75">
        <v>13530</v>
      </c>
      <c r="E114" s="75">
        <v>13785</v>
      </c>
      <c r="F114" s="75">
        <v>13785</v>
      </c>
      <c r="G114" s="110">
        <v>13785</v>
      </c>
      <c r="H114" s="110">
        <v>14612.4</v>
      </c>
      <c r="I114" s="110">
        <v>15546.585999999999</v>
      </c>
      <c r="J114" s="75">
        <v>15546.585999999999</v>
      </c>
      <c r="K114" s="110">
        <v>15546.585999999999</v>
      </c>
    </row>
    <row r="115" spans="1:11" ht="105" x14ac:dyDescent="0.25">
      <c r="A115" s="75" t="s">
        <v>322</v>
      </c>
      <c r="B115" s="76" t="s">
        <v>191</v>
      </c>
      <c r="C115" s="75" t="s">
        <v>14</v>
      </c>
      <c r="D115" s="75">
        <v>420</v>
      </c>
      <c r="E115" s="75">
        <v>685</v>
      </c>
      <c r="F115" s="75">
        <v>645</v>
      </c>
      <c r="G115" s="110">
        <v>648</v>
      </c>
      <c r="H115" s="110">
        <v>7293.6440000000002</v>
      </c>
      <c r="I115" s="110">
        <v>13135.93</v>
      </c>
      <c r="J115" s="75">
        <v>12368.868399999999</v>
      </c>
      <c r="K115" s="110">
        <v>12368.868399999999</v>
      </c>
    </row>
    <row r="116" spans="1:11" x14ac:dyDescent="0.25">
      <c r="A116" s="75" t="s">
        <v>323</v>
      </c>
      <c r="B116" s="76" t="s">
        <v>192</v>
      </c>
      <c r="C116" s="75" t="s">
        <v>14</v>
      </c>
      <c r="D116" s="75">
        <v>180</v>
      </c>
      <c r="E116" s="75">
        <v>195</v>
      </c>
      <c r="F116" s="75">
        <v>22</v>
      </c>
      <c r="G116" s="110">
        <v>22</v>
      </c>
      <c r="H116" s="110">
        <v>900</v>
      </c>
      <c r="I116" s="110">
        <v>1082.2460000000001</v>
      </c>
      <c r="J116" s="75">
        <v>122.1</v>
      </c>
      <c r="K116" s="110">
        <v>122.1</v>
      </c>
    </row>
    <row r="117" spans="1:11" x14ac:dyDescent="0.25">
      <c r="A117" s="94">
        <v>6</v>
      </c>
      <c r="B117" s="84" t="s">
        <v>249</v>
      </c>
      <c r="C117" s="75"/>
      <c r="D117" s="75"/>
      <c r="E117" s="75"/>
      <c r="F117" s="75"/>
      <c r="G117" s="110"/>
      <c r="H117" s="110"/>
      <c r="I117" s="110"/>
      <c r="J117" s="75"/>
      <c r="K117" s="110"/>
    </row>
    <row r="118" spans="1:11" ht="60" x14ac:dyDescent="0.25">
      <c r="A118" s="132" t="s">
        <v>400</v>
      </c>
      <c r="B118" s="76" t="s">
        <v>193</v>
      </c>
      <c r="C118" s="75" t="s">
        <v>57</v>
      </c>
      <c r="D118" s="75">
        <v>24</v>
      </c>
      <c r="E118" s="75">
        <v>24</v>
      </c>
      <c r="F118" s="75">
        <v>24</v>
      </c>
      <c r="G118" s="110">
        <v>24</v>
      </c>
      <c r="H118" s="110">
        <v>1090.1400000000001</v>
      </c>
      <c r="I118" s="110">
        <v>1090.1400000000001</v>
      </c>
      <c r="J118" s="75">
        <v>1090.1400000000001</v>
      </c>
      <c r="K118" s="110">
        <v>1090.1400000000001</v>
      </c>
    </row>
    <row r="119" spans="1:11" x14ac:dyDescent="0.25">
      <c r="A119" s="132" t="s">
        <v>401</v>
      </c>
      <c r="B119" s="76" t="s">
        <v>194</v>
      </c>
      <c r="C119" s="75" t="s">
        <v>57</v>
      </c>
      <c r="D119" s="75">
        <v>1</v>
      </c>
      <c r="E119" s="75">
        <v>1</v>
      </c>
      <c r="F119" s="75" t="s">
        <v>58</v>
      </c>
      <c r="G119" s="110" t="s">
        <v>58</v>
      </c>
      <c r="H119" s="110">
        <v>800</v>
      </c>
      <c r="I119" s="110">
        <v>800</v>
      </c>
      <c r="J119" s="75" t="s">
        <v>58</v>
      </c>
      <c r="K119" s="110" t="s">
        <v>58</v>
      </c>
    </row>
    <row r="120" spans="1:11" ht="75" x14ac:dyDescent="0.25">
      <c r="A120" s="132" t="s">
        <v>402</v>
      </c>
      <c r="B120" s="85" t="s">
        <v>195</v>
      </c>
      <c r="C120" s="75" t="s">
        <v>57</v>
      </c>
      <c r="D120" s="75">
        <v>18</v>
      </c>
      <c r="E120" s="75">
        <v>18</v>
      </c>
      <c r="F120" s="75">
        <v>9</v>
      </c>
      <c r="G120" s="110">
        <v>9</v>
      </c>
      <c r="H120" s="110">
        <v>1000</v>
      </c>
      <c r="I120" s="110">
        <v>1000</v>
      </c>
      <c r="J120" s="75">
        <v>500</v>
      </c>
      <c r="K120" s="110">
        <v>500</v>
      </c>
    </row>
    <row r="121" spans="1:11" ht="60" x14ac:dyDescent="0.25">
      <c r="A121" s="132" t="s">
        <v>403</v>
      </c>
      <c r="B121" s="76" t="s">
        <v>196</v>
      </c>
      <c r="C121" s="75" t="s">
        <v>57</v>
      </c>
      <c r="D121" s="75">
        <v>1</v>
      </c>
      <c r="E121" s="75">
        <v>1</v>
      </c>
      <c r="F121" s="75">
        <v>1</v>
      </c>
      <c r="G121" s="110">
        <v>1</v>
      </c>
      <c r="H121" s="110">
        <v>200</v>
      </c>
      <c r="I121" s="110">
        <v>200</v>
      </c>
      <c r="J121" s="75">
        <v>200</v>
      </c>
      <c r="K121" s="110">
        <v>200</v>
      </c>
    </row>
    <row r="122" spans="1:11" ht="45" x14ac:dyDescent="0.25">
      <c r="A122" s="132" t="s">
        <v>404</v>
      </c>
      <c r="B122" s="76" t="s">
        <v>197</v>
      </c>
      <c r="C122" s="75" t="s">
        <v>57</v>
      </c>
      <c r="D122" s="75">
        <v>1</v>
      </c>
      <c r="E122" s="75">
        <v>1</v>
      </c>
      <c r="F122" s="75" t="s">
        <v>58</v>
      </c>
      <c r="G122" s="110" t="s">
        <v>58</v>
      </c>
      <c r="H122" s="110">
        <v>200</v>
      </c>
      <c r="I122" s="110">
        <v>200</v>
      </c>
      <c r="J122" s="75" t="s">
        <v>58</v>
      </c>
      <c r="K122" s="110" t="s">
        <v>58</v>
      </c>
    </row>
    <row r="123" spans="1:11" ht="30" x14ac:dyDescent="0.25">
      <c r="A123" s="132" t="s">
        <v>405</v>
      </c>
      <c r="B123" s="76" t="s">
        <v>198</v>
      </c>
      <c r="C123" s="75" t="s">
        <v>57</v>
      </c>
      <c r="D123" s="75">
        <v>1</v>
      </c>
      <c r="E123" s="75">
        <v>1</v>
      </c>
      <c r="F123" s="75" t="s">
        <v>58</v>
      </c>
      <c r="G123" s="110" t="s">
        <v>58</v>
      </c>
      <c r="H123" s="110">
        <v>200</v>
      </c>
      <c r="I123" s="110">
        <v>200</v>
      </c>
      <c r="J123" s="75" t="s">
        <v>58</v>
      </c>
      <c r="K123" s="110" t="s">
        <v>58</v>
      </c>
    </row>
    <row r="124" spans="1:11" x14ac:dyDescent="0.25">
      <c r="A124" s="82"/>
      <c r="B124" s="86" t="s">
        <v>0</v>
      </c>
      <c r="C124" s="80"/>
      <c r="D124" s="80" t="s">
        <v>8</v>
      </c>
      <c r="E124" s="80"/>
      <c r="F124" s="80"/>
      <c r="G124" s="80" t="s">
        <v>8</v>
      </c>
      <c r="H124" s="80">
        <v>78107.715819999998</v>
      </c>
      <c r="I124" s="125">
        <f>SUM(I110:I123)</f>
        <v>59756.792999999998</v>
      </c>
      <c r="J124" s="125">
        <f>SUM(J110:J123)</f>
        <v>58357.366999999998</v>
      </c>
      <c r="K124" s="125">
        <f>SUM(K110:K123)</f>
        <v>58357.365399999995</v>
      </c>
    </row>
    <row r="125" spans="1:11" x14ac:dyDescent="0.25">
      <c r="A125" s="87"/>
      <c r="B125" s="88" t="s">
        <v>281</v>
      </c>
      <c r="C125" s="89"/>
      <c r="D125" s="87"/>
      <c r="E125" s="87"/>
      <c r="F125" s="87"/>
      <c r="G125" s="87"/>
      <c r="H125" s="87"/>
      <c r="I125" s="87"/>
      <c r="J125" s="87"/>
      <c r="K125" s="87"/>
    </row>
    <row r="126" spans="1:11" ht="14.45" customHeight="1" x14ac:dyDescent="0.25">
      <c r="A126" s="150" t="s">
        <v>60</v>
      </c>
      <c r="B126" s="151"/>
      <c r="C126" s="151"/>
      <c r="D126" s="151"/>
      <c r="E126" s="151"/>
      <c r="F126" s="151"/>
      <c r="G126" s="151"/>
      <c r="H126" s="151"/>
      <c r="I126" s="151"/>
      <c r="J126" s="151"/>
      <c r="K126" s="152"/>
    </row>
    <row r="127" spans="1:11" ht="105" x14ac:dyDescent="0.25">
      <c r="A127" s="93">
        <v>1</v>
      </c>
      <c r="B127" s="73" t="s">
        <v>275</v>
      </c>
      <c r="C127" s="63" t="s">
        <v>61</v>
      </c>
      <c r="D127" s="75">
        <v>23</v>
      </c>
      <c r="E127" s="75">
        <v>22</v>
      </c>
      <c r="F127" s="75">
        <v>21</v>
      </c>
      <c r="G127" s="75">
        <v>21</v>
      </c>
      <c r="H127" s="75"/>
      <c r="I127" s="75">
        <v>13500</v>
      </c>
      <c r="J127" s="75">
        <v>13564.251200000001</v>
      </c>
      <c r="K127" s="75">
        <v>13564.251200000001</v>
      </c>
    </row>
    <row r="128" spans="1:11" ht="90" x14ac:dyDescent="0.25">
      <c r="A128" s="93">
        <v>2</v>
      </c>
      <c r="B128" s="73" t="s">
        <v>274</v>
      </c>
      <c r="C128" s="63" t="s">
        <v>61</v>
      </c>
      <c r="D128" s="75">
        <v>15</v>
      </c>
      <c r="E128" s="75">
        <v>93</v>
      </c>
      <c r="F128" s="75">
        <v>138</v>
      </c>
      <c r="G128" s="75">
        <v>172</v>
      </c>
      <c r="H128" s="75"/>
      <c r="I128" s="75">
        <v>42859.97</v>
      </c>
      <c r="J128" s="75">
        <v>41575.269999999997</v>
      </c>
      <c r="K128" s="75">
        <v>41575.269999999997</v>
      </c>
    </row>
    <row r="129" spans="1:11" ht="90" x14ac:dyDescent="0.25">
      <c r="A129" s="93">
        <v>3</v>
      </c>
      <c r="B129" s="73" t="s">
        <v>273</v>
      </c>
      <c r="C129" s="63" t="s">
        <v>61</v>
      </c>
      <c r="D129" s="75">
        <v>33</v>
      </c>
      <c r="E129" s="75">
        <v>34</v>
      </c>
      <c r="F129" s="75">
        <v>33</v>
      </c>
      <c r="G129" s="75">
        <v>33</v>
      </c>
      <c r="H129" s="75"/>
      <c r="I129" s="75">
        <v>26100</v>
      </c>
      <c r="J129" s="75">
        <v>25765.200000000001</v>
      </c>
      <c r="K129" s="75">
        <v>25765.200000000001</v>
      </c>
    </row>
    <row r="130" spans="1:11" ht="75" x14ac:dyDescent="0.25">
      <c r="A130" s="93">
        <v>4</v>
      </c>
      <c r="B130" s="73" t="s">
        <v>272</v>
      </c>
      <c r="C130" s="63" t="s">
        <v>61</v>
      </c>
      <c r="D130" s="75">
        <v>16</v>
      </c>
      <c r="E130" s="75">
        <v>6</v>
      </c>
      <c r="F130" s="75">
        <v>8</v>
      </c>
      <c r="G130" s="75">
        <v>8</v>
      </c>
      <c r="H130" s="75"/>
      <c r="I130" s="75">
        <v>12000</v>
      </c>
      <c r="J130" s="75">
        <v>15600</v>
      </c>
      <c r="K130" s="75">
        <v>15600</v>
      </c>
    </row>
    <row r="131" spans="1:11" x14ac:dyDescent="0.25">
      <c r="A131" s="17"/>
      <c r="B131" s="79" t="s">
        <v>0</v>
      </c>
      <c r="C131" s="71"/>
      <c r="D131" s="17" t="s">
        <v>8</v>
      </c>
      <c r="E131" s="17"/>
      <c r="F131" s="17"/>
      <c r="G131" s="17" t="s">
        <v>8</v>
      </c>
      <c r="H131" s="80">
        <f>H127+H128+H129+H130</f>
        <v>0</v>
      </c>
      <c r="I131" s="125">
        <f>SUM(I127:I130)</f>
        <v>94459.97</v>
      </c>
      <c r="J131" s="125">
        <f t="shared" ref="J131:K131" si="5">SUM(J127:J130)</f>
        <v>96504.7212</v>
      </c>
      <c r="K131" s="125">
        <f t="shared" si="5"/>
        <v>96504.7212</v>
      </c>
    </row>
    <row r="132" spans="1:11" ht="14.45" customHeight="1" x14ac:dyDescent="0.25">
      <c r="A132" s="150" t="s">
        <v>253</v>
      </c>
      <c r="B132" s="151"/>
      <c r="C132" s="151"/>
      <c r="D132" s="151"/>
      <c r="E132" s="151"/>
      <c r="F132" s="151"/>
      <c r="G132" s="151"/>
      <c r="H132" s="151"/>
      <c r="I132" s="151"/>
      <c r="J132" s="151"/>
      <c r="K132" s="152"/>
    </row>
    <row r="133" spans="1:11" ht="105" x14ac:dyDescent="0.25">
      <c r="A133" s="95">
        <v>1</v>
      </c>
      <c r="B133" s="90" t="s">
        <v>292</v>
      </c>
      <c r="C133" s="75" t="s">
        <v>293</v>
      </c>
      <c r="D133" s="75">
        <v>4267594</v>
      </c>
      <c r="E133" s="75">
        <v>4534120</v>
      </c>
      <c r="F133" s="75">
        <v>4515866</v>
      </c>
      <c r="G133" s="75">
        <v>4671252</v>
      </c>
      <c r="H133" s="75"/>
      <c r="I133" s="75">
        <v>1345052.7</v>
      </c>
      <c r="J133" s="75">
        <v>1339658.8</v>
      </c>
      <c r="K133" s="75">
        <v>1339658.8</v>
      </c>
    </row>
    <row r="134" spans="1:11" ht="45" x14ac:dyDescent="0.25">
      <c r="A134" s="95">
        <v>2</v>
      </c>
      <c r="B134" s="90" t="s">
        <v>294</v>
      </c>
      <c r="C134" s="75" t="s">
        <v>293</v>
      </c>
      <c r="D134" s="75">
        <v>299</v>
      </c>
      <c r="E134" s="75">
        <v>1244</v>
      </c>
      <c r="F134" s="75">
        <v>1244</v>
      </c>
      <c r="G134" s="75">
        <v>5349</v>
      </c>
      <c r="H134" s="75"/>
      <c r="I134" s="75">
        <v>724.9</v>
      </c>
      <c r="J134" s="75">
        <v>724.9</v>
      </c>
      <c r="K134" s="75">
        <v>724.9</v>
      </c>
    </row>
    <row r="135" spans="1:11" x14ac:dyDescent="0.25">
      <c r="A135" s="17"/>
      <c r="B135" s="79" t="s">
        <v>0</v>
      </c>
      <c r="C135" s="71"/>
      <c r="D135" s="17" t="s">
        <v>8</v>
      </c>
      <c r="E135" s="17"/>
      <c r="F135" s="17"/>
      <c r="G135" s="17" t="s">
        <v>8</v>
      </c>
      <c r="H135" s="80">
        <f>H133+H134</f>
        <v>0</v>
      </c>
      <c r="I135" s="125">
        <f>I133+I134</f>
        <v>1345777.5999999999</v>
      </c>
      <c r="J135" s="125">
        <f>J133+J134</f>
        <v>1340383.7</v>
      </c>
      <c r="K135" s="125">
        <f>K133+K134</f>
        <v>1340383.7</v>
      </c>
    </row>
    <row r="136" spans="1:11" ht="14.45" customHeight="1" x14ac:dyDescent="0.25">
      <c r="A136" s="165" t="s">
        <v>266</v>
      </c>
      <c r="B136" s="166"/>
      <c r="C136" s="166"/>
      <c r="D136" s="166"/>
      <c r="E136" s="166"/>
      <c r="F136" s="166"/>
      <c r="G136" s="166"/>
      <c r="H136" s="166"/>
      <c r="I136" s="166"/>
      <c r="J136" s="166"/>
      <c r="K136" s="166"/>
    </row>
    <row r="137" spans="1:11" ht="45" x14ac:dyDescent="0.25">
      <c r="A137" s="94">
        <v>1</v>
      </c>
      <c r="B137" s="76" t="s">
        <v>133</v>
      </c>
      <c r="C137" s="75" t="s">
        <v>134</v>
      </c>
      <c r="D137" s="75">
        <v>40288</v>
      </c>
      <c r="E137" s="75">
        <v>37830</v>
      </c>
      <c r="F137" s="75">
        <v>37830</v>
      </c>
      <c r="G137" s="75">
        <v>46717</v>
      </c>
      <c r="H137" s="75"/>
      <c r="I137" s="75">
        <v>97121.02</v>
      </c>
      <c r="J137" s="75">
        <v>97121.02</v>
      </c>
      <c r="K137" s="75">
        <v>97121.02</v>
      </c>
    </row>
    <row r="138" spans="1:11" ht="60" x14ac:dyDescent="0.25">
      <c r="A138" s="94">
        <v>2</v>
      </c>
      <c r="B138" s="76" t="s">
        <v>324</v>
      </c>
      <c r="C138" s="75" t="s">
        <v>134</v>
      </c>
      <c r="D138" s="75">
        <v>2473</v>
      </c>
      <c r="E138" s="75">
        <v>2905</v>
      </c>
      <c r="F138" s="75">
        <v>2905</v>
      </c>
      <c r="G138" s="75">
        <v>2911</v>
      </c>
      <c r="H138" s="75"/>
      <c r="I138" s="75">
        <v>135640.79</v>
      </c>
      <c r="J138" s="75">
        <v>135640.79</v>
      </c>
      <c r="K138" s="75">
        <v>135640.79</v>
      </c>
    </row>
    <row r="139" spans="1:11" ht="55.15" customHeight="1" x14ac:dyDescent="0.25">
      <c r="A139" s="94">
        <v>3</v>
      </c>
      <c r="B139" s="76" t="s">
        <v>136</v>
      </c>
      <c r="C139" s="75" t="s">
        <v>137</v>
      </c>
      <c r="D139" s="75">
        <v>119526</v>
      </c>
      <c r="E139" s="75">
        <v>51548</v>
      </c>
      <c r="F139" s="75">
        <v>51729</v>
      </c>
      <c r="G139" s="75">
        <v>46601</v>
      </c>
      <c r="H139" s="75"/>
      <c r="I139" s="75">
        <v>39073.78</v>
      </c>
      <c r="J139" s="75">
        <v>39155.5</v>
      </c>
      <c r="K139" s="75">
        <v>39155.5</v>
      </c>
    </row>
    <row r="140" spans="1:11" ht="75" x14ac:dyDescent="0.25">
      <c r="A140" s="94"/>
      <c r="B140" s="76" t="s">
        <v>136</v>
      </c>
      <c r="C140" s="75" t="s">
        <v>397</v>
      </c>
      <c r="D140" s="75">
        <v>17072</v>
      </c>
      <c r="E140" s="75">
        <v>36656</v>
      </c>
      <c r="F140" s="75">
        <v>36896</v>
      </c>
      <c r="G140" s="75">
        <v>29973</v>
      </c>
      <c r="H140" s="75"/>
      <c r="I140" s="75">
        <v>49842.21</v>
      </c>
      <c r="J140" s="75">
        <v>50058.92</v>
      </c>
      <c r="K140" s="75">
        <v>50058.92</v>
      </c>
    </row>
    <row r="141" spans="1:11" ht="90" x14ac:dyDescent="0.25">
      <c r="A141" s="94">
        <v>4</v>
      </c>
      <c r="B141" s="76" t="s">
        <v>138</v>
      </c>
      <c r="C141" s="75" t="s">
        <v>137</v>
      </c>
      <c r="D141" s="75">
        <v>214177</v>
      </c>
      <c r="E141" s="75">
        <v>17055</v>
      </c>
      <c r="F141" s="75">
        <v>17055</v>
      </c>
      <c r="G141" s="75">
        <v>27193</v>
      </c>
      <c r="H141" s="75"/>
      <c r="I141" s="75">
        <v>6978.9</v>
      </c>
      <c r="J141" s="75">
        <v>6978.9</v>
      </c>
      <c r="K141" s="75">
        <v>6978.9</v>
      </c>
    </row>
    <row r="142" spans="1:11" ht="45" x14ac:dyDescent="0.25">
      <c r="A142" s="94">
        <v>5</v>
      </c>
      <c r="B142" s="76" t="s">
        <v>325</v>
      </c>
      <c r="C142" s="75" t="s">
        <v>137</v>
      </c>
      <c r="D142" s="75">
        <v>238739</v>
      </c>
      <c r="E142" s="75">
        <v>150634</v>
      </c>
      <c r="F142" s="75">
        <v>150402</v>
      </c>
      <c r="G142" s="75">
        <v>147061</v>
      </c>
      <c r="H142" s="75"/>
      <c r="I142" s="75">
        <v>96638.959999999992</v>
      </c>
      <c r="J142" s="75">
        <v>96530.06</v>
      </c>
      <c r="K142" s="75">
        <v>96530.06</v>
      </c>
    </row>
    <row r="143" spans="1:11" ht="45" x14ac:dyDescent="0.25">
      <c r="A143" s="94"/>
      <c r="B143" s="76" t="s">
        <v>325</v>
      </c>
      <c r="C143" s="75" t="s">
        <v>397</v>
      </c>
      <c r="D143" s="75">
        <v>70883</v>
      </c>
      <c r="E143" s="75">
        <v>18824</v>
      </c>
      <c r="F143" s="75">
        <v>18604</v>
      </c>
      <c r="G143" s="75">
        <v>18286</v>
      </c>
      <c r="H143" s="75"/>
      <c r="I143" s="75">
        <v>30879.14</v>
      </c>
      <c r="J143" s="75">
        <v>30569.4</v>
      </c>
      <c r="K143" s="75">
        <v>30569.4</v>
      </c>
    </row>
    <row r="144" spans="1:11" ht="30" x14ac:dyDescent="0.25">
      <c r="A144" s="94">
        <v>6</v>
      </c>
      <c r="B144" s="76" t="s">
        <v>326</v>
      </c>
      <c r="C144" s="75" t="s">
        <v>137</v>
      </c>
      <c r="D144" s="75">
        <v>45858</v>
      </c>
      <c r="E144" s="75">
        <v>127189</v>
      </c>
      <c r="F144" s="75">
        <v>127303</v>
      </c>
      <c r="G144" s="75">
        <v>113632</v>
      </c>
      <c r="H144" s="75"/>
      <c r="I144" s="75">
        <v>67054</v>
      </c>
      <c r="J144" s="75">
        <v>67114.09</v>
      </c>
      <c r="K144" s="75">
        <v>67114.09</v>
      </c>
    </row>
    <row r="145" spans="1:11" ht="30" x14ac:dyDescent="0.25">
      <c r="A145" s="94"/>
      <c r="B145" s="76" t="s">
        <v>326</v>
      </c>
      <c r="C145" s="75" t="s">
        <v>397</v>
      </c>
      <c r="D145" s="75">
        <v>500</v>
      </c>
      <c r="E145" s="75">
        <v>53617</v>
      </c>
      <c r="F145" s="75">
        <v>53552</v>
      </c>
      <c r="G145" s="75">
        <v>48862</v>
      </c>
      <c r="H145" s="75"/>
      <c r="I145" s="75">
        <v>56533.8</v>
      </c>
      <c r="J145" s="75">
        <v>56465.24</v>
      </c>
      <c r="K145" s="75">
        <v>56465.24</v>
      </c>
    </row>
    <row r="146" spans="1:11" ht="60" x14ac:dyDescent="0.25">
      <c r="A146" s="94">
        <v>7</v>
      </c>
      <c r="B146" s="76" t="s">
        <v>141</v>
      </c>
      <c r="C146" s="75" t="s">
        <v>137</v>
      </c>
      <c r="D146" s="75">
        <v>10256</v>
      </c>
      <c r="E146" s="75">
        <v>37904</v>
      </c>
      <c r="F146" s="75">
        <v>38032</v>
      </c>
      <c r="G146" s="75">
        <v>37903</v>
      </c>
      <c r="H146" s="75"/>
      <c r="I146" s="75">
        <v>30380.1</v>
      </c>
      <c r="J146" s="75">
        <v>30482.69</v>
      </c>
      <c r="K146" s="75">
        <v>30482.69</v>
      </c>
    </row>
    <row r="147" spans="1:11" ht="60" x14ac:dyDescent="0.25">
      <c r="A147" s="94"/>
      <c r="B147" s="76" t="s">
        <v>141</v>
      </c>
      <c r="C147" s="75" t="s">
        <v>397</v>
      </c>
      <c r="D147" s="75">
        <v>3616</v>
      </c>
      <c r="E147" s="75">
        <v>14728</v>
      </c>
      <c r="F147" s="75">
        <v>14664</v>
      </c>
      <c r="G147" s="75">
        <v>12884</v>
      </c>
      <c r="H147" s="75"/>
      <c r="I147" s="75">
        <v>23609</v>
      </c>
      <c r="J147" s="75">
        <v>23506.41</v>
      </c>
      <c r="K147" s="75">
        <v>23506.41</v>
      </c>
    </row>
    <row r="148" spans="1:11" ht="45" x14ac:dyDescent="0.25">
      <c r="A148" s="94">
        <v>8</v>
      </c>
      <c r="B148" s="76" t="s">
        <v>142</v>
      </c>
      <c r="C148" s="75" t="s">
        <v>137</v>
      </c>
      <c r="D148" s="75">
        <v>1444</v>
      </c>
      <c r="E148" s="75">
        <v>44297</v>
      </c>
      <c r="F148" s="75">
        <v>44537</v>
      </c>
      <c r="G148" s="75">
        <v>39254</v>
      </c>
      <c r="H148" s="75"/>
      <c r="I148" s="75">
        <v>23752.1</v>
      </c>
      <c r="J148" s="75">
        <v>23880.78</v>
      </c>
      <c r="K148" s="75">
        <v>23880.78</v>
      </c>
    </row>
    <row r="149" spans="1:11" ht="45" x14ac:dyDescent="0.25">
      <c r="A149" s="94">
        <v>9</v>
      </c>
      <c r="B149" s="76" t="s">
        <v>143</v>
      </c>
      <c r="C149" s="75" t="s">
        <v>137</v>
      </c>
      <c r="D149" s="75">
        <v>0</v>
      </c>
      <c r="E149" s="75">
        <v>2000</v>
      </c>
      <c r="F149" s="75">
        <v>2000</v>
      </c>
      <c r="G149" s="75">
        <v>1730</v>
      </c>
      <c r="H149" s="75"/>
      <c r="I149" s="75">
        <v>14030</v>
      </c>
      <c r="J149" s="75">
        <v>14030</v>
      </c>
      <c r="K149" s="75">
        <v>14030</v>
      </c>
    </row>
    <row r="150" spans="1:11" ht="30" x14ac:dyDescent="0.25">
      <c r="A150" s="94">
        <v>10</v>
      </c>
      <c r="B150" s="76" t="s">
        <v>144</v>
      </c>
      <c r="C150" s="75" t="s">
        <v>137</v>
      </c>
      <c r="D150" s="75">
        <v>11761</v>
      </c>
      <c r="E150" s="75">
        <v>1983</v>
      </c>
      <c r="F150" s="75">
        <v>1983</v>
      </c>
      <c r="G150" s="75">
        <v>2014</v>
      </c>
      <c r="H150" s="75"/>
      <c r="I150" s="75">
        <v>827.9</v>
      </c>
      <c r="J150" s="75">
        <v>827.9</v>
      </c>
      <c r="K150" s="75">
        <v>827.9</v>
      </c>
    </row>
    <row r="151" spans="1:11" ht="30" x14ac:dyDescent="0.25">
      <c r="A151" s="94"/>
      <c r="B151" s="76" t="s">
        <v>144</v>
      </c>
      <c r="C151" s="75" t="s">
        <v>397</v>
      </c>
      <c r="D151" s="75">
        <v>391</v>
      </c>
      <c r="E151" s="75">
        <v>6611</v>
      </c>
      <c r="F151" s="75">
        <v>6611</v>
      </c>
      <c r="G151" s="75">
        <v>5522</v>
      </c>
      <c r="H151" s="75"/>
      <c r="I151" s="75">
        <v>5520.2</v>
      </c>
      <c r="J151" s="75">
        <v>5520.2</v>
      </c>
      <c r="K151" s="75">
        <v>5520.2</v>
      </c>
    </row>
    <row r="152" spans="1:11" ht="60" x14ac:dyDescent="0.25">
      <c r="A152" s="94">
        <v>11</v>
      </c>
      <c r="B152" s="76" t="s">
        <v>146</v>
      </c>
      <c r="C152" s="75" t="s">
        <v>137</v>
      </c>
      <c r="D152" s="75">
        <v>308</v>
      </c>
      <c r="E152" s="75">
        <v>1440</v>
      </c>
      <c r="F152" s="75">
        <v>1440</v>
      </c>
      <c r="G152" s="75">
        <v>1444</v>
      </c>
      <c r="H152" s="75"/>
      <c r="I152" s="75">
        <v>10450.1</v>
      </c>
      <c r="J152" s="75">
        <v>10450.1</v>
      </c>
      <c r="K152" s="75">
        <v>10450.1</v>
      </c>
    </row>
    <row r="153" spans="1:11" ht="60" x14ac:dyDescent="0.25">
      <c r="A153" s="94">
        <v>12</v>
      </c>
      <c r="B153" s="76" t="s">
        <v>147</v>
      </c>
      <c r="C153" s="75" t="s">
        <v>137</v>
      </c>
      <c r="D153" s="75">
        <v>944</v>
      </c>
      <c r="E153" s="75">
        <v>6722</v>
      </c>
      <c r="F153" s="75">
        <v>6722</v>
      </c>
      <c r="G153" s="75">
        <v>5993</v>
      </c>
      <c r="H153" s="75"/>
      <c r="I153" s="75">
        <v>7071.1</v>
      </c>
      <c r="J153" s="75">
        <v>7071.1</v>
      </c>
      <c r="K153" s="75">
        <v>7071.1</v>
      </c>
    </row>
    <row r="154" spans="1:11" ht="30" x14ac:dyDescent="0.25">
      <c r="A154" s="94">
        <v>13</v>
      </c>
      <c r="B154" s="76" t="s">
        <v>148</v>
      </c>
      <c r="C154" s="75" t="s">
        <v>137</v>
      </c>
      <c r="D154" s="75">
        <v>960</v>
      </c>
      <c r="E154" s="75">
        <v>8843</v>
      </c>
      <c r="F154" s="75">
        <v>8843</v>
      </c>
      <c r="G154" s="75">
        <v>5806</v>
      </c>
      <c r="H154" s="75"/>
      <c r="I154" s="75">
        <v>3768.9</v>
      </c>
      <c r="J154" s="75">
        <v>3768.9</v>
      </c>
      <c r="K154" s="75">
        <v>3768.9</v>
      </c>
    </row>
    <row r="155" spans="1:11" ht="45" x14ac:dyDescent="0.25">
      <c r="A155" s="94">
        <v>14</v>
      </c>
      <c r="B155" s="76" t="s">
        <v>327</v>
      </c>
      <c r="C155" s="75" t="s">
        <v>150</v>
      </c>
      <c r="D155" s="75">
        <v>56</v>
      </c>
      <c r="E155" s="75">
        <v>390</v>
      </c>
      <c r="F155" s="75">
        <v>390</v>
      </c>
      <c r="G155" s="75">
        <v>390</v>
      </c>
      <c r="H155" s="75"/>
      <c r="I155" s="75">
        <v>7927.52</v>
      </c>
      <c r="J155" s="75">
        <v>7927.52</v>
      </c>
      <c r="K155" s="75">
        <v>7927.52</v>
      </c>
    </row>
    <row r="156" spans="1:11" ht="30" x14ac:dyDescent="0.25">
      <c r="A156" s="94">
        <v>15</v>
      </c>
      <c r="B156" s="76" t="s">
        <v>151</v>
      </c>
      <c r="C156" s="75" t="s">
        <v>150</v>
      </c>
      <c r="D156" s="75">
        <v>16</v>
      </c>
      <c r="E156" s="75">
        <v>442</v>
      </c>
      <c r="F156" s="75">
        <v>422</v>
      </c>
      <c r="G156" s="75">
        <v>422</v>
      </c>
      <c r="H156" s="75"/>
      <c r="I156" s="75">
        <v>7284.82</v>
      </c>
      <c r="J156" s="75">
        <v>6955.19</v>
      </c>
      <c r="K156" s="75">
        <v>6955.19</v>
      </c>
    </row>
    <row r="157" spans="1:11" ht="30" x14ac:dyDescent="0.25">
      <c r="A157" s="94">
        <v>16</v>
      </c>
      <c r="B157" s="76" t="s">
        <v>152</v>
      </c>
      <c r="C157" s="75" t="s">
        <v>150</v>
      </c>
      <c r="D157" s="75">
        <v>38</v>
      </c>
      <c r="E157" s="75">
        <v>912</v>
      </c>
      <c r="F157" s="75">
        <v>236</v>
      </c>
      <c r="G157" s="75">
        <v>135</v>
      </c>
      <c r="H157" s="75"/>
      <c r="I157" s="75">
        <v>10321.68</v>
      </c>
      <c r="J157" s="75">
        <v>2670.9839999999999</v>
      </c>
      <c r="K157" s="75">
        <v>2670.9839999999999</v>
      </c>
    </row>
    <row r="158" spans="1:11" ht="60" x14ac:dyDescent="0.25">
      <c r="A158" s="94">
        <v>17</v>
      </c>
      <c r="B158" s="76" t="s">
        <v>153</v>
      </c>
      <c r="C158" s="75" t="s">
        <v>154</v>
      </c>
      <c r="D158" s="75">
        <f>493+59</f>
        <v>552</v>
      </c>
      <c r="E158" s="75">
        <v>868</v>
      </c>
      <c r="F158" s="75">
        <v>868</v>
      </c>
      <c r="G158" s="75">
        <v>868</v>
      </c>
      <c r="H158" s="75"/>
      <c r="I158" s="75">
        <v>198836.78899999999</v>
      </c>
      <c r="J158" s="75">
        <v>198836.78899999999</v>
      </c>
      <c r="K158" s="75">
        <v>198836.78899999999</v>
      </c>
    </row>
    <row r="159" spans="1:11" ht="60" x14ac:dyDescent="0.25">
      <c r="A159" s="94">
        <v>18</v>
      </c>
      <c r="B159" s="76" t="s">
        <v>332</v>
      </c>
      <c r="C159" s="75" t="s">
        <v>154</v>
      </c>
      <c r="D159" s="75">
        <v>521</v>
      </c>
      <c r="E159" s="75">
        <v>65</v>
      </c>
      <c r="F159" s="75">
        <v>65</v>
      </c>
      <c r="G159" s="75">
        <v>65</v>
      </c>
      <c r="H159" s="75"/>
      <c r="I159" s="75">
        <v>9717.5</v>
      </c>
      <c r="J159" s="75">
        <v>9717.5</v>
      </c>
      <c r="K159" s="75">
        <v>9717.5</v>
      </c>
    </row>
    <row r="160" spans="1:11" ht="60" x14ac:dyDescent="0.25">
      <c r="A160" s="94">
        <v>19</v>
      </c>
      <c r="B160" s="76" t="s">
        <v>333</v>
      </c>
      <c r="C160" s="75" t="s">
        <v>154</v>
      </c>
      <c r="D160" s="75">
        <f>760+124</f>
        <v>884</v>
      </c>
      <c r="E160" s="75">
        <v>16</v>
      </c>
      <c r="F160" s="75">
        <v>16</v>
      </c>
      <c r="G160" s="75">
        <v>16</v>
      </c>
      <c r="H160" s="75">
        <v>16</v>
      </c>
      <c r="I160" s="75">
        <v>4427.84</v>
      </c>
      <c r="J160" s="75">
        <v>4427.84</v>
      </c>
      <c r="K160" s="75">
        <v>4427.84</v>
      </c>
    </row>
    <row r="161" spans="1:11" ht="60" x14ac:dyDescent="0.25">
      <c r="A161" s="94">
        <v>20</v>
      </c>
      <c r="B161" s="76" t="s">
        <v>157</v>
      </c>
      <c r="C161" s="75" t="s">
        <v>154</v>
      </c>
      <c r="D161" s="75">
        <f>205+33</f>
        <v>238</v>
      </c>
      <c r="E161" s="75">
        <v>35</v>
      </c>
      <c r="F161" s="75">
        <v>35</v>
      </c>
      <c r="G161" s="75">
        <v>35</v>
      </c>
      <c r="H161" s="75"/>
      <c r="I161" s="75">
        <v>7654.5</v>
      </c>
      <c r="J161" s="75">
        <v>7654.5</v>
      </c>
      <c r="K161" s="75">
        <v>7654.5</v>
      </c>
    </row>
    <row r="162" spans="1:11" ht="60" x14ac:dyDescent="0.25">
      <c r="A162" s="94">
        <v>21</v>
      </c>
      <c r="B162" s="76" t="s">
        <v>334</v>
      </c>
      <c r="C162" s="75" t="s">
        <v>154</v>
      </c>
      <c r="D162" s="75">
        <v>18</v>
      </c>
      <c r="E162" s="75">
        <v>541</v>
      </c>
      <c r="F162" s="75">
        <v>541</v>
      </c>
      <c r="G162" s="75">
        <v>541</v>
      </c>
      <c r="H162" s="75"/>
      <c r="I162" s="75">
        <v>140365.67730000001</v>
      </c>
      <c r="J162" s="75">
        <v>140365.67730000001</v>
      </c>
      <c r="K162" s="75">
        <v>140365.67730000001</v>
      </c>
    </row>
    <row r="163" spans="1:11" ht="60" x14ac:dyDescent="0.25">
      <c r="A163" s="94">
        <v>22</v>
      </c>
      <c r="B163" s="76" t="s">
        <v>335</v>
      </c>
      <c r="C163" s="75" t="s">
        <v>154</v>
      </c>
      <c r="D163" s="75">
        <v>36</v>
      </c>
      <c r="E163" s="75">
        <v>520</v>
      </c>
      <c r="F163" s="75">
        <v>520</v>
      </c>
      <c r="G163" s="75">
        <v>520</v>
      </c>
      <c r="H163" s="75"/>
      <c r="I163" s="75">
        <v>69368</v>
      </c>
      <c r="J163" s="75">
        <v>69368</v>
      </c>
      <c r="K163" s="75">
        <v>69368</v>
      </c>
    </row>
    <row r="164" spans="1:11" ht="60" x14ac:dyDescent="0.25">
      <c r="A164" s="94">
        <v>23</v>
      </c>
      <c r="B164" s="76" t="s">
        <v>336</v>
      </c>
      <c r="C164" s="75" t="s">
        <v>154</v>
      </c>
      <c r="D164" s="75">
        <v>38</v>
      </c>
      <c r="E164" s="75">
        <v>879</v>
      </c>
      <c r="F164" s="75">
        <v>879</v>
      </c>
      <c r="G164" s="75">
        <v>879</v>
      </c>
      <c r="H164" s="75"/>
      <c r="I164" s="75">
        <v>269473.68400000001</v>
      </c>
      <c r="J164" s="75">
        <v>269473.68400000001</v>
      </c>
      <c r="K164" s="75">
        <v>269473.68400000001</v>
      </c>
    </row>
    <row r="165" spans="1:11" ht="60" x14ac:dyDescent="0.25">
      <c r="A165" s="94">
        <v>24</v>
      </c>
      <c r="B165" s="76" t="s">
        <v>337</v>
      </c>
      <c r="C165" s="75" t="s">
        <v>154</v>
      </c>
      <c r="D165" s="75">
        <v>119</v>
      </c>
      <c r="E165" s="75">
        <v>233</v>
      </c>
      <c r="F165" s="75">
        <v>233</v>
      </c>
      <c r="G165" s="75">
        <v>233</v>
      </c>
      <c r="H165" s="75"/>
      <c r="I165" s="75">
        <v>51881.8</v>
      </c>
      <c r="J165" s="75">
        <v>51881.8</v>
      </c>
      <c r="K165" s="75">
        <v>51881.8</v>
      </c>
    </row>
    <row r="166" spans="1:11" ht="60" x14ac:dyDescent="0.25">
      <c r="A166" s="94">
        <v>25</v>
      </c>
      <c r="B166" s="76" t="s">
        <v>338</v>
      </c>
      <c r="C166" s="75" t="s">
        <v>154</v>
      </c>
      <c r="D166" s="75">
        <v>35</v>
      </c>
      <c r="E166" s="75">
        <v>20</v>
      </c>
      <c r="F166" s="75">
        <v>20</v>
      </c>
      <c r="G166" s="75">
        <v>20</v>
      </c>
      <c r="H166" s="75"/>
      <c r="I166" s="75">
        <v>21316</v>
      </c>
      <c r="J166" s="75">
        <v>21316</v>
      </c>
      <c r="K166" s="75">
        <v>21316</v>
      </c>
    </row>
    <row r="167" spans="1:11" ht="60" x14ac:dyDescent="0.25">
      <c r="A167" s="94">
        <v>26</v>
      </c>
      <c r="B167" s="76" t="s">
        <v>163</v>
      </c>
      <c r="C167" s="75" t="s">
        <v>154</v>
      </c>
      <c r="D167" s="75">
        <v>352</v>
      </c>
      <c r="E167" s="75">
        <v>30</v>
      </c>
      <c r="F167" s="75">
        <v>30</v>
      </c>
      <c r="G167" s="75">
        <v>30</v>
      </c>
      <c r="H167" s="75"/>
      <c r="I167" s="75">
        <v>4705.5</v>
      </c>
      <c r="J167" s="75">
        <v>4705.5</v>
      </c>
      <c r="K167" s="75">
        <v>4705.5</v>
      </c>
    </row>
    <row r="168" spans="1:11" ht="60" x14ac:dyDescent="0.25">
      <c r="A168" s="94">
        <v>27</v>
      </c>
      <c r="B168" s="76" t="s">
        <v>164</v>
      </c>
      <c r="C168" s="75" t="s">
        <v>154</v>
      </c>
      <c r="D168" s="75">
        <v>464</v>
      </c>
      <c r="E168" s="75">
        <v>20</v>
      </c>
      <c r="F168" s="75">
        <v>20</v>
      </c>
      <c r="G168" s="75">
        <v>20</v>
      </c>
      <c r="H168" s="75"/>
      <c r="I168" s="75">
        <v>4136.3999999999996</v>
      </c>
      <c r="J168" s="75">
        <v>4136.3999999999996</v>
      </c>
      <c r="K168" s="75">
        <v>4136.3999999999996</v>
      </c>
    </row>
    <row r="169" spans="1:11" ht="60" x14ac:dyDescent="0.25">
      <c r="A169" s="94">
        <v>28</v>
      </c>
      <c r="B169" s="76" t="s">
        <v>339</v>
      </c>
      <c r="C169" s="75" t="s">
        <v>154</v>
      </c>
      <c r="D169" s="75">
        <v>5576</v>
      </c>
      <c r="E169" s="75">
        <v>112</v>
      </c>
      <c r="F169" s="75">
        <v>112</v>
      </c>
      <c r="G169" s="75">
        <v>112</v>
      </c>
      <c r="H169" s="75"/>
      <c r="I169" s="75">
        <v>13020.759599999999</v>
      </c>
      <c r="J169" s="75">
        <v>13020.759599999999</v>
      </c>
      <c r="K169" s="75">
        <v>13020.759599999999</v>
      </c>
    </row>
    <row r="170" spans="1:11" ht="60" x14ac:dyDescent="0.25">
      <c r="A170" s="94">
        <v>29</v>
      </c>
      <c r="B170" s="76" t="s">
        <v>166</v>
      </c>
      <c r="C170" s="75" t="s">
        <v>154</v>
      </c>
      <c r="D170" s="75">
        <v>2054</v>
      </c>
      <c r="E170" s="75">
        <v>35</v>
      </c>
      <c r="F170" s="75">
        <v>35</v>
      </c>
      <c r="G170" s="75">
        <v>35</v>
      </c>
      <c r="H170" s="75"/>
      <c r="I170" s="75">
        <v>2950.5</v>
      </c>
      <c r="J170" s="75">
        <v>2950.5</v>
      </c>
      <c r="K170" s="75">
        <v>2950.5</v>
      </c>
    </row>
    <row r="171" spans="1:11" ht="90" x14ac:dyDescent="0.25">
      <c r="A171" s="94">
        <v>30</v>
      </c>
      <c r="B171" s="76" t="s">
        <v>328</v>
      </c>
      <c r="C171" s="75" t="s">
        <v>154</v>
      </c>
      <c r="D171" s="75">
        <v>6205</v>
      </c>
      <c r="E171" s="75">
        <v>325</v>
      </c>
      <c r="F171" s="75">
        <v>325</v>
      </c>
      <c r="G171" s="75">
        <v>325</v>
      </c>
      <c r="H171" s="75"/>
      <c r="I171" s="75">
        <v>25814</v>
      </c>
      <c r="J171" s="75">
        <v>25814</v>
      </c>
      <c r="K171" s="75">
        <v>25814</v>
      </c>
    </row>
    <row r="172" spans="1:11" ht="75" x14ac:dyDescent="0.25">
      <c r="A172" s="94">
        <v>31</v>
      </c>
      <c r="B172" s="76" t="s">
        <v>168</v>
      </c>
      <c r="C172" s="75" t="s">
        <v>154</v>
      </c>
      <c r="D172" s="75">
        <v>225</v>
      </c>
      <c r="E172" s="75">
        <v>460</v>
      </c>
      <c r="F172" s="75">
        <v>460</v>
      </c>
      <c r="G172" s="75">
        <v>467</v>
      </c>
      <c r="H172" s="75"/>
      <c r="I172" s="75">
        <v>37862.6</v>
      </c>
      <c r="J172" s="75">
        <v>37862.6</v>
      </c>
      <c r="K172" s="75">
        <v>37862.6</v>
      </c>
    </row>
    <row r="173" spans="1:11" ht="75" x14ac:dyDescent="0.25">
      <c r="A173" s="94">
        <v>32</v>
      </c>
      <c r="B173" s="76" t="s">
        <v>169</v>
      </c>
      <c r="C173" s="75" t="s">
        <v>154</v>
      </c>
      <c r="D173" s="75">
        <v>30193</v>
      </c>
      <c r="E173" s="75">
        <v>5371</v>
      </c>
      <c r="F173" s="75">
        <v>5371</v>
      </c>
      <c r="G173" s="75">
        <v>4812</v>
      </c>
      <c r="H173" s="75"/>
      <c r="I173" s="75">
        <v>222739.78999999998</v>
      </c>
      <c r="J173" s="75">
        <v>222739.78999999998</v>
      </c>
      <c r="K173" s="75">
        <v>222739.78999999998</v>
      </c>
    </row>
    <row r="174" spans="1:11" ht="75" x14ac:dyDescent="0.25">
      <c r="A174" s="94">
        <v>33</v>
      </c>
      <c r="B174" s="76" t="s">
        <v>170</v>
      </c>
      <c r="C174" s="75" t="s">
        <v>154</v>
      </c>
      <c r="D174" s="75">
        <v>168431</v>
      </c>
      <c r="E174" s="75">
        <v>2046</v>
      </c>
      <c r="F174" s="75">
        <v>2046</v>
      </c>
      <c r="G174" s="75">
        <v>1494</v>
      </c>
      <c r="H174" s="75"/>
      <c r="I174" s="75">
        <v>75385.5</v>
      </c>
      <c r="J174" s="75">
        <v>75385.5</v>
      </c>
      <c r="K174" s="75">
        <v>75385.5</v>
      </c>
    </row>
    <row r="175" spans="1:11" ht="60" x14ac:dyDescent="0.25">
      <c r="A175" s="94">
        <v>34</v>
      </c>
      <c r="B175" s="76" t="s">
        <v>171</v>
      </c>
      <c r="C175" s="75" t="s">
        <v>154</v>
      </c>
      <c r="D175" s="75">
        <v>854</v>
      </c>
      <c r="E175" s="75">
        <v>6408</v>
      </c>
      <c r="F175" s="75">
        <v>6408</v>
      </c>
      <c r="G175" s="75">
        <v>6210</v>
      </c>
      <c r="H175" s="75"/>
      <c r="I175" s="75">
        <v>91512.6</v>
      </c>
      <c r="J175" s="75">
        <v>91512.6</v>
      </c>
      <c r="K175" s="75">
        <v>91512.6</v>
      </c>
    </row>
    <row r="176" spans="1:11" ht="105" x14ac:dyDescent="0.25">
      <c r="A176" s="94">
        <v>35</v>
      </c>
      <c r="B176" s="76" t="s">
        <v>172</v>
      </c>
      <c r="C176" s="75" t="s">
        <v>154</v>
      </c>
      <c r="D176" s="75">
        <v>7</v>
      </c>
      <c r="E176" s="75">
        <v>505</v>
      </c>
      <c r="F176" s="75">
        <v>283</v>
      </c>
      <c r="G176" s="75">
        <v>87</v>
      </c>
      <c r="H176" s="75"/>
      <c r="I176" s="75">
        <v>28381</v>
      </c>
      <c r="J176" s="75">
        <v>15904.6</v>
      </c>
      <c r="K176" s="75">
        <v>15904.6</v>
      </c>
    </row>
    <row r="177" spans="1:11" ht="30" x14ac:dyDescent="0.25">
      <c r="A177" s="94">
        <v>36</v>
      </c>
      <c r="B177" s="76" t="s">
        <v>175</v>
      </c>
      <c r="C177" s="75" t="s">
        <v>174</v>
      </c>
      <c r="D177" s="75">
        <v>1553</v>
      </c>
      <c r="E177" s="75">
        <v>169700</v>
      </c>
      <c r="F177" s="75">
        <v>163309</v>
      </c>
      <c r="G177" s="75">
        <v>148791</v>
      </c>
      <c r="H177" s="75"/>
      <c r="I177" s="75">
        <v>442918.8</v>
      </c>
      <c r="J177" s="75">
        <v>430755.12199999997</v>
      </c>
      <c r="K177" s="75">
        <v>430755.12199999997</v>
      </c>
    </row>
    <row r="178" spans="1:11" ht="30" x14ac:dyDescent="0.25">
      <c r="A178" s="94">
        <v>37</v>
      </c>
      <c r="B178" s="76" t="s">
        <v>176</v>
      </c>
      <c r="C178" s="75" t="s">
        <v>177</v>
      </c>
      <c r="D178" s="75">
        <v>3028</v>
      </c>
      <c r="E178" s="75">
        <v>850</v>
      </c>
      <c r="F178" s="75">
        <v>850</v>
      </c>
      <c r="G178" s="75">
        <v>904</v>
      </c>
      <c r="H178" s="75"/>
      <c r="I178" s="75">
        <v>17290.72</v>
      </c>
      <c r="J178" s="75">
        <v>17290.72</v>
      </c>
      <c r="K178" s="75">
        <v>17290.72</v>
      </c>
    </row>
    <row r="179" spans="1:11" ht="30" x14ac:dyDescent="0.25">
      <c r="A179" s="94">
        <v>38</v>
      </c>
      <c r="B179" s="76" t="s">
        <v>178</v>
      </c>
      <c r="C179" s="75" t="s">
        <v>205</v>
      </c>
      <c r="D179" s="75">
        <v>0</v>
      </c>
      <c r="E179" s="75">
        <v>1</v>
      </c>
      <c r="F179" s="75">
        <v>1</v>
      </c>
      <c r="G179" s="75">
        <v>1</v>
      </c>
      <c r="H179" s="75"/>
      <c r="I179" s="75">
        <v>7722.4000000000005</v>
      </c>
      <c r="J179" s="75">
        <v>7722.4000000000005</v>
      </c>
      <c r="K179" s="75">
        <v>7722.4000000000005</v>
      </c>
    </row>
    <row r="180" spans="1:11" ht="75" x14ac:dyDescent="0.25">
      <c r="A180" s="94">
        <v>39</v>
      </c>
      <c r="B180" s="76" t="s">
        <v>329</v>
      </c>
      <c r="C180" s="75" t="s">
        <v>181</v>
      </c>
      <c r="D180" s="75">
        <v>0</v>
      </c>
      <c r="E180" s="75">
        <v>1561</v>
      </c>
      <c r="F180" s="75">
        <v>1561</v>
      </c>
      <c r="G180" s="75">
        <v>1717</v>
      </c>
      <c r="H180" s="75"/>
      <c r="I180" s="75">
        <v>178981.96</v>
      </c>
      <c r="J180" s="75">
        <v>178981.96</v>
      </c>
      <c r="K180" s="75">
        <v>178981.96</v>
      </c>
    </row>
    <row r="181" spans="1:11" ht="45" x14ac:dyDescent="0.25">
      <c r="A181" s="94">
        <v>40</v>
      </c>
      <c r="B181" s="76" t="s">
        <v>182</v>
      </c>
      <c r="C181" s="75" t="s">
        <v>181</v>
      </c>
      <c r="D181" s="75"/>
      <c r="E181" s="75">
        <v>2479</v>
      </c>
      <c r="F181" s="75">
        <v>2479</v>
      </c>
      <c r="G181" s="75">
        <v>3619</v>
      </c>
      <c r="H181" s="75"/>
      <c r="I181" s="75">
        <v>30845.759999999998</v>
      </c>
      <c r="J181" s="75">
        <v>30845.759999999998</v>
      </c>
      <c r="K181" s="75">
        <v>30845.759999999998</v>
      </c>
    </row>
    <row r="182" spans="1:11" ht="60" x14ac:dyDescent="0.25">
      <c r="A182" s="94">
        <v>41</v>
      </c>
      <c r="B182" s="76" t="s">
        <v>330</v>
      </c>
      <c r="C182" s="75" t="s">
        <v>398</v>
      </c>
      <c r="D182" s="75"/>
      <c r="E182" s="75">
        <v>228050</v>
      </c>
      <c r="F182" s="75">
        <v>228050</v>
      </c>
      <c r="G182" s="75">
        <v>238023</v>
      </c>
      <c r="H182" s="75"/>
      <c r="I182" s="75">
        <v>102474.18</v>
      </c>
      <c r="J182" s="75">
        <v>102474.18</v>
      </c>
      <c r="K182" s="75">
        <v>102474.18</v>
      </c>
    </row>
    <row r="183" spans="1:11" ht="75" x14ac:dyDescent="0.25">
      <c r="A183" s="94">
        <v>42</v>
      </c>
      <c r="B183" s="76" t="s">
        <v>331</v>
      </c>
      <c r="C183" s="75" t="s">
        <v>205</v>
      </c>
      <c r="D183" s="75"/>
      <c r="E183" s="75">
        <v>1</v>
      </c>
      <c r="F183" s="75">
        <v>1</v>
      </c>
      <c r="G183" s="75">
        <v>1</v>
      </c>
      <c r="H183" s="75"/>
      <c r="I183" s="75">
        <v>73700</v>
      </c>
      <c r="J183" s="75">
        <v>73700</v>
      </c>
      <c r="K183" s="75">
        <v>73700</v>
      </c>
    </row>
    <row r="184" spans="1:11" s="55" customFormat="1" x14ac:dyDescent="0.25">
      <c r="A184" s="82"/>
      <c r="B184" s="86" t="s">
        <v>0</v>
      </c>
      <c r="C184" s="80"/>
      <c r="D184" s="82" t="s">
        <v>8</v>
      </c>
      <c r="E184" s="82"/>
      <c r="F184" s="82"/>
      <c r="G184" s="82" t="s">
        <v>8</v>
      </c>
      <c r="H184" s="80">
        <f>SUM(H136:H180)</f>
        <v>16</v>
      </c>
      <c r="I184" s="125">
        <f>SUM(I137:I183)</f>
        <v>2858190.2799000004</v>
      </c>
      <c r="J184" s="125">
        <f>SUM(J137:J183)</f>
        <v>2825569.8758999999</v>
      </c>
      <c r="K184" s="125">
        <f>SUM(K137:K183)</f>
        <v>2825569.8758999999</v>
      </c>
    </row>
    <row r="185" spans="1:11" ht="14.45" customHeight="1" x14ac:dyDescent="0.25">
      <c r="A185" s="162" t="s">
        <v>62</v>
      </c>
      <c r="B185" s="163"/>
      <c r="C185" s="163"/>
      <c r="D185" s="163"/>
      <c r="E185" s="163"/>
      <c r="F185" s="163"/>
      <c r="G185" s="163"/>
      <c r="H185" s="163"/>
      <c r="I185" s="163"/>
      <c r="J185" s="163"/>
      <c r="K185" s="163"/>
    </row>
    <row r="186" spans="1:11" ht="45" x14ac:dyDescent="0.25">
      <c r="A186" s="108">
        <v>1</v>
      </c>
      <c r="B186" s="104" t="s">
        <v>63</v>
      </c>
      <c r="C186" s="109" t="s">
        <v>14</v>
      </c>
      <c r="D186" s="109">
        <v>3429</v>
      </c>
      <c r="E186" s="109">
        <v>4045</v>
      </c>
      <c r="F186" s="109">
        <v>4083</v>
      </c>
      <c r="G186" s="110">
        <v>4091</v>
      </c>
      <c r="H186" s="109"/>
      <c r="I186" s="109">
        <v>453312.74</v>
      </c>
      <c r="J186" s="109">
        <v>453312.74</v>
      </c>
      <c r="K186" s="109">
        <v>453312.74</v>
      </c>
    </row>
    <row r="187" spans="1:11" ht="60" x14ac:dyDescent="0.25">
      <c r="A187" s="108">
        <v>2</v>
      </c>
      <c r="B187" s="104" t="s">
        <v>64</v>
      </c>
      <c r="C187" s="109" t="s">
        <v>14</v>
      </c>
      <c r="D187" s="109">
        <v>9709</v>
      </c>
      <c r="E187" s="109">
        <v>10785</v>
      </c>
      <c r="F187" s="109">
        <v>10834</v>
      </c>
      <c r="G187" s="110">
        <v>10881</v>
      </c>
      <c r="H187" s="109"/>
      <c r="I187" s="109">
        <v>1471350.3</v>
      </c>
      <c r="J187" s="109">
        <v>1490271.34</v>
      </c>
      <c r="K187" s="109">
        <v>1490262.34</v>
      </c>
    </row>
    <row r="188" spans="1:11" ht="60" x14ac:dyDescent="0.25">
      <c r="A188" s="108">
        <v>3</v>
      </c>
      <c r="B188" s="104" t="s">
        <v>65</v>
      </c>
      <c r="C188" s="109" t="s">
        <v>14</v>
      </c>
      <c r="D188" s="109">
        <v>1068</v>
      </c>
      <c r="E188" s="109">
        <v>973</v>
      </c>
      <c r="F188" s="109">
        <v>958</v>
      </c>
      <c r="G188" s="110">
        <v>960</v>
      </c>
      <c r="H188" s="109"/>
      <c r="I188" s="109">
        <v>49092.399999999994</v>
      </c>
      <c r="J188" s="109">
        <v>47360.800000000003</v>
      </c>
      <c r="K188" s="109">
        <v>47243.8</v>
      </c>
    </row>
    <row r="189" spans="1:11" ht="60" x14ac:dyDescent="0.25">
      <c r="A189" s="108">
        <v>4</v>
      </c>
      <c r="B189" s="104" t="s">
        <v>66</v>
      </c>
      <c r="C189" s="109" t="s">
        <v>67</v>
      </c>
      <c r="D189" s="109">
        <v>237600</v>
      </c>
      <c r="E189" s="109">
        <v>293400</v>
      </c>
      <c r="F189" s="109">
        <v>300600</v>
      </c>
      <c r="G189" s="110">
        <v>359743</v>
      </c>
      <c r="H189" s="109"/>
      <c r="I189" s="109">
        <v>51931.799999999996</v>
      </c>
      <c r="J189" s="109">
        <v>51703.199999999997</v>
      </c>
      <c r="K189" s="109">
        <v>51703.199999999997</v>
      </c>
    </row>
    <row r="190" spans="1:11" ht="45" x14ac:dyDescent="0.25">
      <c r="A190" s="108">
        <v>5</v>
      </c>
      <c r="B190" s="104" t="s">
        <v>68</v>
      </c>
      <c r="C190" s="109" t="s">
        <v>14</v>
      </c>
      <c r="D190" s="109">
        <v>2336</v>
      </c>
      <c r="E190" s="109">
        <v>2705</v>
      </c>
      <c r="F190" s="109">
        <v>2705</v>
      </c>
      <c r="G190" s="109">
        <v>2705</v>
      </c>
      <c r="H190" s="109"/>
      <c r="I190" s="109">
        <v>636748.9</v>
      </c>
      <c r="J190" s="109">
        <v>628049.30000000005</v>
      </c>
      <c r="K190" s="109">
        <v>628049.30000000005</v>
      </c>
    </row>
    <row r="191" spans="1:11" ht="45" x14ac:dyDescent="0.25">
      <c r="A191" s="108">
        <v>6</v>
      </c>
      <c r="B191" s="104" t="s">
        <v>69</v>
      </c>
      <c r="C191" s="109" t="s">
        <v>14</v>
      </c>
      <c r="D191" s="109">
        <v>28</v>
      </c>
      <c r="E191" s="109">
        <v>72</v>
      </c>
      <c r="F191" s="109">
        <v>72</v>
      </c>
      <c r="G191" s="110">
        <v>72</v>
      </c>
      <c r="H191" s="109"/>
      <c r="I191" s="109">
        <v>5896.8</v>
      </c>
      <c r="J191" s="109">
        <v>5896.8</v>
      </c>
      <c r="K191" s="110">
        <v>5896.8</v>
      </c>
    </row>
    <row r="192" spans="1:11" ht="45" x14ac:dyDescent="0.25">
      <c r="A192" s="108">
        <v>7</v>
      </c>
      <c r="B192" s="104" t="s">
        <v>70</v>
      </c>
      <c r="C192" s="109" t="s">
        <v>14</v>
      </c>
      <c r="D192" s="109">
        <v>1016</v>
      </c>
      <c r="E192" s="109">
        <v>1164</v>
      </c>
      <c r="F192" s="109">
        <v>1164</v>
      </c>
      <c r="G192" s="109">
        <v>1164</v>
      </c>
      <c r="H192" s="109"/>
      <c r="I192" s="109">
        <v>76358.399999999994</v>
      </c>
      <c r="J192" s="109">
        <v>76358.399999999994</v>
      </c>
      <c r="K192" s="110">
        <v>76358.399999999994</v>
      </c>
    </row>
    <row r="193" spans="1:11" ht="45" x14ac:dyDescent="0.25">
      <c r="A193" s="108">
        <v>8</v>
      </c>
      <c r="B193" s="104" t="s">
        <v>71</v>
      </c>
      <c r="C193" s="109" t="s">
        <v>14</v>
      </c>
      <c r="D193" s="109">
        <v>288</v>
      </c>
      <c r="E193" s="109">
        <v>401</v>
      </c>
      <c r="F193" s="109">
        <v>401</v>
      </c>
      <c r="G193" s="109">
        <v>401</v>
      </c>
      <c r="H193" s="109"/>
      <c r="I193" s="109">
        <v>65723.900000000009</v>
      </c>
      <c r="J193" s="109">
        <v>65723.900000000009</v>
      </c>
      <c r="K193" s="110">
        <v>65723.900000000009</v>
      </c>
    </row>
    <row r="194" spans="1:11" ht="30" x14ac:dyDescent="0.25">
      <c r="A194" s="108">
        <v>9</v>
      </c>
      <c r="B194" s="105" t="s">
        <v>72</v>
      </c>
      <c r="C194" s="109" t="s">
        <v>14</v>
      </c>
      <c r="D194" s="109">
        <v>184</v>
      </c>
      <c r="E194" s="109">
        <v>189</v>
      </c>
      <c r="F194" s="109">
        <v>189</v>
      </c>
      <c r="G194" s="109">
        <v>189</v>
      </c>
      <c r="H194" s="109"/>
      <c r="I194" s="109">
        <v>25368.799999999999</v>
      </c>
      <c r="J194" s="109">
        <v>25368.799999999999</v>
      </c>
      <c r="K194" s="109">
        <v>25368.799999999999</v>
      </c>
    </row>
    <row r="195" spans="1:11" ht="60" x14ac:dyDescent="0.25">
      <c r="A195" s="108">
        <v>10</v>
      </c>
      <c r="B195" s="104" t="s">
        <v>73</v>
      </c>
      <c r="C195" s="109" t="s">
        <v>14</v>
      </c>
      <c r="D195" s="109">
        <v>37</v>
      </c>
      <c r="E195" s="109">
        <v>41</v>
      </c>
      <c r="F195" s="109">
        <v>41</v>
      </c>
      <c r="G195" s="109">
        <v>41</v>
      </c>
      <c r="H195" s="109"/>
      <c r="I195" s="109">
        <v>8646.9</v>
      </c>
      <c r="J195" s="109">
        <v>8646.9</v>
      </c>
      <c r="K195" s="110">
        <v>8646.9</v>
      </c>
    </row>
    <row r="196" spans="1:11" ht="45" x14ac:dyDescent="0.25">
      <c r="A196" s="108">
        <v>11</v>
      </c>
      <c r="B196" s="105" t="s">
        <v>74</v>
      </c>
      <c r="C196" s="109" t="s">
        <v>14</v>
      </c>
      <c r="D196" s="109">
        <v>115</v>
      </c>
      <c r="E196" s="109">
        <v>130</v>
      </c>
      <c r="F196" s="109">
        <v>130</v>
      </c>
      <c r="G196" s="110">
        <v>130</v>
      </c>
      <c r="H196" s="109"/>
      <c r="I196" s="109">
        <v>17997.8</v>
      </c>
      <c r="J196" s="109">
        <v>17997.8</v>
      </c>
      <c r="K196" s="109">
        <v>17997.8</v>
      </c>
    </row>
    <row r="197" spans="1:11" ht="30" x14ac:dyDescent="0.25">
      <c r="A197" s="108">
        <v>12</v>
      </c>
      <c r="B197" s="104" t="s">
        <v>75</v>
      </c>
      <c r="C197" s="109" t="s">
        <v>67</v>
      </c>
      <c r="D197" s="109">
        <v>554386</v>
      </c>
      <c r="E197" s="109">
        <v>380994</v>
      </c>
      <c r="F197" s="109">
        <v>380994</v>
      </c>
      <c r="G197" s="109">
        <v>380994</v>
      </c>
      <c r="H197" s="109"/>
      <c r="I197" s="109">
        <v>39459.225000000006</v>
      </c>
      <c r="J197" s="109">
        <v>39459.225000000006</v>
      </c>
      <c r="K197" s="109">
        <v>39459.225000000006</v>
      </c>
    </row>
    <row r="198" spans="1:11" ht="30" x14ac:dyDescent="0.25">
      <c r="A198" s="108">
        <v>13</v>
      </c>
      <c r="B198" s="106" t="s">
        <v>76</v>
      </c>
      <c r="C198" s="109" t="s">
        <v>67</v>
      </c>
      <c r="D198" s="109">
        <v>809300</v>
      </c>
      <c r="E198" s="109">
        <v>187483</v>
      </c>
      <c r="F198" s="109">
        <v>187483</v>
      </c>
      <c r="G198" s="109">
        <v>187483</v>
      </c>
      <c r="H198" s="109"/>
      <c r="I198" s="109">
        <v>19628.174999999999</v>
      </c>
      <c r="J198" s="109">
        <v>19628.174999999999</v>
      </c>
      <c r="K198" s="109">
        <v>19628.174999999999</v>
      </c>
    </row>
    <row r="199" spans="1:11" ht="45" x14ac:dyDescent="0.25">
      <c r="A199" s="108">
        <v>14</v>
      </c>
      <c r="B199" s="104" t="s">
        <v>79</v>
      </c>
      <c r="C199" s="109" t="s">
        <v>14</v>
      </c>
      <c r="D199" s="109">
        <v>316</v>
      </c>
      <c r="E199" s="109">
        <v>384</v>
      </c>
      <c r="F199" s="109">
        <v>386</v>
      </c>
      <c r="G199" s="110">
        <v>406</v>
      </c>
      <c r="H199" s="109"/>
      <c r="I199" s="109">
        <v>393394.1</v>
      </c>
      <c r="J199" s="109">
        <v>395174.5</v>
      </c>
      <c r="K199" s="110">
        <v>395174.5</v>
      </c>
    </row>
    <row r="200" spans="1:11" ht="60" x14ac:dyDescent="0.25">
      <c r="A200" s="108">
        <v>15</v>
      </c>
      <c r="B200" s="107" t="s">
        <v>80</v>
      </c>
      <c r="C200" s="109" t="s">
        <v>14</v>
      </c>
      <c r="D200" s="109">
        <v>11</v>
      </c>
      <c r="E200" s="109">
        <v>8</v>
      </c>
      <c r="F200" s="109">
        <v>8</v>
      </c>
      <c r="G200" s="110">
        <v>13</v>
      </c>
      <c r="H200" s="109"/>
      <c r="I200" s="109">
        <v>7320</v>
      </c>
      <c r="J200" s="109">
        <v>7320</v>
      </c>
      <c r="K200" s="110">
        <v>7320</v>
      </c>
    </row>
    <row r="201" spans="1:11" ht="60" x14ac:dyDescent="0.25">
      <c r="A201" s="108">
        <v>16</v>
      </c>
      <c r="B201" s="107" t="s">
        <v>81</v>
      </c>
      <c r="C201" s="109" t="s">
        <v>14</v>
      </c>
      <c r="D201" s="109">
        <v>284</v>
      </c>
      <c r="E201" s="109">
        <v>255</v>
      </c>
      <c r="F201" s="109">
        <v>298</v>
      </c>
      <c r="G201" s="109">
        <v>298</v>
      </c>
      <c r="H201" s="109"/>
      <c r="I201" s="109">
        <v>16116</v>
      </c>
      <c r="J201" s="109">
        <v>18833.600000000002</v>
      </c>
      <c r="K201" s="110">
        <v>18833.600000000002</v>
      </c>
    </row>
    <row r="202" spans="1:11" ht="60" x14ac:dyDescent="0.25">
      <c r="A202" s="108">
        <v>17</v>
      </c>
      <c r="B202" s="104" t="s">
        <v>82</v>
      </c>
      <c r="C202" s="109" t="s">
        <v>14</v>
      </c>
      <c r="D202" s="109">
        <v>156</v>
      </c>
      <c r="E202" s="109">
        <v>140</v>
      </c>
      <c r="F202" s="109">
        <v>165</v>
      </c>
      <c r="G202" s="110">
        <v>165</v>
      </c>
      <c r="H202" s="109"/>
      <c r="I202" s="109">
        <v>14588</v>
      </c>
      <c r="J202" s="109">
        <v>17193</v>
      </c>
      <c r="K202" s="110">
        <v>17193</v>
      </c>
    </row>
    <row r="203" spans="1:11" ht="45" x14ac:dyDescent="0.25">
      <c r="A203" s="108">
        <v>18</v>
      </c>
      <c r="B203" s="104" t="s">
        <v>83</v>
      </c>
      <c r="C203" s="109" t="s">
        <v>14</v>
      </c>
      <c r="D203" s="109">
        <v>6164</v>
      </c>
      <c r="E203" s="109">
        <v>3660</v>
      </c>
      <c r="F203" s="109">
        <v>3660</v>
      </c>
      <c r="G203" s="110">
        <v>3660</v>
      </c>
      <c r="H203" s="109"/>
      <c r="I203" s="109">
        <v>4459.91</v>
      </c>
      <c r="J203" s="109">
        <v>4459.91</v>
      </c>
      <c r="K203" s="110">
        <v>4459.91</v>
      </c>
    </row>
    <row r="204" spans="1:11" ht="30" x14ac:dyDescent="0.25">
      <c r="A204" s="108">
        <v>19</v>
      </c>
      <c r="B204" s="104" t="s">
        <v>84</v>
      </c>
      <c r="C204" s="109" t="s">
        <v>14</v>
      </c>
      <c r="D204" s="109">
        <v>1250</v>
      </c>
      <c r="E204" s="109">
        <v>1250</v>
      </c>
      <c r="F204" s="109">
        <v>1250</v>
      </c>
      <c r="G204" s="110">
        <v>1250</v>
      </c>
      <c r="H204" s="109"/>
      <c r="I204" s="109">
        <v>10375</v>
      </c>
      <c r="J204" s="109">
        <v>10375</v>
      </c>
      <c r="K204" s="110">
        <v>10375</v>
      </c>
    </row>
    <row r="205" spans="1:11" ht="30" x14ac:dyDescent="0.25">
      <c r="A205" s="108">
        <v>20</v>
      </c>
      <c r="B205" s="104" t="s">
        <v>85</v>
      </c>
      <c r="C205" s="109" t="s">
        <v>14</v>
      </c>
      <c r="D205" s="109">
        <v>25</v>
      </c>
      <c r="E205" s="109">
        <v>25</v>
      </c>
      <c r="F205" s="109">
        <v>25</v>
      </c>
      <c r="G205" s="110">
        <v>25</v>
      </c>
      <c r="H205" s="109"/>
      <c r="I205" s="109">
        <v>1962.5</v>
      </c>
      <c r="J205" s="109">
        <v>1962.5</v>
      </c>
      <c r="K205" s="110">
        <v>1962.5</v>
      </c>
    </row>
    <row r="206" spans="1:11" ht="30" x14ac:dyDescent="0.25">
      <c r="A206" s="108">
        <v>21</v>
      </c>
      <c r="B206" s="104" t="s">
        <v>86</v>
      </c>
      <c r="C206" s="109" t="s">
        <v>67</v>
      </c>
      <c r="D206" s="109">
        <v>493286</v>
      </c>
      <c r="E206" s="109">
        <v>982702</v>
      </c>
      <c r="F206" s="109">
        <v>997823</v>
      </c>
      <c r="G206" s="110">
        <v>997823</v>
      </c>
      <c r="H206" s="109"/>
      <c r="I206" s="109">
        <v>225466.8</v>
      </c>
      <c r="J206" s="109">
        <v>199336.5</v>
      </c>
      <c r="K206" s="110">
        <v>199336.5</v>
      </c>
    </row>
    <row r="207" spans="1:11" ht="45" x14ac:dyDescent="0.25">
      <c r="A207" s="108">
        <v>22</v>
      </c>
      <c r="B207" s="104" t="s">
        <v>87</v>
      </c>
      <c r="C207" s="109" t="s">
        <v>88</v>
      </c>
      <c r="D207" s="109">
        <v>360</v>
      </c>
      <c r="E207" s="109">
        <v>169</v>
      </c>
      <c r="F207" s="109">
        <v>169</v>
      </c>
      <c r="G207" s="109">
        <v>169</v>
      </c>
      <c r="H207" s="109"/>
      <c r="I207" s="109">
        <v>19647.599999999999</v>
      </c>
      <c r="J207" s="109">
        <v>19647.599999999999</v>
      </c>
      <c r="K207" s="109">
        <v>19647.599999999999</v>
      </c>
    </row>
    <row r="208" spans="1:11" ht="45" x14ac:dyDescent="0.25">
      <c r="A208" s="108">
        <v>23</v>
      </c>
      <c r="B208" s="104" t="s">
        <v>87</v>
      </c>
      <c r="C208" s="109" t="s">
        <v>88</v>
      </c>
      <c r="D208" s="109">
        <v>293</v>
      </c>
      <c r="E208" s="109">
        <v>360</v>
      </c>
      <c r="F208" s="109">
        <v>360</v>
      </c>
      <c r="G208" s="110">
        <v>360</v>
      </c>
      <c r="H208" s="109"/>
      <c r="I208" s="109">
        <v>4356</v>
      </c>
      <c r="J208" s="109">
        <v>4356</v>
      </c>
      <c r="K208" s="110">
        <v>4356</v>
      </c>
    </row>
    <row r="209" spans="1:11" ht="30" x14ac:dyDescent="0.25">
      <c r="A209" s="108">
        <v>24</v>
      </c>
      <c r="B209" s="104" t="s">
        <v>89</v>
      </c>
      <c r="C209" s="109" t="s">
        <v>88</v>
      </c>
      <c r="D209" s="109">
        <v>65</v>
      </c>
      <c r="E209" s="109">
        <v>65</v>
      </c>
      <c r="F209" s="109">
        <v>65</v>
      </c>
      <c r="G209" s="110">
        <v>65</v>
      </c>
      <c r="H209" s="109"/>
      <c r="I209" s="109">
        <v>2551.25</v>
      </c>
      <c r="J209" s="109">
        <v>2551.25</v>
      </c>
      <c r="K209" s="110">
        <v>2551.25</v>
      </c>
    </row>
    <row r="210" spans="1:11" ht="30" x14ac:dyDescent="0.25">
      <c r="A210" s="108">
        <v>25</v>
      </c>
      <c r="B210" s="104" t="s">
        <v>90</v>
      </c>
      <c r="C210" s="109" t="s">
        <v>88</v>
      </c>
      <c r="D210" s="109">
        <v>120</v>
      </c>
      <c r="E210" s="109">
        <v>194</v>
      </c>
      <c r="F210" s="109">
        <v>194</v>
      </c>
      <c r="G210" s="109">
        <v>194</v>
      </c>
      <c r="H210" s="109"/>
      <c r="I210" s="109">
        <v>13596.800000000001</v>
      </c>
      <c r="J210" s="109">
        <v>13596.800000000001</v>
      </c>
      <c r="K210" s="109">
        <v>13596.800000000001</v>
      </c>
    </row>
    <row r="211" spans="1:11" x14ac:dyDescent="0.25">
      <c r="A211" s="108">
        <v>26</v>
      </c>
      <c r="B211" s="104" t="s">
        <v>91</v>
      </c>
      <c r="C211" s="109" t="s">
        <v>92</v>
      </c>
      <c r="D211" s="109">
        <v>89384</v>
      </c>
      <c r="E211" s="109">
        <v>103564</v>
      </c>
      <c r="F211" s="109">
        <v>88468</v>
      </c>
      <c r="G211" s="109">
        <v>88468</v>
      </c>
      <c r="H211" s="109"/>
      <c r="I211" s="109">
        <v>231346.1</v>
      </c>
      <c r="J211" s="109">
        <v>210973.79</v>
      </c>
      <c r="K211" s="109">
        <v>210973.79</v>
      </c>
    </row>
    <row r="212" spans="1:11" ht="30" x14ac:dyDescent="0.25">
      <c r="A212" s="108">
        <v>27</v>
      </c>
      <c r="B212" s="104" t="s">
        <v>93</v>
      </c>
      <c r="C212" s="109" t="s">
        <v>14</v>
      </c>
      <c r="D212" s="109">
        <v>296</v>
      </c>
      <c r="E212" s="109">
        <v>294</v>
      </c>
      <c r="F212" s="109">
        <v>294</v>
      </c>
      <c r="G212" s="109">
        <v>294</v>
      </c>
      <c r="H212" s="109"/>
      <c r="I212" s="109">
        <v>30488.6</v>
      </c>
      <c r="J212" s="109">
        <v>30488.6</v>
      </c>
      <c r="K212" s="109">
        <v>30488.6</v>
      </c>
    </row>
    <row r="213" spans="1:11" ht="105" x14ac:dyDescent="0.25">
      <c r="A213" s="108">
        <v>28</v>
      </c>
      <c r="B213" s="104" t="s">
        <v>94</v>
      </c>
      <c r="C213" s="109" t="s">
        <v>14</v>
      </c>
      <c r="D213" s="109">
        <v>111907</v>
      </c>
      <c r="E213" s="109">
        <v>117645</v>
      </c>
      <c r="F213" s="109">
        <v>102295</v>
      </c>
      <c r="G213" s="110">
        <v>103989</v>
      </c>
      <c r="H213" s="109"/>
      <c r="I213" s="109">
        <v>98709.744999999995</v>
      </c>
      <c r="J213" s="109">
        <v>79591.91</v>
      </c>
      <c r="K213" s="109">
        <v>79591.91</v>
      </c>
    </row>
    <row r="214" spans="1:11" ht="30" x14ac:dyDescent="0.25">
      <c r="A214" s="108">
        <v>29</v>
      </c>
      <c r="B214" s="104" t="s">
        <v>95</v>
      </c>
      <c r="C214" s="109" t="s">
        <v>14</v>
      </c>
      <c r="D214" s="109">
        <v>6500</v>
      </c>
      <c r="E214" s="109">
        <v>10769</v>
      </c>
      <c r="F214" s="109">
        <v>10769</v>
      </c>
      <c r="G214" s="110">
        <v>21409</v>
      </c>
      <c r="H214" s="109"/>
      <c r="I214" s="109">
        <v>13592.055</v>
      </c>
      <c r="J214" s="109">
        <v>13592.055</v>
      </c>
      <c r="K214" s="109">
        <v>13592.055</v>
      </c>
    </row>
    <row r="215" spans="1:11" ht="120" x14ac:dyDescent="0.25">
      <c r="A215" s="108">
        <v>30</v>
      </c>
      <c r="B215" s="104" t="s">
        <v>96</v>
      </c>
      <c r="C215" s="109" t="s">
        <v>14</v>
      </c>
      <c r="D215" s="109">
        <v>61643</v>
      </c>
      <c r="E215" s="109">
        <v>97287</v>
      </c>
      <c r="F215" s="109">
        <v>97287</v>
      </c>
      <c r="G215" s="109">
        <v>97287</v>
      </c>
      <c r="H215" s="109"/>
      <c r="I215" s="109">
        <v>91519.4</v>
      </c>
      <c r="J215" s="109">
        <v>91519.4</v>
      </c>
      <c r="K215" s="109">
        <v>91519.4</v>
      </c>
    </row>
    <row r="216" spans="1:11" ht="45" x14ac:dyDescent="0.25">
      <c r="A216" s="108">
        <v>31</v>
      </c>
      <c r="B216" s="104" t="s">
        <v>374</v>
      </c>
      <c r="C216" s="109" t="s">
        <v>375</v>
      </c>
      <c r="D216" s="109">
        <v>83696</v>
      </c>
      <c r="E216" s="109">
        <v>83696</v>
      </c>
      <c r="F216" s="109">
        <v>83696</v>
      </c>
      <c r="G216" s="109">
        <v>86170</v>
      </c>
      <c r="H216" s="110"/>
      <c r="I216" s="110">
        <v>73810.814691627893</v>
      </c>
      <c r="J216" s="110">
        <v>73810.814691627893</v>
      </c>
      <c r="K216" s="110">
        <v>73810.814691627893</v>
      </c>
    </row>
    <row r="217" spans="1:11" ht="45" x14ac:dyDescent="0.25">
      <c r="A217" s="108">
        <v>32</v>
      </c>
      <c r="B217" s="104" t="s">
        <v>376</v>
      </c>
      <c r="C217" s="109" t="s">
        <v>92</v>
      </c>
      <c r="D217" s="109"/>
      <c r="E217" s="109">
        <v>17748</v>
      </c>
      <c r="F217" s="109">
        <v>17748</v>
      </c>
      <c r="G217" s="110">
        <v>18945</v>
      </c>
      <c r="H217" s="110"/>
      <c r="I217" s="110">
        <v>38524.885308372097</v>
      </c>
      <c r="J217" s="110">
        <v>38524.885308372097</v>
      </c>
      <c r="K217" s="110">
        <v>38524.885308372097</v>
      </c>
    </row>
    <row r="218" spans="1:11" ht="60" x14ac:dyDescent="0.25">
      <c r="A218" s="108">
        <v>33</v>
      </c>
      <c r="B218" s="104" t="s">
        <v>377</v>
      </c>
      <c r="C218" s="109" t="s">
        <v>14</v>
      </c>
      <c r="D218" s="109"/>
      <c r="E218" s="109">
        <v>110</v>
      </c>
      <c r="F218" s="109">
        <v>110</v>
      </c>
      <c r="G218" s="109">
        <v>87</v>
      </c>
      <c r="H218" s="110"/>
      <c r="I218" s="110">
        <v>4004</v>
      </c>
      <c r="J218" s="110">
        <v>4004</v>
      </c>
      <c r="K218" s="110">
        <v>3166.8</v>
      </c>
    </row>
    <row r="219" spans="1:11" ht="60" x14ac:dyDescent="0.25">
      <c r="A219" s="108">
        <v>34</v>
      </c>
      <c r="B219" s="104" t="s">
        <v>378</v>
      </c>
      <c r="C219" s="109" t="s">
        <v>92</v>
      </c>
      <c r="D219" s="109"/>
      <c r="E219" s="109">
        <v>9689</v>
      </c>
      <c r="F219" s="109">
        <v>9689</v>
      </c>
      <c r="G219" s="110">
        <v>8618</v>
      </c>
      <c r="H219" s="110"/>
      <c r="I219" s="110">
        <v>9379.7999999999993</v>
      </c>
      <c r="J219" s="110">
        <v>9379.7999999999993</v>
      </c>
      <c r="K219" s="110">
        <v>8343</v>
      </c>
    </row>
    <row r="220" spans="1:11" ht="30" x14ac:dyDescent="0.25">
      <c r="A220" s="108">
        <v>35</v>
      </c>
      <c r="B220" s="104" t="s">
        <v>282</v>
      </c>
      <c r="C220" s="109" t="s">
        <v>14</v>
      </c>
      <c r="D220" s="109">
        <v>0</v>
      </c>
      <c r="E220" s="109">
        <v>18</v>
      </c>
      <c r="F220" s="109">
        <v>19</v>
      </c>
      <c r="G220" s="110">
        <v>21</v>
      </c>
      <c r="H220" s="110"/>
      <c r="I220" s="110">
        <v>15118.3</v>
      </c>
      <c r="J220" s="110">
        <v>16051.5</v>
      </c>
      <c r="K220" s="110">
        <v>16051.5</v>
      </c>
    </row>
    <row r="221" spans="1:11" ht="45" x14ac:dyDescent="0.25">
      <c r="A221" s="108">
        <v>36</v>
      </c>
      <c r="B221" s="111" t="s">
        <v>379</v>
      </c>
      <c r="C221" s="109" t="s">
        <v>14</v>
      </c>
      <c r="D221" s="109"/>
      <c r="E221" s="112">
        <v>44</v>
      </c>
      <c r="F221" s="112">
        <v>44</v>
      </c>
      <c r="G221" s="113">
        <v>44</v>
      </c>
      <c r="H221" s="110"/>
      <c r="I221" s="114">
        <v>33829.199999999997</v>
      </c>
      <c r="J221" s="114">
        <v>33246.6</v>
      </c>
      <c r="K221" s="114">
        <v>33246.6</v>
      </c>
    </row>
    <row r="222" spans="1:11" x14ac:dyDescent="0.25">
      <c r="A222" s="108">
        <v>37</v>
      </c>
      <c r="B222" s="111" t="s">
        <v>380</v>
      </c>
      <c r="C222" s="112" t="s">
        <v>381</v>
      </c>
      <c r="D222" s="109"/>
      <c r="E222" s="112">
        <v>9350</v>
      </c>
      <c r="F222" s="112">
        <v>9350</v>
      </c>
      <c r="G222" s="112">
        <v>9350</v>
      </c>
      <c r="H222" s="110"/>
      <c r="I222" s="114">
        <v>7611.38</v>
      </c>
      <c r="J222" s="114">
        <v>7111.38</v>
      </c>
      <c r="K222" s="114">
        <v>7111.38</v>
      </c>
    </row>
    <row r="223" spans="1:11" x14ac:dyDescent="0.25">
      <c r="A223" s="108">
        <v>38</v>
      </c>
      <c r="B223" s="111" t="s">
        <v>382</v>
      </c>
      <c r="C223" s="109" t="s">
        <v>14</v>
      </c>
      <c r="D223" s="109"/>
      <c r="E223" s="112">
        <v>30</v>
      </c>
      <c r="F223" s="112">
        <v>30</v>
      </c>
      <c r="G223" s="113">
        <v>30</v>
      </c>
      <c r="H223" s="110"/>
      <c r="I223" s="114">
        <v>12131.2</v>
      </c>
      <c r="J223" s="114">
        <v>12131.2</v>
      </c>
      <c r="K223" s="114">
        <v>12131.2</v>
      </c>
    </row>
    <row r="224" spans="1:11" x14ac:dyDescent="0.25">
      <c r="A224" s="108">
        <v>39</v>
      </c>
      <c r="B224" s="111" t="s">
        <v>383</v>
      </c>
      <c r="C224" s="109" t="s">
        <v>14</v>
      </c>
      <c r="D224" s="109"/>
      <c r="E224" s="112">
        <v>1505</v>
      </c>
      <c r="F224" s="112">
        <v>1505</v>
      </c>
      <c r="G224" s="113">
        <v>1505</v>
      </c>
      <c r="H224" s="110"/>
      <c r="I224" s="114">
        <v>477345.7</v>
      </c>
      <c r="J224" s="114">
        <v>457345.7</v>
      </c>
      <c r="K224" s="114">
        <v>457345.7</v>
      </c>
    </row>
    <row r="225" spans="1:11" ht="30" x14ac:dyDescent="0.25">
      <c r="A225" s="108">
        <v>40</v>
      </c>
      <c r="B225" s="111" t="s">
        <v>384</v>
      </c>
      <c r="C225" s="109" t="s">
        <v>14</v>
      </c>
      <c r="D225" s="109"/>
      <c r="E225" s="112">
        <v>35</v>
      </c>
      <c r="F225" s="112">
        <v>35</v>
      </c>
      <c r="G225" s="113">
        <v>35</v>
      </c>
      <c r="H225" s="110"/>
      <c r="I225" s="114">
        <v>38124.300000000003</v>
      </c>
      <c r="J225" s="114">
        <v>38124.300000000003</v>
      </c>
      <c r="K225" s="114">
        <v>38124.300000000003</v>
      </c>
    </row>
    <row r="226" spans="1:11" ht="60" x14ac:dyDescent="0.25">
      <c r="A226" s="108">
        <v>41</v>
      </c>
      <c r="B226" s="104" t="s">
        <v>385</v>
      </c>
      <c r="C226" s="109" t="s">
        <v>14</v>
      </c>
      <c r="D226" s="109"/>
      <c r="E226" s="115">
        <v>942</v>
      </c>
      <c r="F226" s="115">
        <v>942</v>
      </c>
      <c r="G226" s="115">
        <v>942</v>
      </c>
      <c r="H226" s="110"/>
      <c r="I226" s="116">
        <v>377645.42000000004</v>
      </c>
      <c r="J226" s="116">
        <v>375514.51999999979</v>
      </c>
      <c r="K226" s="116">
        <v>375514.51999999979</v>
      </c>
    </row>
    <row r="227" spans="1:11" ht="75" x14ac:dyDescent="0.25">
      <c r="A227" s="108">
        <v>42</v>
      </c>
      <c r="B227" s="104" t="s">
        <v>386</v>
      </c>
      <c r="C227" s="109" t="s">
        <v>14</v>
      </c>
      <c r="D227" s="109"/>
      <c r="E227" s="115">
        <v>870</v>
      </c>
      <c r="F227" s="115">
        <v>870</v>
      </c>
      <c r="G227" s="115">
        <v>870</v>
      </c>
      <c r="H227" s="110"/>
      <c r="I227" s="114">
        <v>396806.31</v>
      </c>
      <c r="J227" s="114">
        <v>391806.31</v>
      </c>
      <c r="K227" s="114">
        <v>391806.31</v>
      </c>
    </row>
    <row r="228" spans="1:11" ht="45" x14ac:dyDescent="0.25">
      <c r="A228" s="108">
        <v>43</v>
      </c>
      <c r="B228" s="104" t="s">
        <v>387</v>
      </c>
      <c r="C228" s="109" t="s">
        <v>14</v>
      </c>
      <c r="D228" s="109"/>
      <c r="E228" s="115">
        <v>384</v>
      </c>
      <c r="F228" s="115">
        <v>384</v>
      </c>
      <c r="G228" s="117">
        <v>384</v>
      </c>
      <c r="H228" s="110"/>
      <c r="I228" s="114">
        <v>80808.13</v>
      </c>
      <c r="J228" s="114">
        <v>75808.13</v>
      </c>
      <c r="K228" s="114">
        <v>75808.13</v>
      </c>
    </row>
    <row r="229" spans="1:11" ht="60" x14ac:dyDescent="0.25">
      <c r="A229" s="108">
        <v>44</v>
      </c>
      <c r="B229" s="118" t="s">
        <v>388</v>
      </c>
      <c r="C229" s="109" t="s">
        <v>14</v>
      </c>
      <c r="D229" s="109"/>
      <c r="E229" s="115">
        <v>2</v>
      </c>
      <c r="F229" s="115">
        <v>2</v>
      </c>
      <c r="G229" s="117">
        <v>2</v>
      </c>
      <c r="H229" s="110"/>
      <c r="I229" s="114">
        <v>842.95</v>
      </c>
      <c r="J229" s="114">
        <v>842.95</v>
      </c>
      <c r="K229" s="114">
        <v>842.95</v>
      </c>
    </row>
    <row r="230" spans="1:11" ht="45" x14ac:dyDescent="0.25">
      <c r="A230" s="108">
        <v>45</v>
      </c>
      <c r="B230" s="119" t="s">
        <v>389</v>
      </c>
      <c r="C230" s="109" t="s">
        <v>14</v>
      </c>
      <c r="D230" s="109"/>
      <c r="E230" s="115">
        <v>136</v>
      </c>
      <c r="F230" s="115">
        <v>136</v>
      </c>
      <c r="G230" s="117">
        <v>136</v>
      </c>
      <c r="H230" s="110"/>
      <c r="I230" s="114">
        <v>23347.66</v>
      </c>
      <c r="J230" s="114">
        <v>23347.66</v>
      </c>
      <c r="K230" s="114">
        <v>23347.66</v>
      </c>
    </row>
    <row r="231" spans="1:11" ht="60" x14ac:dyDescent="0.25">
      <c r="A231" s="108">
        <v>46</v>
      </c>
      <c r="B231" s="104" t="s">
        <v>390</v>
      </c>
      <c r="C231" s="109" t="s">
        <v>14</v>
      </c>
      <c r="D231" s="109"/>
      <c r="E231" s="115">
        <v>61</v>
      </c>
      <c r="F231" s="115">
        <v>61</v>
      </c>
      <c r="G231" s="117">
        <v>61</v>
      </c>
      <c r="H231" s="110"/>
      <c r="I231" s="114">
        <v>15356.8</v>
      </c>
      <c r="J231" s="114">
        <v>15356.8</v>
      </c>
      <c r="K231" s="114">
        <v>15356.8</v>
      </c>
    </row>
    <row r="232" spans="1:11" ht="45" x14ac:dyDescent="0.25">
      <c r="A232" s="108">
        <v>47</v>
      </c>
      <c r="B232" s="104" t="s">
        <v>391</v>
      </c>
      <c r="C232" s="109" t="s">
        <v>14</v>
      </c>
      <c r="D232" s="109"/>
      <c r="E232" s="115">
        <v>92</v>
      </c>
      <c r="F232" s="115">
        <v>92</v>
      </c>
      <c r="G232" s="117">
        <v>92</v>
      </c>
      <c r="H232" s="110"/>
      <c r="I232" s="114">
        <v>31466.54</v>
      </c>
      <c r="J232" s="114">
        <v>31466.54</v>
      </c>
      <c r="K232" s="114">
        <v>31466.54</v>
      </c>
    </row>
    <row r="233" spans="1:11" ht="75" x14ac:dyDescent="0.25">
      <c r="A233" s="108">
        <v>48</v>
      </c>
      <c r="B233" s="104" t="s">
        <v>392</v>
      </c>
      <c r="C233" s="109" t="s">
        <v>14</v>
      </c>
      <c r="D233" s="109"/>
      <c r="E233" s="115">
        <v>180</v>
      </c>
      <c r="F233" s="115">
        <v>180</v>
      </c>
      <c r="G233" s="117">
        <v>180</v>
      </c>
      <c r="H233" s="110"/>
      <c r="I233" s="114">
        <v>54500.94</v>
      </c>
      <c r="J233" s="114">
        <v>54500.94</v>
      </c>
      <c r="K233" s="114">
        <v>54500.94</v>
      </c>
    </row>
    <row r="234" spans="1:11" ht="75" x14ac:dyDescent="0.25">
      <c r="A234" s="108">
        <v>49</v>
      </c>
      <c r="B234" s="104" t="s">
        <v>393</v>
      </c>
      <c r="C234" s="109" t="s">
        <v>14</v>
      </c>
      <c r="D234" s="109"/>
      <c r="E234" s="115">
        <v>448</v>
      </c>
      <c r="F234" s="115">
        <v>448</v>
      </c>
      <c r="G234" s="115">
        <v>448</v>
      </c>
      <c r="H234" s="110"/>
      <c r="I234" s="114">
        <v>177862.14</v>
      </c>
      <c r="J234" s="114">
        <v>172862.14</v>
      </c>
      <c r="K234" s="114">
        <v>172862.14</v>
      </c>
    </row>
    <row r="235" spans="1:11" ht="45" x14ac:dyDescent="0.25">
      <c r="A235" s="108">
        <v>50</v>
      </c>
      <c r="B235" s="111" t="s">
        <v>394</v>
      </c>
      <c r="C235" s="109" t="s">
        <v>14</v>
      </c>
      <c r="D235" s="109"/>
      <c r="E235" s="115">
        <v>16</v>
      </c>
      <c r="F235" s="115">
        <v>16</v>
      </c>
      <c r="G235" s="115">
        <v>16</v>
      </c>
      <c r="H235" s="110"/>
      <c r="I235" s="114">
        <v>15340.26</v>
      </c>
      <c r="J235" s="114">
        <v>15340.26</v>
      </c>
      <c r="K235" s="114">
        <v>15340.26</v>
      </c>
    </row>
    <row r="236" spans="1:11" ht="90" x14ac:dyDescent="0.25">
      <c r="A236" s="108">
        <v>51</v>
      </c>
      <c r="B236" s="111" t="s">
        <v>395</v>
      </c>
      <c r="C236" s="109" t="s">
        <v>14</v>
      </c>
      <c r="D236" s="109"/>
      <c r="E236" s="115">
        <v>16</v>
      </c>
      <c r="F236" s="115">
        <v>16</v>
      </c>
      <c r="G236" s="115">
        <v>16</v>
      </c>
      <c r="H236" s="110"/>
      <c r="I236" s="114">
        <v>15232.72</v>
      </c>
      <c r="J236" s="114">
        <v>15232.72</v>
      </c>
      <c r="K236" s="114">
        <v>15232.72</v>
      </c>
    </row>
    <row r="237" spans="1:11" ht="75" x14ac:dyDescent="0.25">
      <c r="A237" s="108">
        <v>52</v>
      </c>
      <c r="B237" s="111" t="s">
        <v>396</v>
      </c>
      <c r="C237" s="109" t="s">
        <v>14</v>
      </c>
      <c r="D237" s="109"/>
      <c r="E237" s="115">
        <v>3</v>
      </c>
      <c r="F237" s="115">
        <v>3</v>
      </c>
      <c r="G237" s="115">
        <v>3</v>
      </c>
      <c r="H237" s="110"/>
      <c r="I237" s="114">
        <v>2925.33</v>
      </c>
      <c r="J237" s="114">
        <v>2925.33</v>
      </c>
      <c r="K237" s="114">
        <v>2925.33</v>
      </c>
    </row>
    <row r="238" spans="1:11" x14ac:dyDescent="0.25">
      <c r="A238" s="120"/>
      <c r="B238" s="121" t="s">
        <v>0</v>
      </c>
      <c r="C238" s="122"/>
      <c r="D238" s="120" t="s">
        <v>8</v>
      </c>
      <c r="E238" s="120"/>
      <c r="F238" s="120"/>
      <c r="G238" s="120" t="s">
        <v>8</v>
      </c>
      <c r="H238" s="123">
        <v>0</v>
      </c>
      <c r="I238" s="125">
        <v>6003020.7799999984</v>
      </c>
      <c r="J238" s="125">
        <v>5915484.2749999985</v>
      </c>
      <c r="K238" s="125">
        <v>5913484.2749999985</v>
      </c>
    </row>
    <row r="239" spans="1:11" ht="15" customHeight="1" x14ac:dyDescent="0.25">
      <c r="A239" s="150" t="s">
        <v>357</v>
      </c>
      <c r="B239" s="151"/>
      <c r="C239" s="151"/>
      <c r="D239" s="151"/>
      <c r="E239" s="151"/>
      <c r="F239" s="151"/>
      <c r="G239" s="151"/>
      <c r="H239" s="151"/>
      <c r="I239" s="151"/>
      <c r="J239" s="151"/>
      <c r="K239" s="152"/>
    </row>
    <row r="240" spans="1:11" ht="105" x14ac:dyDescent="0.25">
      <c r="A240" s="93">
        <v>1</v>
      </c>
      <c r="B240" s="41" t="s">
        <v>307</v>
      </c>
      <c r="C240" s="12" t="s">
        <v>99</v>
      </c>
      <c r="D240" s="65"/>
      <c r="E240" s="127">
        <v>155</v>
      </c>
      <c r="F240" s="127">
        <v>155</v>
      </c>
      <c r="G240" s="127">
        <v>153</v>
      </c>
      <c r="H240" s="126"/>
      <c r="I240" s="126">
        <v>37132.634059999997</v>
      </c>
      <c r="J240" s="126">
        <v>38912.965830000001</v>
      </c>
      <c r="K240" s="126">
        <v>38912.965830000001</v>
      </c>
    </row>
    <row r="241" spans="1:11" ht="90" x14ac:dyDescent="0.25">
      <c r="A241" s="93">
        <v>2</v>
      </c>
      <c r="B241" s="41" t="s">
        <v>308</v>
      </c>
      <c r="C241" s="12" t="s">
        <v>99</v>
      </c>
      <c r="D241" s="65"/>
      <c r="E241" s="127">
        <v>59</v>
      </c>
      <c r="F241" s="127">
        <v>59</v>
      </c>
      <c r="G241" s="127">
        <v>55</v>
      </c>
      <c r="H241" s="126"/>
      <c r="I241" s="126">
        <f>895.17+7830.6162</f>
        <v>8725.7862000000005</v>
      </c>
      <c r="J241" s="126">
        <v>7830.6162000000004</v>
      </c>
      <c r="K241" s="126">
        <v>7830.6162000000004</v>
      </c>
    </row>
    <row r="242" spans="1:11" ht="105" x14ac:dyDescent="0.25">
      <c r="A242" s="93">
        <v>3</v>
      </c>
      <c r="B242" s="41" t="s">
        <v>309</v>
      </c>
      <c r="C242" s="12" t="s">
        <v>99</v>
      </c>
      <c r="D242" s="65"/>
      <c r="E242" s="127">
        <v>84</v>
      </c>
      <c r="F242" s="127">
        <v>84</v>
      </c>
      <c r="G242" s="127">
        <v>90</v>
      </c>
      <c r="H242" s="126"/>
      <c r="I242" s="126">
        <v>8028.0337199999994</v>
      </c>
      <c r="J242" s="126">
        <v>8601.4646999999986</v>
      </c>
      <c r="K242" s="126">
        <v>8601.4646999999986</v>
      </c>
    </row>
    <row r="243" spans="1:11" ht="90" x14ac:dyDescent="0.25">
      <c r="A243" s="93">
        <v>4</v>
      </c>
      <c r="B243" s="41" t="s">
        <v>310</v>
      </c>
      <c r="C243" s="12" t="s">
        <v>99</v>
      </c>
      <c r="D243" s="65"/>
      <c r="E243" s="127">
        <v>38</v>
      </c>
      <c r="F243" s="127">
        <v>38</v>
      </c>
      <c r="G243" s="127">
        <v>40</v>
      </c>
      <c r="H243" s="126"/>
      <c r="I243" s="126">
        <v>13896.562669999999</v>
      </c>
      <c r="J243" s="126">
        <v>18056.439600000002</v>
      </c>
      <c r="K243" s="126">
        <v>18056.439600000002</v>
      </c>
    </row>
    <row r="244" spans="1:11" ht="90" x14ac:dyDescent="0.25">
      <c r="A244" s="93">
        <v>5</v>
      </c>
      <c r="B244" s="41" t="s">
        <v>103</v>
      </c>
      <c r="C244" s="12" t="s">
        <v>99</v>
      </c>
      <c r="D244" s="65"/>
      <c r="E244" s="127">
        <v>36</v>
      </c>
      <c r="F244" s="127">
        <v>36</v>
      </c>
      <c r="G244" s="127">
        <v>36</v>
      </c>
      <c r="H244" s="126"/>
      <c r="I244" s="126">
        <v>19277.30673</v>
      </c>
      <c r="J244" s="126">
        <v>21029.789160000004</v>
      </c>
      <c r="K244" s="126">
        <v>21029.789160000004</v>
      </c>
    </row>
    <row r="245" spans="1:11" ht="105" x14ac:dyDescent="0.25">
      <c r="A245" s="93">
        <v>6</v>
      </c>
      <c r="B245" s="41" t="s">
        <v>311</v>
      </c>
      <c r="C245" s="12" t="s">
        <v>99</v>
      </c>
      <c r="D245" s="65"/>
      <c r="E245" s="127">
        <v>70</v>
      </c>
      <c r="F245" s="127">
        <v>70</v>
      </c>
      <c r="G245" s="127">
        <v>70</v>
      </c>
      <c r="H245" s="126"/>
      <c r="I245" s="126">
        <v>23790.041079999999</v>
      </c>
      <c r="J245" s="126">
        <v>24855.266800000001</v>
      </c>
      <c r="K245" s="126">
        <v>24855.266800000001</v>
      </c>
    </row>
    <row r="246" spans="1:11" ht="90" x14ac:dyDescent="0.25">
      <c r="A246" s="93">
        <v>7</v>
      </c>
      <c r="B246" s="41" t="s">
        <v>312</v>
      </c>
      <c r="C246" s="12" t="s">
        <v>99</v>
      </c>
      <c r="D246" s="65"/>
      <c r="E246" s="127">
        <v>48</v>
      </c>
      <c r="F246" s="127">
        <v>48</v>
      </c>
      <c r="G246" s="127">
        <v>46</v>
      </c>
      <c r="H246" s="126"/>
      <c r="I246" s="126">
        <v>17448.461039999998</v>
      </c>
      <c r="J246" s="126">
        <v>16448.461039999998</v>
      </c>
      <c r="K246" s="126">
        <v>16448.461039999998</v>
      </c>
    </row>
    <row r="247" spans="1:11" ht="45" x14ac:dyDescent="0.25">
      <c r="A247" s="93">
        <v>8</v>
      </c>
      <c r="B247" s="41" t="s">
        <v>313</v>
      </c>
      <c r="C247" s="12" t="s">
        <v>347</v>
      </c>
      <c r="D247" s="65"/>
      <c r="E247" s="127">
        <v>3600</v>
      </c>
      <c r="F247" s="127">
        <v>3600</v>
      </c>
      <c r="G247" s="127">
        <v>8136</v>
      </c>
      <c r="H247" s="126"/>
      <c r="I247" s="126">
        <v>529.24199999999996</v>
      </c>
      <c r="J247" s="126">
        <v>838.92</v>
      </c>
      <c r="K247" s="126">
        <v>838.92</v>
      </c>
    </row>
    <row r="248" spans="1:11" ht="30" x14ac:dyDescent="0.25">
      <c r="A248" s="93">
        <v>9</v>
      </c>
      <c r="B248" s="81" t="s">
        <v>348</v>
      </c>
      <c r="C248" s="75" t="s">
        <v>99</v>
      </c>
      <c r="D248" s="65"/>
      <c r="E248" s="127">
        <v>147254</v>
      </c>
      <c r="F248" s="127">
        <v>147254</v>
      </c>
      <c r="G248" s="127">
        <v>185389</v>
      </c>
      <c r="H248" s="126"/>
      <c r="I248" s="126">
        <v>126950.5</v>
      </c>
      <c r="J248" s="126">
        <f>179827.35-20000</f>
        <v>159827.35</v>
      </c>
      <c r="K248" s="126">
        <v>159827.35</v>
      </c>
    </row>
    <row r="249" spans="1:11" ht="30" x14ac:dyDescent="0.25">
      <c r="A249" s="93">
        <v>10</v>
      </c>
      <c r="B249" s="81" t="s">
        <v>349</v>
      </c>
      <c r="C249" s="75" t="s">
        <v>99</v>
      </c>
      <c r="D249" s="65"/>
      <c r="E249" s="127">
        <v>56562</v>
      </c>
      <c r="F249" s="127">
        <v>56562</v>
      </c>
      <c r="G249" s="127">
        <v>47964</v>
      </c>
      <c r="H249" s="126"/>
      <c r="I249" s="126">
        <f>54713.17+6392.36</f>
        <v>61105.53</v>
      </c>
      <c r="J249" s="126">
        <f>54713.17+2226.3</f>
        <v>56939.47</v>
      </c>
      <c r="K249" s="126">
        <v>56939.47</v>
      </c>
    </row>
    <row r="250" spans="1:11" ht="30" x14ac:dyDescent="0.25">
      <c r="A250" s="93">
        <v>11</v>
      </c>
      <c r="B250" s="81" t="s">
        <v>350</v>
      </c>
      <c r="C250" s="75" t="s">
        <v>99</v>
      </c>
      <c r="D250" s="65"/>
      <c r="E250" s="127">
        <v>19582</v>
      </c>
      <c r="F250" s="127">
        <v>19582</v>
      </c>
      <c r="G250" s="127">
        <v>21521</v>
      </c>
      <c r="H250" s="126"/>
      <c r="I250" s="126">
        <v>62221.37</v>
      </c>
      <c r="J250" s="126">
        <f>68585.85-203.37</f>
        <v>68382.48000000001</v>
      </c>
      <c r="K250" s="126">
        <v>68382.48000000001</v>
      </c>
    </row>
    <row r="251" spans="1:11" ht="30" x14ac:dyDescent="0.25">
      <c r="A251" s="93">
        <v>12</v>
      </c>
      <c r="B251" s="81" t="s">
        <v>351</v>
      </c>
      <c r="C251" s="75" t="s">
        <v>99</v>
      </c>
      <c r="D251" s="65"/>
      <c r="E251" s="127">
        <v>48850</v>
      </c>
      <c r="F251" s="127">
        <v>48850</v>
      </c>
      <c r="G251" s="127">
        <v>57412</v>
      </c>
      <c r="H251" s="126"/>
      <c r="I251" s="126">
        <f>27528.31+420</f>
        <v>27948.31</v>
      </c>
      <c r="J251" s="126">
        <f>32846.83+700</f>
        <v>33546.83</v>
      </c>
      <c r="K251" s="126">
        <v>33546.83</v>
      </c>
    </row>
    <row r="252" spans="1:11" ht="30" x14ac:dyDescent="0.25">
      <c r="A252" s="93">
        <v>13</v>
      </c>
      <c r="B252" s="81" t="s">
        <v>352</v>
      </c>
      <c r="C252" s="75" t="s">
        <v>99</v>
      </c>
      <c r="D252" s="65"/>
      <c r="E252" s="127">
        <v>3050</v>
      </c>
      <c r="F252" s="127">
        <v>3050</v>
      </c>
      <c r="G252" s="127">
        <v>4761</v>
      </c>
      <c r="H252" s="126"/>
      <c r="I252" s="126">
        <f>21460.61+28.26</f>
        <v>21488.87</v>
      </c>
      <c r="J252" s="126">
        <f>31053.99+62.9</f>
        <v>31116.890000000003</v>
      </c>
      <c r="K252" s="126">
        <v>31116.890000000003</v>
      </c>
    </row>
    <row r="253" spans="1:11" x14ac:dyDescent="0.25">
      <c r="A253" s="93">
        <v>14</v>
      </c>
      <c r="B253" s="81" t="s">
        <v>314</v>
      </c>
      <c r="C253" s="75" t="s">
        <v>317</v>
      </c>
      <c r="D253" s="65"/>
      <c r="E253" s="127">
        <v>18</v>
      </c>
      <c r="F253" s="127">
        <v>18</v>
      </c>
      <c r="G253" s="127">
        <v>17</v>
      </c>
      <c r="H253" s="126"/>
      <c r="I253" s="126">
        <v>153651.23000000001</v>
      </c>
      <c r="J253" s="126">
        <v>153651.23000000001</v>
      </c>
      <c r="K253" s="126">
        <v>153651.23000000001</v>
      </c>
    </row>
    <row r="254" spans="1:11" ht="30" x14ac:dyDescent="0.25">
      <c r="A254" s="93">
        <v>15</v>
      </c>
      <c r="B254" s="81" t="s">
        <v>315</v>
      </c>
      <c r="C254" s="75" t="s">
        <v>318</v>
      </c>
      <c r="D254" s="65"/>
      <c r="E254" s="127">
        <v>56</v>
      </c>
      <c r="F254" s="127">
        <v>56</v>
      </c>
      <c r="G254" s="127">
        <v>56</v>
      </c>
      <c r="H254" s="126"/>
      <c r="I254" s="126">
        <v>45396.12</v>
      </c>
      <c r="J254" s="126">
        <v>45396.12</v>
      </c>
      <c r="K254" s="126">
        <v>45396.12</v>
      </c>
    </row>
    <row r="255" spans="1:11" ht="45" x14ac:dyDescent="0.25">
      <c r="A255" s="93">
        <v>16</v>
      </c>
      <c r="B255" s="81" t="s">
        <v>353</v>
      </c>
      <c r="C255" s="75" t="s">
        <v>99</v>
      </c>
      <c r="D255" s="65"/>
      <c r="E255" s="127">
        <v>417</v>
      </c>
      <c r="F255" s="127">
        <v>417</v>
      </c>
      <c r="G255" s="127">
        <v>417</v>
      </c>
      <c r="H255" s="126"/>
      <c r="I255" s="126">
        <v>68789.899999999994</v>
      </c>
      <c r="J255" s="126">
        <v>68789.899999999994</v>
      </c>
      <c r="K255" s="126">
        <v>68789.899999999994</v>
      </c>
    </row>
    <row r="256" spans="1:11" ht="23.25" customHeight="1" x14ac:dyDescent="0.25">
      <c r="A256" s="93">
        <v>17</v>
      </c>
      <c r="B256" s="81" t="s">
        <v>354</v>
      </c>
      <c r="C256" s="75" t="s">
        <v>355</v>
      </c>
      <c r="D256" s="65"/>
      <c r="E256" s="127">
        <v>147</v>
      </c>
      <c r="F256" s="127">
        <v>147</v>
      </c>
      <c r="G256" s="127">
        <v>147</v>
      </c>
      <c r="H256" s="126"/>
      <c r="I256" s="126">
        <f>20000+34045.53+20307</f>
        <v>74352.53</v>
      </c>
      <c r="J256" s="126">
        <v>74352.53</v>
      </c>
      <c r="K256" s="126">
        <v>74352.53</v>
      </c>
    </row>
    <row r="257" spans="1:11" ht="45" x14ac:dyDescent="0.25">
      <c r="A257" s="93">
        <v>18</v>
      </c>
      <c r="B257" s="41" t="s">
        <v>316</v>
      </c>
      <c r="C257" s="12" t="s">
        <v>319</v>
      </c>
      <c r="D257" s="65"/>
      <c r="E257" s="127">
        <v>3323593</v>
      </c>
      <c r="F257" s="127">
        <v>3323593</v>
      </c>
      <c r="G257" s="127">
        <v>3323593</v>
      </c>
      <c r="H257" s="126"/>
      <c r="I257" s="126">
        <v>49200</v>
      </c>
      <c r="J257" s="126">
        <v>49200</v>
      </c>
      <c r="K257" s="126">
        <v>49200</v>
      </c>
    </row>
    <row r="258" spans="1:11" ht="30" x14ac:dyDescent="0.25">
      <c r="A258" s="93">
        <v>19</v>
      </c>
      <c r="B258" s="98" t="s">
        <v>114</v>
      </c>
      <c r="C258" s="1" t="s">
        <v>300</v>
      </c>
      <c r="D258" s="65"/>
      <c r="E258" s="126">
        <v>11</v>
      </c>
      <c r="F258" s="126">
        <v>11</v>
      </c>
      <c r="G258" s="126">
        <v>11</v>
      </c>
      <c r="H258" s="126"/>
      <c r="I258" s="126">
        <v>10691.2</v>
      </c>
      <c r="J258" s="126">
        <v>10691.2</v>
      </c>
      <c r="K258" s="126">
        <v>10691.2</v>
      </c>
    </row>
    <row r="259" spans="1:11" ht="30" x14ac:dyDescent="0.25">
      <c r="A259" s="93">
        <v>20</v>
      </c>
      <c r="B259" s="98" t="s">
        <v>117</v>
      </c>
      <c r="C259" s="1" t="s">
        <v>300</v>
      </c>
      <c r="D259" s="65"/>
      <c r="E259" s="126">
        <v>11</v>
      </c>
      <c r="F259" s="126">
        <v>11</v>
      </c>
      <c r="G259" s="126">
        <v>12</v>
      </c>
      <c r="H259" s="126"/>
      <c r="I259" s="126">
        <v>16036.8</v>
      </c>
      <c r="J259" s="126">
        <v>16036.8</v>
      </c>
      <c r="K259" s="126">
        <v>16036.8</v>
      </c>
    </row>
    <row r="260" spans="1:11" ht="45" x14ac:dyDescent="0.25">
      <c r="A260" s="93">
        <v>21</v>
      </c>
      <c r="B260" s="98" t="s">
        <v>118</v>
      </c>
      <c r="C260" s="1" t="s">
        <v>301</v>
      </c>
      <c r="D260" s="65"/>
      <c r="E260" s="126">
        <v>60000</v>
      </c>
      <c r="F260" s="126">
        <v>60000</v>
      </c>
      <c r="G260" s="126">
        <v>65000</v>
      </c>
      <c r="H260" s="126"/>
      <c r="I260" s="126">
        <f>3825+500</f>
        <v>4325</v>
      </c>
      <c r="J260" s="126">
        <v>4325</v>
      </c>
      <c r="K260" s="126">
        <v>4325</v>
      </c>
    </row>
    <row r="261" spans="1:11" ht="105" x14ac:dyDescent="0.25">
      <c r="A261" s="93">
        <v>22</v>
      </c>
      <c r="B261" s="98" t="s">
        <v>121</v>
      </c>
      <c r="C261" s="1" t="s">
        <v>302</v>
      </c>
      <c r="D261" s="65"/>
      <c r="E261" s="126">
        <v>5</v>
      </c>
      <c r="F261" s="127">
        <v>4</v>
      </c>
      <c r="G261" s="126">
        <v>6</v>
      </c>
      <c r="H261" s="126"/>
      <c r="I261" s="126">
        <v>34646</v>
      </c>
      <c r="J261" s="126">
        <v>24646</v>
      </c>
      <c r="K261" s="126">
        <v>24646</v>
      </c>
    </row>
    <row r="262" spans="1:11" ht="105" x14ac:dyDescent="0.25">
      <c r="A262" s="93">
        <v>23</v>
      </c>
      <c r="B262" s="98" t="s">
        <v>123</v>
      </c>
      <c r="C262" s="1" t="s">
        <v>302</v>
      </c>
      <c r="D262" s="65"/>
      <c r="E262" s="126">
        <v>11</v>
      </c>
      <c r="F262" s="126">
        <v>11</v>
      </c>
      <c r="G262" s="126">
        <v>11</v>
      </c>
      <c r="H262" s="126"/>
      <c r="I262" s="126">
        <v>13000</v>
      </c>
      <c r="J262" s="126">
        <v>8000</v>
      </c>
      <c r="K262" s="126">
        <v>8000</v>
      </c>
    </row>
    <row r="263" spans="1:11" ht="135" x14ac:dyDescent="0.25">
      <c r="A263" s="93">
        <v>24</v>
      </c>
      <c r="B263" s="98" t="s">
        <v>124</v>
      </c>
      <c r="C263" s="1" t="s">
        <v>299</v>
      </c>
      <c r="D263" s="65"/>
      <c r="E263" s="126">
        <v>4</v>
      </c>
      <c r="F263" s="126">
        <v>4</v>
      </c>
      <c r="G263" s="126">
        <v>4</v>
      </c>
      <c r="H263" s="126"/>
      <c r="I263" s="126">
        <v>5000</v>
      </c>
      <c r="J263" s="126">
        <v>1000</v>
      </c>
      <c r="K263" s="126">
        <v>1000</v>
      </c>
    </row>
    <row r="264" spans="1:11" ht="150" x14ac:dyDescent="0.25">
      <c r="A264" s="93">
        <v>25</v>
      </c>
      <c r="B264" s="98" t="s">
        <v>126</v>
      </c>
      <c r="C264" s="1" t="s">
        <v>298</v>
      </c>
      <c r="D264" s="65"/>
      <c r="E264" s="126">
        <v>20</v>
      </c>
      <c r="F264" s="127">
        <v>10</v>
      </c>
      <c r="G264" s="126">
        <v>2</v>
      </c>
      <c r="H264" s="126"/>
      <c r="I264" s="126">
        <v>10000</v>
      </c>
      <c r="J264" s="126">
        <v>200.9</v>
      </c>
      <c r="K264" s="126">
        <v>200.9</v>
      </c>
    </row>
    <row r="265" spans="1:11" x14ac:dyDescent="0.25">
      <c r="A265" s="93">
        <v>26</v>
      </c>
      <c r="B265" s="41" t="s">
        <v>356</v>
      </c>
      <c r="C265" s="1"/>
      <c r="D265" s="65"/>
      <c r="E265" s="126"/>
      <c r="F265" s="127"/>
      <c r="G265" s="126"/>
      <c r="H265" s="126"/>
      <c r="I265" s="126">
        <f>39684.19</f>
        <v>39684.19</v>
      </c>
      <c r="J265" s="126">
        <f>7862.47+31821.72</f>
        <v>39684.19</v>
      </c>
      <c r="K265" s="126">
        <v>39684.19</v>
      </c>
    </row>
    <row r="266" spans="1:11" x14ac:dyDescent="0.25">
      <c r="A266" s="91"/>
      <c r="B266" s="92" t="s">
        <v>0</v>
      </c>
      <c r="C266" s="68"/>
      <c r="D266" s="91" t="s">
        <v>8</v>
      </c>
      <c r="E266" s="91">
        <f>SUM(E240:E265)</f>
        <v>3663681</v>
      </c>
      <c r="F266" s="91">
        <f>SUM(F240:F265)</f>
        <v>3663670</v>
      </c>
      <c r="G266" s="91" t="s">
        <v>8</v>
      </c>
      <c r="H266" s="80">
        <f>SUM(H214:H265)</f>
        <v>0</v>
      </c>
      <c r="I266" s="125">
        <f>SUM(I240:I265)</f>
        <v>953315.61750000017</v>
      </c>
      <c r="J266" s="125">
        <f>SUM(J240:J265)</f>
        <v>982360.81333000003</v>
      </c>
      <c r="K266" s="125">
        <f>SUM(K240:K265)</f>
        <v>982360.81333000003</v>
      </c>
    </row>
    <row r="267" spans="1:11" ht="26.25" customHeight="1" x14ac:dyDescent="0.25">
      <c r="A267" s="164" t="s">
        <v>359</v>
      </c>
      <c r="B267" s="164"/>
      <c r="C267" s="164"/>
      <c r="D267" s="164"/>
      <c r="E267" s="164"/>
      <c r="F267" s="164"/>
      <c r="G267" s="164"/>
      <c r="H267" s="164"/>
      <c r="I267" s="164"/>
      <c r="J267" s="164"/>
      <c r="K267" s="164"/>
    </row>
    <row r="268" spans="1:11" ht="26.25" customHeight="1" x14ac:dyDescent="0.25">
      <c r="A268" s="93">
        <v>1</v>
      </c>
      <c r="B268" s="41" t="s">
        <v>360</v>
      </c>
      <c r="C268" s="12" t="s">
        <v>99</v>
      </c>
      <c r="D268" s="99"/>
      <c r="E268" s="127">
        <v>1051772</v>
      </c>
      <c r="F268" s="127">
        <v>1051772</v>
      </c>
      <c r="G268" s="127">
        <v>1070075</v>
      </c>
      <c r="H268" s="128"/>
      <c r="I268" s="129">
        <v>155409.3112</v>
      </c>
      <c r="J268" s="129">
        <v>155409.3112</v>
      </c>
      <c r="K268" s="129">
        <v>155409.3112</v>
      </c>
    </row>
    <row r="269" spans="1:11" ht="26.25" customHeight="1" x14ac:dyDescent="0.25">
      <c r="A269" s="93">
        <v>2</v>
      </c>
      <c r="B269" s="41" t="s">
        <v>361</v>
      </c>
      <c r="C269" s="12" t="s">
        <v>99</v>
      </c>
      <c r="D269" s="99"/>
      <c r="E269" s="127">
        <v>64788</v>
      </c>
      <c r="F269" s="127">
        <v>64788</v>
      </c>
      <c r="G269" s="127">
        <v>281577</v>
      </c>
      <c r="H269" s="128"/>
      <c r="I269" s="129">
        <v>36329.500800000002</v>
      </c>
      <c r="J269" s="129">
        <v>36329.500800000002</v>
      </c>
      <c r="K269" s="129">
        <v>36329.500800000002</v>
      </c>
    </row>
    <row r="270" spans="1:11" ht="26.25" customHeight="1" x14ac:dyDescent="0.25">
      <c r="A270" s="93">
        <v>3</v>
      </c>
      <c r="B270" s="41" t="s">
        <v>362</v>
      </c>
      <c r="C270" s="12" t="s">
        <v>99</v>
      </c>
      <c r="D270" s="99"/>
      <c r="E270" s="127">
        <v>257383</v>
      </c>
      <c r="F270" s="127">
        <v>257383</v>
      </c>
      <c r="G270" s="127">
        <v>363338</v>
      </c>
      <c r="H270" s="128"/>
      <c r="I270" s="129">
        <v>10091.528</v>
      </c>
      <c r="J270" s="129">
        <v>10091.528</v>
      </c>
      <c r="K270" s="129">
        <v>10091.528</v>
      </c>
    </row>
    <row r="271" spans="1:11" ht="30" x14ac:dyDescent="0.25">
      <c r="A271" s="93">
        <v>4</v>
      </c>
      <c r="B271" s="41" t="s">
        <v>363</v>
      </c>
      <c r="C271" s="12" t="s">
        <v>364</v>
      </c>
      <c r="D271" s="99"/>
      <c r="E271" s="127">
        <v>300</v>
      </c>
      <c r="F271" s="127">
        <v>300</v>
      </c>
      <c r="G271" s="127">
        <v>391</v>
      </c>
      <c r="H271" s="128"/>
      <c r="I271" s="129">
        <v>279042.90960000001</v>
      </c>
      <c r="J271" s="129">
        <v>279042.90960000001</v>
      </c>
      <c r="K271" s="129">
        <v>279042.90960000001</v>
      </c>
    </row>
    <row r="272" spans="1:11" ht="45" x14ac:dyDescent="0.25">
      <c r="A272" s="93">
        <v>5</v>
      </c>
      <c r="B272" s="41" t="s">
        <v>365</v>
      </c>
      <c r="C272" s="12" t="s">
        <v>366</v>
      </c>
      <c r="D272" s="99"/>
      <c r="E272" s="127">
        <v>3150</v>
      </c>
      <c r="F272" s="127">
        <v>3150</v>
      </c>
      <c r="G272" s="127">
        <v>4240</v>
      </c>
      <c r="H272" s="128"/>
      <c r="I272" s="129">
        <v>27597.650399999999</v>
      </c>
      <c r="J272" s="129">
        <v>27597.650399999999</v>
      </c>
      <c r="K272" s="129">
        <v>27597.650399999999</v>
      </c>
    </row>
    <row r="273" spans="1:11" x14ac:dyDescent="0.25">
      <c r="A273" s="91"/>
      <c r="B273" s="92" t="s">
        <v>0</v>
      </c>
      <c r="C273" s="68"/>
      <c r="D273" s="91" t="s">
        <v>8</v>
      </c>
      <c r="E273" s="91">
        <f>SUM(E268:E272)</f>
        <v>1377393</v>
      </c>
      <c r="F273" s="91">
        <f t="shared" ref="F273:K273" si="6">SUM(F268:F272)</f>
        <v>1377393</v>
      </c>
      <c r="G273" s="91" t="s">
        <v>8</v>
      </c>
      <c r="H273" s="91">
        <f t="shared" si="6"/>
        <v>0</v>
      </c>
      <c r="I273" s="130">
        <f t="shared" si="6"/>
        <v>508470.89999999997</v>
      </c>
      <c r="J273" s="130">
        <f t="shared" si="6"/>
        <v>508470.89999999997</v>
      </c>
      <c r="K273" s="130">
        <f t="shared" si="6"/>
        <v>508470.89999999997</v>
      </c>
    </row>
    <row r="274" spans="1:11" ht="15" customHeight="1" x14ac:dyDescent="0.25">
      <c r="A274" s="167" t="s">
        <v>358</v>
      </c>
      <c r="B274" s="167"/>
      <c r="C274" s="167"/>
      <c r="D274" s="167"/>
      <c r="E274" s="167"/>
      <c r="F274" s="167"/>
      <c r="G274" s="167"/>
      <c r="H274" s="167"/>
      <c r="I274" s="167"/>
      <c r="J274" s="167"/>
      <c r="K274" s="167"/>
    </row>
    <row r="275" spans="1:11" ht="15" customHeight="1" x14ac:dyDescent="0.25">
      <c r="A275" s="93">
        <v>1</v>
      </c>
      <c r="B275" s="101" t="s">
        <v>367</v>
      </c>
      <c r="C275" s="22" t="s">
        <v>368</v>
      </c>
      <c r="D275" s="100"/>
      <c r="E275" s="63">
        <v>255000</v>
      </c>
      <c r="F275" s="63">
        <v>253330</v>
      </c>
      <c r="G275" s="63">
        <v>269935.90000000002</v>
      </c>
      <c r="H275" s="63"/>
      <c r="I275" s="63">
        <v>326459.5</v>
      </c>
      <c r="J275" s="63">
        <v>324299.40000000002</v>
      </c>
      <c r="K275" s="63">
        <v>324299.40000000002</v>
      </c>
    </row>
    <row r="276" spans="1:11" ht="15" customHeight="1" x14ac:dyDescent="0.25">
      <c r="A276" s="93">
        <v>2</v>
      </c>
      <c r="B276" s="101" t="s">
        <v>369</v>
      </c>
      <c r="C276" s="22" t="s">
        <v>368</v>
      </c>
      <c r="D276" s="100"/>
      <c r="E276" s="63">
        <v>53000</v>
      </c>
      <c r="F276" s="63">
        <v>53000</v>
      </c>
      <c r="G276" s="63">
        <v>53745.599999999999</v>
      </c>
      <c r="H276" s="63"/>
      <c r="I276" s="63">
        <v>67860.3</v>
      </c>
      <c r="J276" s="63">
        <v>67860.3</v>
      </c>
      <c r="K276" s="63">
        <v>67860.3</v>
      </c>
    </row>
    <row r="277" spans="1:11" ht="15" customHeight="1" x14ac:dyDescent="0.25">
      <c r="A277" s="93">
        <v>3</v>
      </c>
      <c r="B277" s="101" t="s">
        <v>370</v>
      </c>
      <c r="C277" s="22" t="s">
        <v>368</v>
      </c>
      <c r="D277" s="100"/>
      <c r="E277" s="63">
        <v>11000</v>
      </c>
      <c r="F277" s="63">
        <v>14000</v>
      </c>
      <c r="G277" s="63">
        <v>17226.400000000001</v>
      </c>
      <c r="H277" s="63"/>
      <c r="I277" s="63">
        <v>14072.6</v>
      </c>
      <c r="J277" s="63">
        <v>17922.099999999999</v>
      </c>
      <c r="K277" s="63">
        <v>17922.099999999999</v>
      </c>
    </row>
    <row r="278" spans="1:11" ht="15" customHeight="1" x14ac:dyDescent="0.25">
      <c r="A278" s="93">
        <v>4</v>
      </c>
      <c r="B278" s="101" t="s">
        <v>371</v>
      </c>
      <c r="C278" s="22" t="s">
        <v>372</v>
      </c>
      <c r="D278" s="100"/>
      <c r="E278" s="63"/>
      <c r="F278" s="63">
        <v>100</v>
      </c>
      <c r="G278" s="63">
        <v>100</v>
      </c>
      <c r="H278" s="63"/>
      <c r="I278" s="63"/>
      <c r="J278" s="63">
        <v>419.7</v>
      </c>
      <c r="K278" s="63">
        <v>418.2</v>
      </c>
    </row>
    <row r="279" spans="1:11" ht="15" customHeight="1" x14ac:dyDescent="0.25">
      <c r="A279" s="93">
        <v>5</v>
      </c>
      <c r="B279" s="101" t="s">
        <v>373</v>
      </c>
      <c r="C279" s="22" t="s">
        <v>372</v>
      </c>
      <c r="D279" s="100"/>
      <c r="E279" s="63"/>
      <c r="F279" s="63">
        <v>100</v>
      </c>
      <c r="G279" s="63">
        <v>100</v>
      </c>
      <c r="H279" s="63"/>
      <c r="I279" s="63"/>
      <c r="J279" s="63">
        <v>1816.1</v>
      </c>
      <c r="K279" s="63">
        <v>1816.1</v>
      </c>
    </row>
    <row r="280" spans="1:11" x14ac:dyDescent="0.25">
      <c r="A280" s="91"/>
      <c r="B280" s="92" t="s">
        <v>0</v>
      </c>
      <c r="C280" s="68"/>
      <c r="D280" s="91" t="s">
        <v>8</v>
      </c>
      <c r="E280" s="91"/>
      <c r="F280" s="91"/>
      <c r="G280" s="91" t="s">
        <v>8</v>
      </c>
      <c r="H280" s="91">
        <f t="shared" ref="H280:K280" si="7">SUM(H275:H279)</f>
        <v>0</v>
      </c>
      <c r="I280" s="130">
        <f t="shared" si="7"/>
        <v>408392.39999999997</v>
      </c>
      <c r="J280" s="130">
        <f t="shared" si="7"/>
        <v>412317.6</v>
      </c>
      <c r="K280" s="130">
        <f t="shared" si="7"/>
        <v>412316.1</v>
      </c>
    </row>
    <row r="281" spans="1:11" ht="14.45" customHeight="1" x14ac:dyDescent="0.25">
      <c r="A281" s="159" t="s">
        <v>340</v>
      </c>
      <c r="B281" s="159"/>
      <c r="C281" s="159"/>
      <c r="D281" s="17" t="s">
        <v>8</v>
      </c>
      <c r="E281" s="17"/>
      <c r="F281" s="17"/>
      <c r="G281" s="17" t="s">
        <v>8</v>
      </c>
      <c r="H281" s="68">
        <v>12803372.27</v>
      </c>
      <c r="I281" s="124">
        <f t="shared" ref="I281" si="8">I10+I16+I23+I30+I47+I62+I108+I124+I131+I135+I184+I238+I266+I273+I280</f>
        <v>17147890.610349998</v>
      </c>
      <c r="J281" s="124">
        <v>17004656.199999999</v>
      </c>
      <c r="K281" s="124">
        <f>K10+K16+K23+K30+K47+K62+K108+K124+K131+K135+K184+K238+K266+K273+K280</f>
        <v>17002653.690129999</v>
      </c>
    </row>
    <row r="282" spans="1:11" ht="21" x14ac:dyDescent="0.35">
      <c r="H282" s="56"/>
      <c r="I282" s="56"/>
      <c r="J282" s="56"/>
      <c r="K282" s="56"/>
    </row>
  </sheetData>
  <customSheetViews>
    <customSheetView guid="{CA612BCB-111F-4786-B98F-3B66BF1F01C7}" scale="90" showPageBreaks="1" fitToPage="1" hiddenColumns="1">
      <selection activeCell="J10" sqref="J10"/>
      <pageMargins left="0.39370078740157483" right="0.39370078740157483" top="0.35433070866141736" bottom="0.35433070866141736" header="0.15748031496062992" footer="0.15748031496062992"/>
      <printOptions horizontalCentered="1"/>
      <pageSetup paperSize="9" scale="69" fitToHeight="0" orientation="landscape" r:id="rId1"/>
      <headerFooter>
        <oddFooter>&amp;C&amp;P</oddFooter>
      </headerFooter>
    </customSheetView>
    <customSheetView guid="{364080A9-4C50-4D56-AFFE-3F56BEE01D21}" scale="90" showPageBreaks="1" fitToPage="1" hiddenColumns="1">
      <selection activeCell="J134" sqref="J134"/>
      <pageMargins left="0.39370078740157483" right="0.39370078740157483" top="0.35433070866141736" bottom="0.35433070866141736" header="0.15748031496062992" footer="0.15748031496062992"/>
      <printOptions horizontalCentered="1"/>
      <pageSetup paperSize="9" scale="69" fitToHeight="0" orientation="landscape" r:id="rId2"/>
      <headerFooter>
        <oddFooter>&amp;C&amp;P</oddFooter>
      </headerFooter>
    </customSheetView>
    <customSheetView guid="{E442A37A-C329-497A-93AF-778FC95E568D}" fitToPage="1" hiddenColumns="1" topLeftCell="A270">
      <selection activeCell="B294" sqref="B294"/>
      <pageMargins left="0.39370078740157483" right="0.39370078740157483" top="0.35433070866141736" bottom="0.35433070866141736" header="0.15748031496062992" footer="0.15748031496062992"/>
      <printOptions horizontalCentered="1"/>
      <pageSetup paperSize="9" scale="69" fitToHeight="0" orientation="landscape" r:id="rId3"/>
      <headerFooter>
        <oddFooter>&amp;C&amp;P</oddFooter>
      </headerFooter>
    </customSheetView>
    <customSheetView guid="{E4E24A0D-4CE4-4533-9643-8904DCA0EAAD}" scale="90" fitToPage="1" hiddenColumns="1" topLeftCell="A138">
      <selection activeCell="B144" sqref="B144"/>
      <pageMargins left="0.39370078740157483" right="0.39370078740157483" top="0.35433070866141736" bottom="0.35433070866141736" header="0.15748031496062992" footer="0.15748031496062992"/>
      <printOptions horizontalCentered="1"/>
      <pageSetup paperSize="9" scale="69" fitToHeight="0" orientation="landscape" r:id="rId4"/>
      <headerFooter>
        <oddFooter>&amp;C&amp;P</oddFooter>
      </headerFooter>
    </customSheetView>
    <customSheetView guid="{4873CEAB-4E26-4DB7-8CA3-1027F54FA069}" scale="90" fitToPage="1" hiddenColumns="1" topLeftCell="A137">
      <selection activeCell="K139" sqref="K139"/>
      <pageMargins left="0.39370078740157483" right="0.39370078740157483" top="0.35433070866141736" bottom="0.35433070866141736" header="0.15748031496062992" footer="0.15748031496062992"/>
      <printOptions horizontalCentered="1"/>
      <pageSetup paperSize="9" scale="69" fitToHeight="0" orientation="landscape" r:id="rId5"/>
      <headerFooter>
        <oddFooter>&amp;C&amp;P</oddFooter>
      </headerFooter>
    </customSheetView>
    <customSheetView guid="{15008CFB-90AE-4019-A345-B8744D25D0C3}" scale="90" showPageBreaks="1" fitToPage="1" hiddenColumns="1" topLeftCell="A127">
      <selection activeCell="I135" sqref="I135"/>
      <pageMargins left="0.39370078740157483" right="0.39370078740157483" top="0.35433070866141736" bottom="0.35433070866141736" header="0.15748031496062992" footer="0.15748031496062992"/>
      <printOptions horizontalCentered="1"/>
      <pageSetup paperSize="9" scale="69" fitToHeight="0" orientation="landscape" r:id="rId6"/>
      <headerFooter>
        <oddFooter>&amp;C&amp;P</oddFooter>
      </headerFooter>
    </customSheetView>
    <customSheetView guid="{1237AFA1-68A6-41BB-9F1F-2BB33CF3BCCE}" scale="90" showPageBreaks="1" fitToPage="1" hiddenColumns="1" topLeftCell="A13">
      <selection activeCell="K22" sqref="I22:K22"/>
      <pageMargins left="0.39370078740157483" right="0.39370078740157483" top="0.35433070866141736" bottom="0.35433070866141736" header="0.15748031496062992" footer="0.15748031496062992"/>
      <printOptions horizontalCentered="1"/>
      <pageSetup paperSize="9" scale="69" fitToHeight="0" orientation="landscape" r:id="rId7"/>
      <headerFooter>
        <oddFooter>&amp;C&amp;P</oddFooter>
      </headerFooter>
    </customSheetView>
    <customSheetView guid="{765F1DBD-C068-444A-8B13-2916A4A9BA3F}" scale="90" fitToPage="1" hiddenColumns="1" topLeftCell="A16">
      <selection activeCell="K29" sqref="K29"/>
      <pageMargins left="0.39370078740157483" right="0.39370078740157483" top="0.35433070866141736" bottom="0.35433070866141736" header="0.15748031496062992" footer="0.15748031496062992"/>
      <printOptions horizontalCentered="1"/>
      <pageSetup paperSize="9" scale="69" fitToHeight="0" orientation="landscape" r:id="rId8"/>
      <headerFooter>
        <oddFooter>&amp;C&amp;P</oddFooter>
      </headerFooter>
    </customSheetView>
    <customSheetView guid="{AC3D1D09-98ED-4CFD-8F29-C435F099150F}" scale="90" fitToPage="1" hiddenColumns="1" topLeftCell="A237">
      <selection activeCell="A241" sqref="A241:XFD247"/>
      <pageMargins left="0.39370078740157483" right="0.39370078740157483" top="0.35433070866141736" bottom="0.35433070866141736" header="0.15748031496062992" footer="0.15748031496062992"/>
      <printOptions horizontalCentered="1"/>
      <pageSetup paperSize="9" scale="69" fitToHeight="0" orientation="landscape" r:id="rId9"/>
      <headerFooter>
        <oddFooter>&amp;C&amp;P</oddFooter>
      </headerFooter>
    </customSheetView>
    <customSheetView guid="{5B955171-6155-4477-93FE-98906395A697}" fitToPage="1" hiddenColumns="1" topLeftCell="A270">
      <selection activeCell="G281" sqref="G281"/>
      <pageMargins left="0.39370078740157483" right="0.39370078740157483" top="0.35433070866141736" bottom="0.35433070866141736" header="0.15748031496062992" footer="0.15748031496062992"/>
      <printOptions horizontalCentered="1"/>
      <pageSetup paperSize="9" scale="69" fitToHeight="0" orientation="landscape" r:id="rId10"/>
      <headerFooter>
        <oddFooter>&amp;C&amp;P</oddFooter>
      </headerFooter>
    </customSheetView>
    <customSheetView guid="{69868B4C-820B-4999-9363-14A229151CE0}" scale="70" showPageBreaks="1" fitToPage="1" hiddenColumns="1" topLeftCell="A266">
      <selection activeCell="I289" sqref="I289"/>
      <pageMargins left="0.39370078740157483" right="0.39370078740157483" top="0.35433070866141736" bottom="0.35433070866141736" header="0.15748031496062992" footer="0.15748031496062992"/>
      <printOptions horizontalCentered="1"/>
      <pageSetup paperSize="9" scale="69" fitToHeight="0" orientation="landscape" r:id="rId11"/>
      <headerFooter>
        <oddFooter>&amp;C&amp;P</oddFooter>
      </headerFooter>
    </customSheetView>
  </customSheetViews>
  <mergeCells count="24">
    <mergeCell ref="A281:C281"/>
    <mergeCell ref="A63:K63"/>
    <mergeCell ref="A104:A105"/>
    <mergeCell ref="A185:K185"/>
    <mergeCell ref="A267:K267"/>
    <mergeCell ref="A136:K136"/>
    <mergeCell ref="A109:K109"/>
    <mergeCell ref="A126:K126"/>
    <mergeCell ref="A132:K132"/>
    <mergeCell ref="A239:K239"/>
    <mergeCell ref="A274:K274"/>
    <mergeCell ref="A2:K2"/>
    <mergeCell ref="A4:A5"/>
    <mergeCell ref="B4:B5"/>
    <mergeCell ref="C4:C5"/>
    <mergeCell ref="D4:G4"/>
    <mergeCell ref="H4:K4"/>
    <mergeCell ref="A7:K7"/>
    <mergeCell ref="A24:K24"/>
    <mergeCell ref="A31:K31"/>
    <mergeCell ref="A48:K48"/>
    <mergeCell ref="B104:B105"/>
    <mergeCell ref="A11:K11"/>
    <mergeCell ref="A17:K17"/>
  </mergeCells>
  <printOptions horizontalCentered="1"/>
  <pageMargins left="0.39370078740157483" right="0.39370078740157483" top="0.35433070866141736" bottom="0.35433070866141736" header="0.15748031496062992" footer="0.15748031496062992"/>
  <pageSetup paperSize="9" scale="69" fitToHeight="0" orientation="landscape" r:id="rId1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2019</vt:lpstr>
      <vt:lpstr>2021 год</vt:lpstr>
      <vt:lpstr>'2019'!Заголовки_для_печати</vt:lpstr>
      <vt:lpstr>'2021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Рыжова Наталья Борисовна</dc:creator>
  <cp:lastModifiedBy>Васютина Ольга Валерьевна</cp:lastModifiedBy>
  <cp:lastPrinted>2022-03-23T15:27:01Z</cp:lastPrinted>
  <dcterms:created xsi:type="dcterms:W3CDTF">2013-06-19T13:38:31Z</dcterms:created>
  <dcterms:modified xsi:type="dcterms:W3CDTF">2022-03-23T15:36:46Z</dcterms:modified>
</cp:coreProperties>
</file>