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1080" windowWidth="19320" windowHeight="10305" firstSheet="1" activeTab="1"/>
  </bookViews>
  <sheets>
    <sheet name="2019" sheetId="1" state="hidden" r:id="rId1"/>
    <sheet name="Для Заполнения" sheetId="2" r:id="rId2"/>
  </sheets>
  <definedNames>
    <definedName name="_xlnm.Print_Titles" localSheetId="0">'2019'!$2:$4</definedName>
    <definedName name="_xlnm.Print_Titles" localSheetId="1">'Для Заполнения'!$3:$5</definedName>
  </definedNames>
  <calcPr fullCalcOnLoad="1"/>
</workbook>
</file>

<file path=xl/sharedStrings.xml><?xml version="1.0" encoding="utf-8"?>
<sst xmlns="http://schemas.openxmlformats.org/spreadsheetml/2006/main" count="1643" uniqueCount="403">
  <si>
    <t>ИТОГО</t>
  </si>
  <si>
    <t>№ п/п</t>
  </si>
  <si>
    <t>Наименование государственной услуги (работы)</t>
  </si>
  <si>
    <t>Единицы измерения</t>
  </si>
  <si>
    <t>Объем оказания государственной услуги (работы)</t>
  </si>
  <si>
    <t>Объем средств, запланированный на обеспечение государственной услуги (работы), в рамках субсидии на выполнение государственного задания, тыс. рублей</t>
  </si>
  <si>
    <t>2020 год (план)</t>
  </si>
  <si>
    <t>2021 год (план)</t>
  </si>
  <si>
    <t>х</t>
  </si>
  <si>
    <t>2018 год (отчет)</t>
  </si>
  <si>
    <t>2019 год (ожидаемое исполнение)</t>
  </si>
  <si>
    <t>2022 год (план)</t>
  </si>
  <si>
    <t>Комитет по физической культуре и спорту Ленинградской области</t>
  </si>
  <si>
    <t>Спортивная подготовка по олимпийским видам спорта. Плавание. Этап высшего спортивного мастерства</t>
  </si>
  <si>
    <t>чел.</t>
  </si>
  <si>
    <t>Организация мероприятий по подготовке спортивных сборных команд</t>
  </si>
  <si>
    <t>шт.</t>
  </si>
  <si>
    <t>Обеспечение участия спортивных сборных команд в официальных спортивных мероприятиях. Всероссийские</t>
  </si>
  <si>
    <t>Обеспечение участия спортивных сборных команд в официальных спортивных мероприятиях. Межрегиональные</t>
  </si>
  <si>
    <t>Организация и проведение официальных физкультурных (физкультурно-оздоровительных) мероприятий. Региональные</t>
  </si>
  <si>
    <t>Организация и проведение официальных спортивных мероприятий. Всероссийские</t>
  </si>
  <si>
    <t>Организация и проведение официальных спортивных мероприятий. Межрегиональные</t>
  </si>
  <si>
    <t>Организация и проведение официальных спортивных мероприятий. Региональные</t>
  </si>
  <si>
    <t>Спортивная подготовка по олимпийским видам спорта. Волейбол. Этап совершенствования спортивного мастерства</t>
  </si>
  <si>
    <t>Спортивная подготовка по олимпийским видам спорта. Водное поло. Этап высшего спортивного мастерства</t>
  </si>
  <si>
    <t>Спортивная подготовка по олимпийским видам спорта. Водное поло. Этап совершенствования спортивного мастерства</t>
  </si>
  <si>
    <t>Спортивная подготовка по олимпийским видам спорта. Водное поло. Тренировочный этап (этап спортивной специализации)</t>
  </si>
  <si>
    <t>Спортивная подготовка по олимпийским видам спорта. Синхронное плавание. Тренировочный этап (этап спортивной специализации)</t>
  </si>
  <si>
    <t>Спортивная подготовка по олимпийским видам спорта. Синхронное плавание. Этап совершенствования спортивного мастерства</t>
  </si>
  <si>
    <t>Спортивная подготовка по олимпийским видам спорта. Синхронное плавание. Этап высшего спортивного мастерства</t>
  </si>
  <si>
    <t>Спортивная подготовка по олимпийским видам спорта. Плавание. Этап совершенствования спортивного мастерства</t>
  </si>
  <si>
    <t>Спортивная подготовка по олимпийским видам спорта. Волейбол. Тренировочный этап (этап спортивной специализации)</t>
  </si>
  <si>
    <t>Проведение тестирования выполнения нормативов в рамках Всероссийского физкультурно-спортивного комплекса "Готов к труду и обороне" (ГТО)</t>
  </si>
  <si>
    <t>Обеспечение доступа к объектам спорта</t>
  </si>
  <si>
    <t>Обеспечение участия сборных команд Ленинградской области в официальных физкультурных (физкультурно-оздоровительных) мероприятиях. Межрегиональные</t>
  </si>
  <si>
    <t>Спортивная подготовка по олимпийским видам спорта. Фристайл. Этап высшего спортивного мастерства</t>
  </si>
  <si>
    <t>Спортивная подготовка по олимпийским видам спорта. Фристайл. Тренировочный этап (этап спортивной специализации)</t>
  </si>
  <si>
    <t>Спортивная подготовка по олимпийским видам спорта. Горнолыжный спорт. Этап высшего спортивного мастерства</t>
  </si>
  <si>
    <t>Спортивная подготовка по олимпийским видам спорта. Горнолыжный спорт. Этап совершенствования спортивного мастерства</t>
  </si>
  <si>
    <t>Спортивная подготовка по олимпийским видам спорта. Горнолыжный спорт. Тренировочный этап (этап спортивной специализации)</t>
  </si>
  <si>
    <t>Спортивная подготовка по олимпийским видам спорта. Горнолыжный спорт. Этап начальной подготовки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</si>
  <si>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</si>
  <si>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участия спортивных сборных команд в официальных спортивных мероприятиях. Международные</t>
  </si>
  <si>
    <t>Организация и проведение официальных спортивных мероприятий. Международные</t>
  </si>
  <si>
    <t>Организация и проведение официальных спортивных мероприятий. Межмуниципальные</t>
  </si>
  <si>
    <t>Организация и проведение официальных физкультурных (физкультурно-оздоровительных) мероприятий. Всероссийские</t>
  </si>
  <si>
    <t>Организация мероприятий по научно-методическому обеспечению спортивных сборных команд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</si>
  <si>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</si>
  <si>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Обеспечение участия сборных команд Ленинградской области в официальных физкультурных (физкультурно-оздоровительных) мероприятиях. Всероссийские</t>
  </si>
  <si>
    <t>Пропаганда физической культуры, спорта и здорового образа жизни</t>
  </si>
  <si>
    <t>Обеспечение подготовки команд Ленинградской области к участию в межрегиональных, всероссийских и международных физкультурных мероприятиях</t>
  </si>
  <si>
    <t>Спортивная подготовка по олимпийским видам спорта. Фристайл. Этап совершенствования спортивного мастерства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</si>
  <si>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ГТО). Региональные</t>
  </si>
  <si>
    <t>Обеспечение участия сборных команд Ленинградской области в официальных физкультурных (физкультурно-оздоровительных) мероприятиях. Международные</t>
  </si>
  <si>
    <t>Спортивная подготовка по олимпийским видам спорта. Футбол. Тренировочный этап (этап спортивной специализации)</t>
  </si>
  <si>
    <t>Спортивная подготовка по олимпийским видам спорта. Футбол. Этап начальной подготовки</t>
  </si>
  <si>
    <t>час./год</t>
  </si>
  <si>
    <t>ед.</t>
  </si>
  <si>
    <t>-</t>
  </si>
  <si>
    <t>Норматив затрат на выполнение государственной услуги (работы)*, рублей</t>
  </si>
  <si>
    <t>Комитет по молодежной политике Ленинградской области</t>
  </si>
  <si>
    <t>мероприятия, единиц</t>
  </si>
  <si>
    <t>Комитет общего и профессионального образования Ленинградской области</t>
  </si>
  <si>
    <t>Реализация образовательных программ среднего профессионального образования- программ подготовки квалифицированных рабочих, служащих</t>
  </si>
  <si>
    <t>Реализация образовательных программ среднего профессионального образования- программ подготовки специалистов среднего звена (очное обучение)</t>
  </si>
  <si>
    <t>Реализация образовательных программ среднего профессионального образования- программ подготовки специалистов среднего звена (заочное обучение)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</si>
  <si>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</si>
  <si>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чел/час</t>
  </si>
  <si>
    <t>Реализация  образовательных программ высшего образования – программ бакалавриата (очное обучение)</t>
  </si>
  <si>
    <t>Реализация  образовательных программ высшего образования – программ бакалавриата (очно-заочное обучение)</t>
  </si>
  <si>
    <t>Реализация  образовательных программ высшего образования – программ бакалавриата (заочное обучение)</t>
  </si>
  <si>
    <t>Реализация  образовательных программ высшего образования – программ магистратура (очное обучение)</t>
  </si>
  <si>
    <t xml:space="preserve"> Реализация  образовательных программ высшего образования – программ магистратуры (заочное)</t>
  </si>
  <si>
    <t>Реализация образовательных программ высшего образования – программ подготовки научно-педагогических кадров в аспирантуре (очное обучение)</t>
  </si>
  <si>
    <t xml:space="preserve"> Реализация образовательных программ высшего образования – программ подготовки научно-педагогических кадров в аспирантуре (заочное)</t>
  </si>
  <si>
    <t xml:space="preserve">Реализация дополнительных профессиональных программ профессиональной переподготовки </t>
  </si>
  <si>
    <t xml:space="preserve">Реализация дополнительных профессиональных образовательных программ повышения квалификации  </t>
  </si>
  <si>
    <t xml:space="preserve"> 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</si>
  <si>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чел/дни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</si>
  <si>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</si>
  <si>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</si>
  <si>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</si>
  <si>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</si>
  <si>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 xml:space="preserve">Психолого-педагогическое консультирование обучающихся, их родителей (законных представителей) и педагогических работников        </t>
  </si>
  <si>
    <t xml:space="preserve">Психолого-медико-педагогическое обследование детей                                       </t>
  </si>
  <si>
    <t xml:space="preserve">Коррекционно-развивающая, компенсирующая и логопедическая помощь обучающимся  </t>
  </si>
  <si>
    <t>Реализация дополнительных общеразвивающих программ                                                       (очная)</t>
  </si>
  <si>
    <t>Организация проведения общественно-значимых мероприятий в сфере образования, науки и молодежной политики (работа)</t>
  </si>
  <si>
    <t>кол-во мероприятий</t>
  </si>
  <si>
    <t>Методическое обеспечение образовательной деятельности (работа) (постоянно)</t>
  </si>
  <si>
    <t>Методическое обеспечение образовательной деятельности (работа) (в плановой форме)</t>
  </si>
  <si>
    <t xml:space="preserve">Организация отдыха детей и молодежи </t>
  </si>
  <si>
    <t>чел.-дн.</t>
  </si>
  <si>
    <t>Реализация основных общеобразовательных программ начального общего образования</t>
  </si>
  <si>
    <t>Ведение региональной информационной системы обеспечения проведения ГИА обучающихся, освоивших основные образовательные программы основного общего и среднего общего образования, организационно-технологическое сопровождение проведения ГИА (Оценка качества образования) работа (работа)</t>
  </si>
  <si>
    <t>Информационно-технологическое обеспечение управления системой образования (работа)</t>
  </si>
  <si>
    <t>Организация и проведение олимпиад, конкурсов, мероприятий направленных на выявление и развитие у обучающихся интеллектуальных и творческих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(работа)</t>
  </si>
  <si>
    <t>Комитет по культуре Ленинградской облсти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</si>
  <si>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(Народное художественное творчество (по видам) - очная)</t>
  </si>
  <si>
    <t>человек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</si>
  <si>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</si>
  <si>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заочная)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</si>
  <si>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(Музыкальное искусство эстрады (по видам)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</si>
  <si>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(Инструментальное исполнительство (по видам инструментов) - очная)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</si>
  <si>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(Декоративно-прикладное искусство и народные промыслы (по видам) - очная)</t>
  </si>
  <si>
    <t>Реализация дополнительных профессиональных образовательных программ повышения квалификации (очная)</t>
  </si>
  <si>
    <t>Показ спектаклей (театральных постановок) (драма:стационар, большая форма)</t>
  </si>
  <si>
    <t>Показ спектаклей (театральных постановок)                                                               (драма: на выезде, большая форма)</t>
  </si>
  <si>
    <t>Показ спектаклей (театральных постановок)                                                                  (драма: на гастролях, большая форма)</t>
  </si>
  <si>
    <t>Показ спектаклей (театральных постановок) (драма:стационар, малая форма)</t>
  </si>
  <si>
    <t>Показ спектаклей (театральных постановок)                                                                  (драма: на выезде, малая форма)</t>
  </si>
  <si>
    <t>Показ спектаклей (театральных постановок)                                                                  (драма: на гастролях, малая форма)</t>
  </si>
  <si>
    <t>Показ концертов и концертных программ (на выезде)</t>
  </si>
  <si>
    <t>Показ концертов и концертных программ (на гастролях)</t>
  </si>
  <si>
    <t>Оказание туристско-информационных услуг (в стационарных условиях)</t>
  </si>
  <si>
    <t>Количество посещений, ед.</t>
  </si>
  <si>
    <t>Количество туров, ед.</t>
  </si>
  <si>
    <t>Оказание туристско-информационных услуг (вне стационара)</t>
  </si>
  <si>
    <t>Формирование, ведение баз данных, в том числе интернет-ресурсов в сфере туризма</t>
  </si>
  <si>
    <t>Количество работ, ед.</t>
  </si>
  <si>
    <t>Количество посетителей интернет-сайта, ед.</t>
  </si>
  <si>
    <t>Работы по продвижению туристских возможностей Ленинградской области на внутреннем и международном рынках (Проведение событийных и специализированных мероприятий по продвижению туристского потенциала Ленинградской области, направленных на привлечение туристов в Ленинградскую область)</t>
  </si>
  <si>
    <t>Количество мероприятий, ед.</t>
  </si>
  <si>
    <t>Работы по продвижению туристских возможностей Ленинградской области на внутреннем и международном рынках (Проведение конгрессно-выставочных мероприятий, организация участия представителей сферы туризма Ленинградской области в конгрессно-выставочных мероприятиях, проводимых за пределами области)</t>
  </si>
  <si>
    <t>Работы по продвижению туристских возможностей Ленинградской области на внутреннем и международном рынках (Разработка и изготовление информационных материалов о туристском потенциале Ленинградской области с использованием туристского бренда Ленинградской области (изготовление печатных материалов: карт, буклетов, справочников, путеводителей и т.п.), в том числе на иностранных языках)</t>
  </si>
  <si>
    <t>Количество информационных материалов, ед.</t>
  </si>
  <si>
    <t>Работы по продвижению туристских возможностей Ленинградской области на внутреннем и международном рынках (Разработка и изготовление презентационных материалов и сувенирной продукции с использованием туристского бренда Ленинградской области для вручения участникам и гостям мероприятий, проводимых на территории Ленинградской области, субъектов Российской Федерации и за рубежом, в том числе на иностранных языках)</t>
  </si>
  <si>
    <t>Количество наименований, ед.</t>
  </si>
  <si>
    <t>чел.×час</t>
  </si>
  <si>
    <t>15427.50</t>
  </si>
  <si>
    <t>Подготовка руководителей и специалистов спасательной службы (пункт 1.11.5 регионального перечня)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</si>
  <si>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</si>
  <si>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услуга</t>
  </si>
  <si>
    <t>Скорая, в том числе специализированная, медицинская помощь (за исключением санитарно-авиационной эвакуации)</t>
  </si>
  <si>
    <t>вызов</t>
  </si>
  <si>
    <t>Скорая, в том числе специализированная медицинская помощь (включая медицинскую эвакуацию) включенная в базовую программу обязательного медицинского страхования</t>
  </si>
  <si>
    <t>Первичная специализированная медицинская помощь, по профилю дерматовенерология (в части венерологии), не включенная в базовую программу обязательного медицинского страхования, амбулаторная помощь</t>
  </si>
  <si>
    <t>посещение</t>
  </si>
  <si>
    <t>Первичная медико-санитарная помощь,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</si>
  <si>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Первичная специализированная медицинская помощь, по профилю  психиатрия- наркология, в части наркологии, амбулаторная помощь</t>
  </si>
  <si>
    <t>Первичная специализированная медицинская помощь, по профилю  фтизиатрия, амбулаторная помощь</t>
  </si>
  <si>
    <t>Первичная специализированная медицинская помощь, по профилю инфекционные болезни (в части синдрома приобретенного иммунодефицита (ВИЧ-инфекции), амбулаторная помощь</t>
  </si>
  <si>
    <t>Первичная медико-санитарная помощь, в части профилактики (лечебная физкультура и спортивная медицина)</t>
  </si>
  <si>
    <t>Первичная медико-санитарная помощь, в части профилактики (лечебная физкультура и спортивная медицина с УМО)</t>
  </si>
  <si>
    <t>Первичная медико-санитарная помощь, в части диагностики и лечения по профилю психотерапия</t>
  </si>
  <si>
    <t>Первичная медико-санитарная помощь, (Прием (осмотр, консультация) врача-генетика )</t>
  </si>
  <si>
    <t xml:space="preserve">Первичная специализированная медико-санитарная помощь в амбулаторных условиях - посещения выездной патронажной службы паллиативной медицинской помощи детям  </t>
  </si>
  <si>
    <t>Первичная специализированная медико-санитарная помощь в амбулаторных условиях - посещения выездной патронажной службы паллиативной медицинской помощи</t>
  </si>
  <si>
    <t>Паллиативная медицинская помощь в амбулаторных условиях</t>
  </si>
  <si>
    <t>Первичная специализированная медицинская помощь, по профилю дерматовенерология (в части венерологии) в условиях дневного стационара.</t>
  </si>
  <si>
    <t>случай лечения</t>
  </si>
  <si>
    <t>Первичная специализированная помощь в условиях дневного стационара по профилю: фтизиатрия</t>
  </si>
  <si>
    <t>Первичная специализированная помощь в условиях дневного стационара по профилю: психотерапия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</si>
  <si>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онкология, в условиях стационара </t>
  </si>
  <si>
    <t>случай госпитализации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</si>
  <si>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акушерство и гинекология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</si>
  <si>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комбустиология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</si>
  <si>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абдоминальная 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</si>
  <si>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нейрохирургия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</si>
  <si>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офтальмология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</si>
  <si>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сердечно-сосудистая хирургия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</si>
  <si>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травматология и ортопедия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</si>
  <si>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трансплантация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</si>
  <si>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эндокринология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</si>
  <si>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челюстно-лицевая хирургия 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</si>
  <si>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педиатрия в условиях стационара </t>
  </si>
  <si>
    <t xml:space="preserve">Высокотехнологичная медицинская помощь, не включенная в базовую программу обязательного медицинского страхования, по профилю урология в условиях стационара 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</si>
  <si>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 (в части венерологии) в условиях  стационара.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</si>
  <si>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психиатрия,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</si>
  <si>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наркология,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</si>
  <si>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Психотерапия в условиях стационара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</si>
  <si>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</si>
  <si>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 профилю инфекционные болезни (в части синдрома приобретенного иммунодефицита (ВИЧ-инфекции), в условиях стационара</t>
  </si>
  <si>
    <t xml:space="preserve">Санаторно-курортное лечение в условиях стационара: Туберкулез </t>
  </si>
  <si>
    <t>койко-день</t>
  </si>
  <si>
    <t>Паллиативная медицинская помощь в условиях стационара</t>
  </si>
  <si>
    <t>Экспертиза профессиональной пригодности и экспертиза связи заболевания с профессией</t>
  </si>
  <si>
    <t>экспертиза</t>
  </si>
  <si>
    <t>Изъятие, хранение и транспортировка органов и (или) тканей человека для трансплантации (работа)</t>
  </si>
  <si>
    <t>изъятие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</si>
  <si>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</si>
  <si>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>число обучающихся</t>
  </si>
  <si>
    <t>Реализация дополнительных профессиональных образовательных программ- программ повышения квалификации</t>
  </si>
  <si>
    <t>Медико-генетические консультации</t>
  </si>
  <si>
    <t>Медико-генетические лаборатории</t>
  </si>
  <si>
    <t>Профессиональное обучение и 
дополнительное профессиональное образование отдельных категорий граждан</t>
  </si>
  <si>
    <t>Профессиональное обучение и 
дополнительное профессиональное образование отдельных категорий граждан (охрана труда)</t>
  </si>
  <si>
    <t>Профессиональное обучение и 
дополнительное профессиональное образование отдельных категорий граждан (обучение граждан предпенсионного возраста)</t>
  </si>
  <si>
    <t xml:space="preserve">Реализация дополнительных профессиональных программ повышения квалификации </t>
  </si>
  <si>
    <t>чел./час</t>
  </si>
  <si>
    <t>Организация профессиональной
 ориентации граждан в целях выбора 
сферы деятельности (профессии),
 трудоустройства, 
прохождения профессионального
 обучения и получения
 дополнительного профессионального образования</t>
  </si>
  <si>
    <t>Организация опережающего
 профессионального обучения
 или стажировки в целях приобретения
 новых профессиональных навыков
 работников, находящихся под угрозой 
увольнения, работников предприятий, 
реализующих инвестиционные проекты</t>
  </si>
  <si>
    <t>Психологическая поддержка безработных граждан</t>
  </si>
  <si>
    <t>Организация и проведение мероприятий по профилактике производственного травматизма с использованием мобильного комплекса по охране труда</t>
  </si>
  <si>
    <t>Организация и проведение конгресса по охране труда</t>
  </si>
  <si>
    <t>Организация и проведение мероприятий по вопросам условий и охраны труда, профилактики производственного травматизма и профессиональной заболеваемости, направленных на сохранение и укрепление здоровья работающих граждан;</t>
  </si>
  <si>
    <t>Организация мероприятия по проведению областного конкурса профессионального мастерства «Лучший работник центра занятости населения Ленинградской области»</t>
  </si>
  <si>
    <t>Организация и проведение ежегодного смотра-конкурса "Лучшая организация работы в области охраны труда»</t>
  </si>
  <si>
    <t>Организация и проведение ежегодного смотра-конкурса "Лучший специалист по охране труда"</t>
  </si>
  <si>
    <t>Организация проживания граждан в период обучения в другой местности по направлению органов службы занятости населения</t>
  </si>
  <si>
    <t>число чел.-суток, ед</t>
  </si>
  <si>
    <t>Организация медицинского освидетельствования граждан, направленных на профессиональное обучение органами службы занятости населения.</t>
  </si>
  <si>
    <t>число осмотров, ед.</t>
  </si>
  <si>
    <t>Комитет по охране, контролю и регулированию использования объектов животного мира Ленинградской области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</si>
  <si>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(Проведение подкормочных мероприятий)</t>
  </si>
  <si>
    <t>работа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</si>
  <si>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(Заготовка и хранение кормов)</t>
  </si>
  <si>
    <t>Обеспечение проведения мероприятий по сохранению объектов животного мира, включая редких и находящихся под угрозой исчезновения, и среды их обитания (Сохранение и поддержание видового разнообразия объектов животного мира, включая охотничьи ресурсы, на территории общедоступных охотничьих угодий, ООПТ и иных природных территориях)</t>
  </si>
  <si>
    <t>Проведение ветеринарно-санитарных мероприятий</t>
  </si>
  <si>
    <t>кв.м</t>
  </si>
  <si>
    <t>Оформление и выдача ветеринарных сопроводительных документов</t>
  </si>
  <si>
    <t>Проведение учёта и контроля за состоянием скотомогильников, включая сибиреязвенные</t>
  </si>
  <si>
    <t xml:space="preserve">Государственная работа
«Осуществление осмотра подконтрольных грузов и проведение дезинфекции транспортных средств»
</t>
  </si>
  <si>
    <t>Объем средств без норматива (постоянные затраты на содержание недвижимого имущества и на уплату налогов):</t>
  </si>
  <si>
    <t>Ленинградский областной комитет по управления государственным имуществом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</si>
  <si>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информации, необходимой для ведения Единого государственного реестра недвижимости (в электронном виде)</t>
  </si>
  <si>
    <t>Гб
(с 2019 - Единица)</t>
  </si>
  <si>
    <t>Представление в федеральный орган исполнительной власти, осуществляющий государственный кадастровый учет и государственную регистрацию прав, информации о данных рынка недвижимости (в электронном виде)</t>
  </si>
  <si>
    <t>Единица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</si>
  <si>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уполномоченным государственным органам по их требованию (в бумажном виде)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</si>
  <si>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уполномоченным государственным органам по их требованию (в электронном виде)</t>
  </si>
  <si>
    <t>Предоставление разъяснений, связанных с определением кадастровой стоимости (в электронном виде)</t>
  </si>
  <si>
    <t>Предоставление разъяснений, связанных с определением кадастровой стоимости (в бумажном виде)</t>
  </si>
  <si>
    <t>Рассмотрение обращений, связанных с наличием ошибок, допущенных при определении кадастровой стоимости (в электронном виде)</t>
  </si>
  <si>
    <t>Рассмотрение обращений, связанных с наличием ошибок, допущенных при определении кадастровой стоимости (в бумажном виде)</t>
  </si>
  <si>
    <t>Хранение копий отчетов и документов, формируемых в ходе определения кадастровой стоимости (в бумажном виде)</t>
  </si>
  <si>
    <t>Хранение копий отчетов и документов, формируемых в ходе определения кадастровой стоимости  (в электронном виде)</t>
  </si>
  <si>
    <t>Гб</t>
  </si>
  <si>
    <t>Хранение копий документов и материалов, использованных при определении кадастровой стоимости (в электронном виде)</t>
  </si>
  <si>
    <t>Хранение копий документов и материалов, использованных при определении кадастровой стоимости (на бумажном носителе)</t>
  </si>
  <si>
    <t>штука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</si>
  <si>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</si>
  <si>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14 Федерального закона от 03.07.2016 № 237-ФЗ «О государственной кадастровой оценке» (в электронном виде)</t>
  </si>
  <si>
    <t>Сбор, обработка, систематизация и накопление информации при определении кадастровой стоимости (в бумажном виде)</t>
  </si>
  <si>
    <t>Сбор, обработка, систематизация и накопление информации при определении кадастровой стоимости (в электронном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</si>
  <si>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бумажном виде)</t>
  </si>
  <si>
    <t>Определение кадастровой стоимости объектов недвижимости в соответствии со статьей 16 Федерального закона от 03.07.2016 № 237-ФЗ «О государственной кадастровой оценке» (в электронном виде)</t>
  </si>
  <si>
    <t>Расходы на уплату налогов, в качестве объекта налогообложения по которым признается имущество государственного учреждения</t>
  </si>
  <si>
    <t>Комитет государственного заказа Ленинградской области</t>
  </si>
  <si>
    <t>Методическое и организационное обеспечение поддержки пользователей АИСГЗ ЛО по вопросам обеспечения, эксплуатации, сопровождения и развития региональной информационной системы "Государственный заказ Ленинградской области"</t>
  </si>
  <si>
    <t>- проведение консультаций</t>
  </si>
  <si>
    <t>- проведение семинаров</t>
  </si>
  <si>
    <t>- проведение рекомендаций</t>
  </si>
  <si>
    <t>8.1</t>
  </si>
  <si>
    <t>8.2</t>
  </si>
  <si>
    <t>8.3</t>
  </si>
  <si>
    <t>8.4</t>
  </si>
  <si>
    <t>8.5</t>
  </si>
  <si>
    <t>8.6</t>
  </si>
  <si>
    <t xml:space="preserve">Организация и проведение мероприятий </t>
  </si>
  <si>
    <t>Комитет по социальной защите населения Ленинградской области</t>
  </si>
  <si>
    <t>Государственные учреждения, предоставляющие социальные услуги получателям, в стационарной форме социального обслуживания с постоянным проживанием</t>
  </si>
  <si>
    <t>Государственные учреждения, предоставляющие социальные услуги получателям
в стационарной форме социального обслуживания с временным проживанием, в полустационарной форме социального обслуживания и на дому</t>
  </si>
  <si>
    <t>Комитет экономического развития и инвестиционной деятельности Ленинградской области</t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</si>
  <si>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1"/>
        <color indexed="8"/>
        <rFont val="Times New Roman"/>
        <family val="1"/>
      </rPr>
      <t>туберкулинизация</t>
    </r>
  </si>
  <si>
    <r>
      <t xml:space="preserve">Проведение плановых диагностических мероприятий на особо опасные болезни животных (птиц) и болезни общие для человека и животных (птиц) - </t>
    </r>
    <r>
      <rPr>
        <sz val="11"/>
        <color indexed="8"/>
        <rFont val="Times New Roman"/>
        <family val="1"/>
      </rPr>
      <t>отбор проб</t>
    </r>
  </si>
  <si>
    <r>
      <t xml:space="preserve">Проведение </t>
    </r>
    <r>
      <rPr>
        <sz val="11"/>
        <color indexed="8"/>
        <rFont val="Times New Roman"/>
        <family val="1"/>
      </rPr>
      <t>плановых лабораторных исследований на особо опасные болезни животных (птиц), болезни общие для человека и животных (птиц), включая отбор проб и их транспортировку</t>
    </r>
  </si>
  <si>
    <r>
      <t xml:space="preserve">Проведение </t>
    </r>
    <r>
      <rPr>
        <sz val="11"/>
        <color indexed="8"/>
        <rFont val="Times New Roman"/>
        <family val="1"/>
      </rPr>
      <t xml:space="preserve">плановых профилактических вакцинаций животных (птиц) против особо опасных болезней животных и болезней, общих для человека и животных (птиц)
</t>
    </r>
  </si>
  <si>
    <r>
      <t xml:space="preserve">Проведение </t>
    </r>
    <r>
      <rPr>
        <sz val="11"/>
        <color indexed="8"/>
        <rFont val="Times New Roman"/>
        <family val="1"/>
      </rPr>
      <t>ветеринарных организационных работ, включая учет и ответственное хранение лекарственных средств и препаратов для ветеринарного применения</t>
    </r>
  </si>
  <si>
    <r>
      <t xml:space="preserve">Проведение </t>
    </r>
    <r>
      <rPr>
        <sz val="11"/>
        <color indexed="8"/>
        <rFont val="Times New Roman"/>
        <family val="1"/>
      </rPr>
      <t>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</t>
    </r>
  </si>
  <si>
    <r>
      <t xml:space="preserve"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 </t>
    </r>
    <r>
      <rPr>
        <sz val="11"/>
        <color indexed="8"/>
        <rFont val="Times New Roman"/>
        <family val="1"/>
      </rPr>
      <t>проведение исследований</t>
    </r>
  </si>
  <si>
    <r>
  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 -</t>
    </r>
    <r>
      <rPr>
        <sz val="11"/>
        <color indexed="8"/>
        <rFont val="Times New Roman"/>
        <family val="1"/>
      </rPr>
      <t xml:space="preserve"> отбор проб</t>
    </r>
  </si>
  <si>
    <t>Подготовка руководителей и специалистов противопожарной службы (пункт 1.11.3 регионального перечня)</t>
  </si>
  <si>
    <t>Подготовка должностных лиц и специалистов гражданской обороны и  РСЧС органов исполнительной власти Ленинградской области, органов местного самоуправления и организаций (пункт 1.11.1 регионального перечня)</t>
  </si>
  <si>
    <t>Комитет Ленинградской области по туризму</t>
  </si>
  <si>
    <t>Комитет правопорядка и безопасности Ленинградской области</t>
  </si>
  <si>
    <t>Комитет по здравоохранению Ленинградской области</t>
  </si>
  <si>
    <t>Управление ветеринарии Ленинградской области</t>
  </si>
  <si>
    <t>Комитет по труду и занятости населения Ленинградской области</t>
  </si>
  <si>
    <r>
      <t>2019 год</t>
    </r>
    <r>
      <rPr>
        <sz val="11"/>
        <color indexed="8"/>
        <rFont val="Times New Roman"/>
        <family val="1"/>
      </rPr>
      <t xml:space="preserve"> (ожидаемое исполнение)</t>
    </r>
  </si>
  <si>
    <t>Экологическое просвещение населения</t>
  </si>
  <si>
    <t>Организация и проведение работ по учету, анализу численности объектов животного мира, отнесенных к объектам охоты, а также редких и находящихся под угрозой исчезновения объектов животного мира (Учет объектов животного мира, отнесенных к объектам охоты и среды их обитания)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</si>
  <si>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 опасном положении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</si>
  <si>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</si>
  <si>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</si>
  <si>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
подростков и молодежи</t>
  </si>
  <si>
    <t xml:space="preserve">   Сведения о планируемых на очередной финансовый год и плановый период объемах оказания государственных услуг (работ) государственными бюджетными и государственными автономными учреждениями Ленинградской области, а также о планируемых объемах субсидий на их финансовое обеспечение в сравнении с ожидаемым исполнением за текущий 2019 финансовый год и исполнением за отчетный 2018 финансовый год</t>
  </si>
  <si>
    <t>2023 год (план)</t>
  </si>
  <si>
    <t>1.1.</t>
  </si>
  <si>
    <t>1.2.</t>
  </si>
  <si>
    <t>1.3.</t>
  </si>
  <si>
    <t>Профессиональное обучение и 
дополнительное профессиональное образование отдельных категорий граждан (Организация профессионального обучения и дополнительного профессионального образования лиц в возрасте 50-ти лет и старше, а также лиц предпенсионного возраста) (предпенсионного возраста)</t>
  </si>
  <si>
    <t>1.4.</t>
  </si>
  <si>
    <t>Профессиональное обучение и 
дополнительное профессиональное образование отдельных категорий граждан (Организация переобучения и повышения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 населения)</t>
  </si>
  <si>
    <t>1.5.</t>
  </si>
  <si>
    <t>Профессиональное обучение и 
дополнительное профессиональное образование отдельных категорий граждан (Переобучение, повышение квалификации работников предприятий в целях поддержки занятости и повышения эффективности рынка труда)</t>
  </si>
  <si>
    <t>1.6.</t>
  </si>
  <si>
    <t>Профессиональное обучение и 
дополнительное профессиональное образование отдельных категорий граждан (сотрудники службы занятости)</t>
  </si>
  <si>
    <t>*на работы не утверждаются нормативы затрат</t>
  </si>
  <si>
    <t>Скорая, в том числе специализированная медицинская помощь (включая медицинскую эвакуацию), включенная в базовую программу обязательного медицинского страхования</t>
  </si>
  <si>
    <t>Первичная специализированная медицинская помощь, по профилю психиатрия- наркология, в части наркологии, амбулаторная помощь</t>
  </si>
  <si>
    <t>Первичная специализированная медицинская помощь, по профилю фтизиатрия, амбулаторная помощь</t>
  </si>
  <si>
    <t>Первичная медико-санитарная помощь, (прием (осмотр, консультация) врача-генетика, врача акушера-гинеколога (пренатальный скрининг )</t>
  </si>
  <si>
    <t>Первичная специализированная медицинская помощь, по профилю дерматовенерология (в части венерологии) в условиях дневного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</si>
  <si>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 (в части венерологии) в условиях  стационара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</si>
  <si>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общего, среднего образования</t>
  </si>
  <si>
    <t>Медико-генетические лаборатории (пренатальный скрининг, неонатальный скрининг, химико-токсикологические исследования, серологические исследования)</t>
  </si>
  <si>
    <t xml:space="preserve">Реализация адаптированных общеобразовательных программ </t>
  </si>
  <si>
    <t>Реализация основных общеобразовательных программ дошкольного образования</t>
  </si>
  <si>
    <t>количество наименований, ед.</t>
  </si>
  <si>
    <t>количество информационных материалов, ед.</t>
  </si>
  <si>
    <t>количество туров, ед.</t>
  </si>
  <si>
    <t>количество посетителей интернет-сайта, ед.</t>
  </si>
  <si>
    <t>количество мероприятий, ед.</t>
  </si>
  <si>
    <t>Спортивная подготовка по олимпийским видам спорта. Волейбол. Этап высшего спортивного мастерства</t>
  </si>
  <si>
    <t>Спортивная подготовка по олимпийским видам спорта;Футбол;Этап высшего спортивного мастерства</t>
  </si>
  <si>
    <t>Организация и проведение официальных физкультурных (физкультурно-оздоровительных) мероприятий. Межмуниципальные</t>
  </si>
  <si>
    <t>Координация деятельности службы медицины катастроф Ленинградской области и обеспечение готовности ее сил и средств к ликвидации медико-санитарных последствий чрезвычайных ситуаций на территории Ленинградской области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</si>
  <si>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(Народное художественное творчество (по видам) - очная) 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</si>
  <si>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</si>
  <si>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(Социально-культурная деятельность ( по видам) - заочная)(услуга)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</si>
  <si>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(Музыкальное искусство эстрады (по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</si>
  <si>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(Декоративно-прикладное искусство и народные промыслы (по видам) - очная)(услуга)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</si>
  <si>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(Хоровое дирижирование (по видам) - очная)(услуга)</t>
  </si>
  <si>
    <t>Реализация дополнительных профессиональных образовательных программ повышения квалификации (очная)(услуга)</t>
  </si>
  <si>
    <t>Показ спектаклей (театральных постановок)                                                               (драма: на выезде, большая форма)(услуга)</t>
  </si>
  <si>
    <t>Показ спектаклей (театральных постановок)                                                                  (драма: на выезде, малая форма)(услуга)</t>
  </si>
  <si>
    <t>Показ спектаклей (театральных постановок)                                                                  (драма: на гастролях, малая форма)(услуга)</t>
  </si>
  <si>
    <t>Показ концертов и концертных программ (на выезде)(услуга)</t>
  </si>
  <si>
    <t>Показ концертов и концертных программ (на гастролях)(услуга)</t>
  </si>
  <si>
    <t>Создание спектаклей</t>
  </si>
  <si>
    <t>Создание концертов и концертных программ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</si>
  <si>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</si>
  <si>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</si>
  <si>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(удалённо через интернет)</t>
  </si>
  <si>
    <t>Создание экспозиций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</si>
  <si>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</si>
  <si>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Организация и проведение культурно-массовых мероприятий                                                                                                                                                                                                    </t>
  </si>
  <si>
    <t xml:space="preserve">Обеспечение сохранности и целостности историко-архитектурного комплекса, исторической среды и ландшафтов                                                                                                                                 </t>
  </si>
  <si>
    <t>спектаклей</t>
  </si>
  <si>
    <t>концертов (программ)</t>
  </si>
  <si>
    <t>выставок (экспозиций)</t>
  </si>
  <si>
    <t>музейных предметов</t>
  </si>
  <si>
    <t>мероприятия</t>
  </si>
  <si>
    <t>м2</t>
  </si>
  <si>
    <t>Управление делами Правительства Ленинградской области</t>
  </si>
  <si>
    <t>Комитет по сохранению объектов культурного наследия Ленинградской области</t>
  </si>
  <si>
    <t>Комитет по культуре и туризму Ленинградской области</t>
  </si>
  <si>
    <t xml:space="preserve">   Сведения о планируемых на очередной финансовый год и плановый период объемах оказания государственных услуг (работ) государственными бюджетными и государственными автономными учреждениями Ленинградской области, а также о планируемых объемах субсидий на их финансовое обеспечение в сравнении с ожидаемым исполнением за текущий 2021 финансовый год и исполнением за отчетный 2020 финансовый год</t>
  </si>
  <si>
    <t>2020 год (отчет)</t>
  </si>
  <si>
    <r>
      <t>2021 год</t>
    </r>
    <r>
      <rPr>
        <sz val="11"/>
        <color indexed="8"/>
        <rFont val="Times New Roman"/>
        <family val="1"/>
      </rPr>
      <t xml:space="preserve"> (ожидаемое исполнение)</t>
    </r>
  </si>
  <si>
    <t>2024 год (план)</t>
  </si>
  <si>
    <t>гб
(с 2019 - единица)</t>
  </si>
  <si>
    <t>единица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</si>
  <si>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 уполномоченным государственным органам по их требованию (в бумажном виде)</t>
  </si>
  <si>
    <t>Представление копий хранящихся отчетов и документов, сформированных в ходе определения кадастровой стоимости, а также документов и материалов, которые использовались при определении кадастровой стоимости уполномоченным государственным органам по их требованию (в электронном виде)</t>
  </si>
  <si>
    <t>Предоставление разъяснений, связанных с определением кадастровой стоимости объектов недвижимости (в электронном виде)</t>
  </si>
  <si>
    <t>Предоставление разъяснений, связанных с определением кадастровой стоимости объектов недвижимости (в бумажном виде)</t>
  </si>
  <si>
    <t>гб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</si>
  <si>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услуг, Организация предоставления государственных, муниципальных и иных услуг в многофункциональных центрах предоставления государственных и муниципальных услуг</t>
  </si>
  <si>
    <t>количество обращений, ед.</t>
  </si>
  <si>
    <t>Предоставление государственной услуги по государственной регистрации отдельных актов гражданского состояния</t>
  </si>
  <si>
    <r>
      <t xml:space="preserve">Проведение </t>
    </r>
    <r>
      <rPr>
        <sz val="11"/>
        <color indexed="8"/>
        <rFont val="Times New Roman"/>
        <family val="1"/>
      </rPr>
      <t>плановых профилактических вакцинаций животных (птиц) против особо опасных болезней животных и болезней, общих для человека и животных (птиц)</t>
    </r>
  </si>
  <si>
    <t>Отбор проб воды и их транспортировка для гидрохимических исследований</t>
  </si>
  <si>
    <t>Лабораторные исследования воды на гидрохимические показатели</t>
  </si>
  <si>
    <t>Методическое и организационное обеспечение поддержки пользователей АИСГЗ ЛО по вопросам обеспечения, эксплуатации, сопровождения и развития информационных систем</t>
  </si>
  <si>
    <t>- количество проведенных консультаций</t>
  </si>
  <si>
    <t>- количество проведеных семинаров</t>
  </si>
  <si>
    <t>- количество методических рекомендаций</t>
  </si>
  <si>
    <t xml:space="preserve">-количество пользователей, обеспеченных возможностью осуществления ЮЗЭД </t>
  </si>
  <si>
    <t>показатель отсутствовал</t>
  </si>
  <si>
    <t>Спортивная подготовка по олимпийским видам спорта;Футбол;Этап совершенствования спортивного мастерства</t>
  </si>
  <si>
    <t>Комитет по культуре Ленинградской области</t>
  </si>
  <si>
    <t>Постоянные затраты на содержание имущества государственного бюджетного учреждения</t>
  </si>
  <si>
    <t>15 формирований /417 (человек)**</t>
  </si>
  <si>
    <t xml:space="preserve">Показ спектаклей (театральных постановок) (драма:стационар, большая форма)(услуга) </t>
  </si>
  <si>
    <t>Показ спектаклей (театральных постановок)                                                                 (драма: на гастролях, большая форма)(услуга)</t>
  </si>
  <si>
    <t xml:space="preserve">Показ спектаклей (театральных постановок) (драма:стационар, малая форма)(услуга) </t>
  </si>
  <si>
    <r>
      <t xml:space="preserve">Организация работы клубных формирований и формирований самодеятельного народного творчества на базе учреждений культуры   </t>
    </r>
    <r>
      <rPr>
        <sz val="16"/>
        <rFont val="Times New Roman"/>
        <family val="1"/>
      </rPr>
      <t xml:space="preserve"> *              </t>
    </r>
  </si>
  <si>
    <t>челоеко--часов</t>
  </si>
  <si>
    <t>14 400 (200 чел.)</t>
  </si>
  <si>
    <t xml:space="preserve">Показ (организация показа) спектаклей (театральных постановок)  (стационар, во всех формах)(услуга) </t>
  </si>
  <si>
    <t xml:space="preserve">Показ (организация показа) спектаклей (театральных постановок)  (на выезде, во всех формах)(услуга) </t>
  </si>
  <si>
    <t xml:space="preserve">Показ (организация показа) спектаклей (театральных постановок) (на гастролях, во всех формах)(услуга) </t>
  </si>
  <si>
    <t>Показ (организация показа) концертных программ (на выезде)(услуга)</t>
  </si>
  <si>
    <t>Показ (организация показа) концертных программ (на гастролях)(услуга)</t>
  </si>
  <si>
    <t xml:space="preserve">Организация работы клубных формирований и формирований самодеятельного народного творчества на базе учреждений культуры               </t>
  </si>
  <si>
    <t>Организация и проведение культурно-массовых мероприятий</t>
  </si>
  <si>
    <t>количество проведенных мероприятий</t>
  </si>
  <si>
    <t>3 323 593</t>
  </si>
  <si>
    <t>Расходы в части постоянных затрат на содержание недвижимого имущества и особо ценного движимого имущества</t>
  </si>
  <si>
    <t>чел</t>
  </si>
  <si>
    <t>Сопровождение трудоустройства инвалидов и граждан с ограниченными возможностями здоровья, получивших образовательную услугу в нетиповом учреждении</t>
  </si>
  <si>
    <t>Организация сопровождаемого проживания инвалидов и лиц с ограниченными возможностями здоровья, получивших образовательную услугу в нетиповом учреждении</t>
  </si>
  <si>
    <t>чел/день</t>
  </si>
  <si>
    <t>Организация проживания инвалидов и граждан с ограниченными возможностями здоровья (ОВЗ) в период обучения в нетиповом учреждении</t>
  </si>
  <si>
    <t>Реализация адаптированных общеобразовательных программ начального и общего образования</t>
  </si>
  <si>
    <t>Осуществление автотранспортного обслуживания Администрации Ленинградской области</t>
  </si>
  <si>
    <t>Машино-час</t>
  </si>
  <si>
    <t>Осуществление автотранспортного обслуживания Законодательного собрания Ленинградской области</t>
  </si>
  <si>
    <t>Осуществление автотранспортного обслуживания государственных органов Ленинградской области</t>
  </si>
  <si>
    <t>Обеспечение автомобильным транспортом сенаторов Российской Федерации для осуществления ими своих полномочий на территории Ленинградской области</t>
  </si>
  <si>
    <t>Процент</t>
  </si>
  <si>
    <t>Обеспечение дежурным автотранспортом депутатов Государственной Думы Федерального Собрания Российской Федерации, осуществляющих свои полномочия на территории Ленинградской области</t>
  </si>
  <si>
    <t>Постоянные затраты на содержание имущества</t>
  </si>
  <si>
    <t>ВСЕГО</t>
  </si>
  <si>
    <t>Первичная медико-санитарная помощь, не включенная в базовую программу ОМС, оказываемая в экстренной форме при внезапных острых заболеваниях, состояниях, обострении хронических заболеваний, представляющих угрозу жизни пациента, граждан, не застрахованных по ОМС</t>
  </si>
  <si>
    <t>Высокотехнологичная медицинская помощь, не включенная в базовую программу обязательного медицинского страхования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</si>
  <si>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психотерапия в условиях стационара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</si>
  <si>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</si>
  <si>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1 (работа)</t>
  </si>
  <si>
    <t>Прием, хранение, доставка и передача медицинским и аптечным организациям Ленинградской области лекарственных средств, включая наркотические и психотропные средства, медицинские изделия, специализированные продукты лечебного питания, и осуществление организационных мероприятий по обеспечению льготных категорий граждан лекарственными средствами, включая наркотические и психотропные средства, медицинскими изделиями, специализированными продуктами лечебного питания</t>
  </si>
  <si>
    <t>Приложение 2 к пояснительной записке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</si>
</sst>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0"/>
    <numFmt numFmtId="179" formatCode="#,##0.0000"/>
    <numFmt numFmtId="180" formatCode="#,##0.000000"/>
    <numFmt numFmtId="181" formatCode="0.000"/>
    <numFmt numFmtId="182" formatCode="#,##0.00\ _₽"/>
    <numFmt numFmtId="183" formatCode="0_ ;[Red]\-0\ "/>
    <numFmt numFmtId="184" formatCode="0.0"/>
    <numFmt numFmtId="185" formatCode="_-* #,##0\ _₽_-;\-* #,##0\ _₽_-;_-* &quot;-&quot;??\ _₽_-;_-@_-"/>
    <numFmt numFmtId="186" formatCode="_-* #,##0.0_р_._-;\-* #,##0.0_р_._-;_-* &quot;-&quot;??_р_._-;_-@_-"/>
    <numFmt numFmtId="187" formatCode="_-* #,##0_р_._-;\-* #,##0_р_._-;_-* &quot;-&quot;??_р_._-;_-@_-"/>
    <numFmt numFmtId="188" formatCode="0.0%"/>
    <numFmt numFmtId="189" formatCode="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5"/>
      <color theme="1"/>
      <name val="Calibri"/>
      <family val="2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 horizontal="center"/>
    </xf>
    <xf numFmtId="0" fontId="51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4" fontId="5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4" fontId="54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2" fontId="52" fillId="0" borderId="10" xfId="63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2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2" fillId="0" borderId="11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51" fillId="0" borderId="12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5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1" fontId="2" fillId="0" borderId="10" xfId="63" applyFont="1" applyFill="1" applyBorder="1" applyAlignment="1">
      <alignment horizontal="center" vertical="center" wrapText="1"/>
    </xf>
    <xf numFmtId="171" fontId="2" fillId="0" borderId="10" xfId="63" applyFont="1" applyFill="1" applyBorder="1" applyAlignment="1" applyProtection="1">
      <alignment horizontal="right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71" fontId="55" fillId="0" borderId="10" xfId="63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vertical="center" wrapText="1"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177" fontId="51" fillId="0" borderId="10" xfId="0" applyNumberFormat="1" applyFont="1" applyFill="1" applyBorder="1" applyAlignment="1">
      <alignment horizontal="left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4" fontId="54" fillId="0" borderId="13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171" fontId="51" fillId="0" borderId="10" xfId="63" applyFont="1" applyFill="1" applyBorder="1" applyAlignment="1">
      <alignment horizontal="center" vertical="center"/>
    </xf>
    <xf numFmtId="9" fontId="51" fillId="0" borderId="10" xfId="0" applyNumberFormat="1" applyFont="1" applyFill="1" applyBorder="1" applyAlignment="1">
      <alignment horizontal="center" vertical="center"/>
    </xf>
    <xf numFmtId="171" fontId="51" fillId="0" borderId="0" xfId="63" applyFont="1" applyFill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51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4" fontId="55" fillId="33" borderId="14" xfId="0" applyNumberFormat="1" applyFont="1" applyFill="1" applyBorder="1" applyAlignment="1">
      <alignment horizontal="center" vertical="center" wrapText="1"/>
    </xf>
    <xf numFmtId="4" fontId="55" fillId="33" borderId="15" xfId="0" applyNumberFormat="1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horizontal="center" vertical="center" wrapText="1"/>
    </xf>
    <xf numFmtId="4" fontId="55" fillId="33" borderId="17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4" fontId="55" fillId="33" borderId="18" xfId="0" applyNumberFormat="1" applyFont="1" applyFill="1" applyBorder="1" applyAlignment="1">
      <alignment horizontal="center" vertical="center" wrapText="1"/>
    </xf>
    <xf numFmtId="4" fontId="55" fillId="33" borderId="19" xfId="0" applyNumberFormat="1" applyFont="1" applyFill="1" applyBorder="1" applyAlignment="1">
      <alignment horizontal="center" vertical="center" wrapText="1"/>
    </xf>
    <xf numFmtId="4" fontId="55" fillId="33" borderId="20" xfId="0" applyNumberFormat="1" applyFont="1" applyFill="1" applyBorder="1" applyAlignment="1">
      <alignment horizontal="center" vertical="center" wrapText="1"/>
    </xf>
    <xf numFmtId="4" fontId="55" fillId="33" borderId="21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2" fontId="52" fillId="33" borderId="13" xfId="63" applyNumberFormat="1" applyFont="1" applyFill="1" applyBorder="1" applyAlignment="1">
      <alignment horizontal="center" vertical="center" wrapText="1"/>
    </xf>
    <xf numFmtId="2" fontId="51" fillId="33" borderId="13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177" fontId="55" fillId="0" borderId="12" xfId="0" applyNumberFormat="1" applyFont="1" applyFill="1" applyBorder="1" applyAlignment="1">
      <alignment horizontal="center" vertical="center" wrapText="1"/>
    </xf>
    <xf numFmtId="177" fontId="55" fillId="0" borderId="13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по код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3"/>
  <sheetViews>
    <sheetView zoomScale="90" zoomScaleNormal="90" workbookViewId="0" topLeftCell="A1">
      <pane ySplit="4" topLeftCell="A5" activePane="bottomLeft" state="frozen"/>
      <selection pane="topLeft" activeCell="A1" sqref="A1"/>
      <selection pane="bottomLeft" activeCell="N243" sqref="N243:R243"/>
    </sheetView>
  </sheetViews>
  <sheetFormatPr defaultColWidth="9.140625" defaultRowHeight="15"/>
  <cols>
    <col min="1" max="1" width="7.7109375" style="4" customWidth="1"/>
    <col min="2" max="2" width="46.140625" style="52" customWidth="1"/>
    <col min="3" max="3" width="19.00390625" style="27" bestFit="1" customWidth="1"/>
    <col min="4" max="4" width="16.421875" style="4" customWidth="1"/>
    <col min="5" max="5" width="13.00390625" style="4" customWidth="1"/>
    <col min="6" max="6" width="14.7109375" style="4" customWidth="1"/>
    <col min="7" max="7" width="13.28125" style="4" customWidth="1"/>
    <col min="8" max="8" width="14.28125" style="4" customWidth="1"/>
    <col min="9" max="9" width="14.140625" style="4" hidden="1" customWidth="1"/>
    <col min="10" max="10" width="15.140625" style="4" hidden="1" customWidth="1"/>
    <col min="11" max="12" width="15.57421875" style="4" hidden="1" customWidth="1"/>
    <col min="13" max="13" width="15.140625" style="4" hidden="1" customWidth="1"/>
    <col min="14" max="14" width="15.28125" style="4" customWidth="1"/>
    <col min="15" max="15" width="14.140625" style="4" customWidth="1"/>
    <col min="16" max="16" width="15.57421875" style="4" customWidth="1"/>
    <col min="17" max="17" width="14.421875" style="4" customWidth="1"/>
    <col min="18" max="18" width="14.140625" style="4" customWidth="1"/>
    <col min="19" max="20" width="14.00390625" style="4" customWidth="1"/>
    <col min="21" max="21" width="28.140625" style="4" customWidth="1"/>
    <col min="22" max="22" width="19.00390625" style="4" customWidth="1"/>
    <col min="23" max="23" width="17.28125" style="4" customWidth="1"/>
    <col min="24" max="24" width="11.8515625" style="4" customWidth="1"/>
    <col min="25" max="25" width="12.28125" style="4" customWidth="1"/>
    <col min="26" max="26" width="12.7109375" style="4" customWidth="1"/>
    <col min="27" max="16384" width="9.140625" style="4" customWidth="1"/>
  </cols>
  <sheetData>
    <row r="1" spans="1:18" s="2" customFormat="1" ht="60.75" customHeight="1">
      <c r="A1" s="139" t="s">
        <v>276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s="2" customFormat="1" ht="54" customHeight="1">
      <c r="A2" s="140" t="s">
        <v>1</v>
      </c>
      <c r="B2" s="141" t="s">
        <v>2</v>
      </c>
      <c r="C2" s="140" t="s">
        <v>3</v>
      </c>
      <c r="D2" s="140" t="s">
        <v>4</v>
      </c>
      <c r="E2" s="140"/>
      <c r="F2" s="140"/>
      <c r="G2" s="140"/>
      <c r="H2" s="140"/>
      <c r="I2" s="143" t="s">
        <v>59</v>
      </c>
      <c r="J2" s="144"/>
      <c r="K2" s="144"/>
      <c r="L2" s="144"/>
      <c r="M2" s="145"/>
      <c r="N2" s="140" t="s">
        <v>5</v>
      </c>
      <c r="O2" s="140"/>
      <c r="P2" s="140"/>
      <c r="Q2" s="140"/>
      <c r="R2" s="140"/>
    </row>
    <row r="3" spans="1:18" s="2" customFormat="1" ht="45">
      <c r="A3" s="140"/>
      <c r="B3" s="142"/>
      <c r="C3" s="140"/>
      <c r="D3" s="28" t="s">
        <v>9</v>
      </c>
      <c r="E3" s="28" t="s">
        <v>269</v>
      </c>
      <c r="F3" s="28" t="s">
        <v>6</v>
      </c>
      <c r="G3" s="28" t="s">
        <v>7</v>
      </c>
      <c r="H3" s="28" t="s">
        <v>11</v>
      </c>
      <c r="I3" s="28" t="s">
        <v>9</v>
      </c>
      <c r="J3" s="28" t="s">
        <v>10</v>
      </c>
      <c r="K3" s="28" t="s">
        <v>6</v>
      </c>
      <c r="L3" s="28" t="s">
        <v>7</v>
      </c>
      <c r="M3" s="28" t="s">
        <v>11</v>
      </c>
      <c r="N3" s="28" t="s">
        <v>9</v>
      </c>
      <c r="O3" s="28" t="s">
        <v>10</v>
      </c>
      <c r="P3" s="28" t="s">
        <v>6</v>
      </c>
      <c r="Q3" s="28" t="s">
        <v>7</v>
      </c>
      <c r="R3" s="28" t="s">
        <v>11</v>
      </c>
    </row>
    <row r="4" spans="1:18" s="2" customFormat="1" ht="15">
      <c r="A4" s="1">
        <v>1</v>
      </c>
      <c r="B4" s="48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28">
        <v>14</v>
      </c>
      <c r="O4" s="28">
        <v>15</v>
      </c>
      <c r="P4" s="28">
        <v>16</v>
      </c>
      <c r="Q4" s="28">
        <v>17</v>
      </c>
      <c r="R4" s="28">
        <v>18</v>
      </c>
    </row>
    <row r="5" spans="1:18" s="2" customFormat="1" ht="15" hidden="1">
      <c r="A5" s="138" t="s">
        <v>12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22" s="2" customFormat="1" ht="45" hidden="1">
      <c r="A6" s="1">
        <v>1</v>
      </c>
      <c r="B6" s="33" t="s">
        <v>13</v>
      </c>
      <c r="C6" s="1" t="s">
        <v>14</v>
      </c>
      <c r="D6" s="14">
        <v>1</v>
      </c>
      <c r="E6" s="14">
        <v>2</v>
      </c>
      <c r="F6" s="14">
        <v>2</v>
      </c>
      <c r="G6" s="14">
        <v>2</v>
      </c>
      <c r="H6" s="14">
        <v>2</v>
      </c>
      <c r="I6" s="14">
        <v>185810.03639999998</v>
      </c>
      <c r="J6" s="14">
        <v>508241.70399999997</v>
      </c>
      <c r="K6" s="14">
        <v>698832.343</v>
      </c>
      <c r="L6" s="14">
        <v>889422.9820000001</v>
      </c>
      <c r="M6" s="14">
        <v>1080013.621</v>
      </c>
      <c r="N6" s="14">
        <f>D6*I6/1000</f>
        <v>185.81003639999997</v>
      </c>
      <c r="O6" s="14">
        <f>J6*E6/1000</f>
        <v>1016.4834079999999</v>
      </c>
      <c r="P6" s="14">
        <f>K6*F6/1000</f>
        <v>1397.664686</v>
      </c>
      <c r="Q6" s="14">
        <f>L6*G6/1000</f>
        <v>1778.845964</v>
      </c>
      <c r="R6" s="14">
        <f>M6*H6/1000</f>
        <v>2160.027242</v>
      </c>
      <c r="S6" s="5"/>
      <c r="T6" s="5"/>
      <c r="U6" s="5"/>
      <c r="V6" s="5"/>
    </row>
    <row r="7" spans="1:22" s="2" customFormat="1" ht="45" hidden="1">
      <c r="A7" s="1">
        <v>2</v>
      </c>
      <c r="B7" s="33" t="s">
        <v>30</v>
      </c>
      <c r="C7" s="1" t="s">
        <v>14</v>
      </c>
      <c r="D7" s="14">
        <v>6</v>
      </c>
      <c r="E7" s="14">
        <v>7</v>
      </c>
      <c r="F7" s="14">
        <v>7</v>
      </c>
      <c r="G7" s="14">
        <v>7</v>
      </c>
      <c r="H7" s="14">
        <v>7</v>
      </c>
      <c r="I7" s="14">
        <v>186916.29929999998</v>
      </c>
      <c r="J7" s="14">
        <v>276276.892</v>
      </c>
      <c r="K7" s="14">
        <v>379880.7265</v>
      </c>
      <c r="L7" s="14">
        <v>483484.561</v>
      </c>
      <c r="M7" s="14">
        <v>587088.3955</v>
      </c>
      <c r="N7" s="14">
        <f aca="true" t="shared" si="0" ref="N7:N22">D7*I7/1000</f>
        <v>1121.4977958</v>
      </c>
      <c r="O7" s="14">
        <f aca="true" t="shared" si="1" ref="O7:O24">J7*E7/1000</f>
        <v>1933.938244</v>
      </c>
      <c r="P7" s="14">
        <f aca="true" t="shared" si="2" ref="P7:P24">K7*F7/1000</f>
        <v>2659.1650855000003</v>
      </c>
      <c r="Q7" s="14">
        <f aca="true" t="shared" si="3" ref="Q7:Q24">L7*G7/1000</f>
        <v>3384.391927</v>
      </c>
      <c r="R7" s="14">
        <f aca="true" t="shared" si="4" ref="R7:R24">M7*H7/1000</f>
        <v>4109.6187684999995</v>
      </c>
      <c r="S7" s="5"/>
      <c r="T7" s="5"/>
      <c r="U7" s="5"/>
      <c r="V7" s="5"/>
    </row>
    <row r="8" spans="1:22" s="2" customFormat="1" ht="45" hidden="1">
      <c r="A8" s="1">
        <v>3</v>
      </c>
      <c r="B8" s="33" t="s">
        <v>29</v>
      </c>
      <c r="C8" s="1" t="s">
        <v>14</v>
      </c>
      <c r="D8" s="14">
        <v>5</v>
      </c>
      <c r="E8" s="14">
        <v>6</v>
      </c>
      <c r="F8" s="14">
        <v>6</v>
      </c>
      <c r="G8" s="14">
        <v>6</v>
      </c>
      <c r="H8" s="14">
        <v>6</v>
      </c>
      <c r="I8" s="14">
        <v>291649.2831</v>
      </c>
      <c r="J8" s="14">
        <v>409729.97599999997</v>
      </c>
      <c r="K8" s="14">
        <v>563378.717</v>
      </c>
      <c r="L8" s="14">
        <v>717027.458</v>
      </c>
      <c r="M8" s="14">
        <v>870676.1989999999</v>
      </c>
      <c r="N8" s="14">
        <f t="shared" si="0"/>
        <v>1458.2464155</v>
      </c>
      <c r="O8" s="14">
        <f t="shared" si="1"/>
        <v>2458.3798559999996</v>
      </c>
      <c r="P8" s="14">
        <f t="shared" si="2"/>
        <v>3380.272302</v>
      </c>
      <c r="Q8" s="14">
        <f t="shared" si="3"/>
        <v>4302.164747999999</v>
      </c>
      <c r="R8" s="14">
        <f t="shared" si="4"/>
        <v>5224.057193999999</v>
      </c>
      <c r="S8" s="5"/>
      <c r="T8" s="5"/>
      <c r="U8" s="5"/>
      <c r="V8" s="5"/>
    </row>
    <row r="9" spans="1:22" s="2" customFormat="1" ht="45" hidden="1">
      <c r="A9" s="1">
        <v>4</v>
      </c>
      <c r="B9" s="33" t="s">
        <v>28</v>
      </c>
      <c r="C9" s="1" t="s">
        <v>14</v>
      </c>
      <c r="D9" s="14">
        <v>9</v>
      </c>
      <c r="E9" s="14">
        <v>8</v>
      </c>
      <c r="F9" s="14">
        <v>8</v>
      </c>
      <c r="G9" s="14">
        <v>8</v>
      </c>
      <c r="H9" s="14">
        <v>8</v>
      </c>
      <c r="I9" s="14">
        <v>215014.5513</v>
      </c>
      <c r="J9" s="14">
        <v>292956.51200000005</v>
      </c>
      <c r="K9" s="14">
        <v>402815.20399999997</v>
      </c>
      <c r="L9" s="14">
        <v>512673.896</v>
      </c>
      <c r="M9" s="14">
        <v>622532.588</v>
      </c>
      <c r="N9" s="14">
        <f t="shared" si="0"/>
        <v>1935.1309617</v>
      </c>
      <c r="O9" s="14">
        <f t="shared" si="1"/>
        <v>2343.6520960000003</v>
      </c>
      <c r="P9" s="14">
        <f t="shared" si="2"/>
        <v>3222.521632</v>
      </c>
      <c r="Q9" s="14">
        <f t="shared" si="3"/>
        <v>4101.391168</v>
      </c>
      <c r="R9" s="14">
        <f t="shared" si="4"/>
        <v>4980.260704</v>
      </c>
      <c r="S9" s="5"/>
      <c r="T9" s="5"/>
      <c r="U9" s="5"/>
      <c r="V9" s="5"/>
    </row>
    <row r="10" spans="1:22" s="2" customFormat="1" ht="45" hidden="1">
      <c r="A10" s="1">
        <v>5</v>
      </c>
      <c r="B10" s="33" t="s">
        <v>27</v>
      </c>
      <c r="C10" s="1" t="s">
        <v>14</v>
      </c>
      <c r="D10" s="14">
        <v>6</v>
      </c>
      <c r="E10" s="14">
        <v>12</v>
      </c>
      <c r="F10" s="14">
        <v>24</v>
      </c>
      <c r="G10" s="14">
        <v>24</v>
      </c>
      <c r="H10" s="14">
        <v>24</v>
      </c>
      <c r="I10" s="14">
        <v>159679.47149999999</v>
      </c>
      <c r="J10" s="14">
        <v>231793.47200000004</v>
      </c>
      <c r="K10" s="14">
        <v>318716.02400000003</v>
      </c>
      <c r="L10" s="14">
        <v>405638.576</v>
      </c>
      <c r="M10" s="14">
        <v>492561.128</v>
      </c>
      <c r="N10" s="14">
        <f t="shared" si="0"/>
        <v>958.0768289999999</v>
      </c>
      <c r="O10" s="14">
        <f t="shared" si="1"/>
        <v>2781.5216640000003</v>
      </c>
      <c r="P10" s="14">
        <f t="shared" si="2"/>
        <v>7649.1845760000015</v>
      </c>
      <c r="Q10" s="14">
        <f t="shared" si="3"/>
        <v>9735.325824000001</v>
      </c>
      <c r="R10" s="14">
        <f t="shared" si="4"/>
        <v>11821.467072000001</v>
      </c>
      <c r="S10" s="5"/>
      <c r="T10" s="5"/>
      <c r="U10" s="5"/>
      <c r="V10" s="5"/>
    </row>
    <row r="11" spans="1:22" s="2" customFormat="1" ht="45" hidden="1">
      <c r="A11" s="1">
        <v>6</v>
      </c>
      <c r="B11" s="33" t="s">
        <v>24</v>
      </c>
      <c r="C11" s="1" t="s">
        <v>14</v>
      </c>
      <c r="D11" s="14">
        <v>10</v>
      </c>
      <c r="E11" s="14">
        <v>12</v>
      </c>
      <c r="F11" s="14">
        <v>12</v>
      </c>
      <c r="G11" s="14">
        <v>12</v>
      </c>
      <c r="H11" s="14">
        <v>12</v>
      </c>
      <c r="I11" s="14">
        <v>140860.2474</v>
      </c>
      <c r="J11" s="14">
        <v>215346.63599999997</v>
      </c>
      <c r="K11" s="14">
        <v>296101.6245</v>
      </c>
      <c r="L11" s="14">
        <v>376856.61299999995</v>
      </c>
      <c r="M11" s="14">
        <v>457611.6015</v>
      </c>
      <c r="N11" s="14">
        <f t="shared" si="0"/>
        <v>1408.602474</v>
      </c>
      <c r="O11" s="14">
        <f t="shared" si="1"/>
        <v>2584.159632</v>
      </c>
      <c r="P11" s="14">
        <f t="shared" si="2"/>
        <v>3553.219494</v>
      </c>
      <c r="Q11" s="14">
        <f t="shared" si="3"/>
        <v>4522.279356</v>
      </c>
      <c r="R11" s="14">
        <f t="shared" si="4"/>
        <v>5491.339218</v>
      </c>
      <c r="S11" s="5"/>
      <c r="T11" s="5"/>
      <c r="U11" s="5"/>
      <c r="V11" s="5"/>
    </row>
    <row r="12" spans="1:22" s="2" customFormat="1" ht="45" hidden="1">
      <c r="A12" s="1">
        <v>7</v>
      </c>
      <c r="B12" s="33" t="s">
        <v>25</v>
      </c>
      <c r="C12" s="1" t="s">
        <v>14</v>
      </c>
      <c r="D12" s="14">
        <v>27</v>
      </c>
      <c r="E12" s="14">
        <v>19</v>
      </c>
      <c r="F12" s="14">
        <v>19</v>
      </c>
      <c r="G12" s="14">
        <v>19</v>
      </c>
      <c r="H12" s="14">
        <v>19</v>
      </c>
      <c r="I12" s="14">
        <v>145056.5469</v>
      </c>
      <c r="J12" s="14">
        <v>213543.44</v>
      </c>
      <c r="K12" s="14">
        <v>293622.23</v>
      </c>
      <c r="L12" s="14">
        <v>373701.02</v>
      </c>
      <c r="M12" s="14">
        <v>453779.81</v>
      </c>
      <c r="N12" s="14">
        <f t="shared" si="0"/>
        <v>3916.5267663</v>
      </c>
      <c r="O12" s="14">
        <f t="shared" si="1"/>
        <v>4057.32536</v>
      </c>
      <c r="P12" s="14">
        <f t="shared" si="2"/>
        <v>5578.822369999999</v>
      </c>
      <c r="Q12" s="14">
        <f t="shared" si="3"/>
        <v>7100.319380000001</v>
      </c>
      <c r="R12" s="14">
        <f t="shared" si="4"/>
        <v>8621.81639</v>
      </c>
      <c r="S12" s="5"/>
      <c r="T12" s="5"/>
      <c r="U12" s="5"/>
      <c r="V12" s="5"/>
    </row>
    <row r="13" spans="1:22" s="2" customFormat="1" ht="45" hidden="1">
      <c r="A13" s="1">
        <v>8</v>
      </c>
      <c r="B13" s="33" t="s">
        <v>26</v>
      </c>
      <c r="C13" s="1" t="s">
        <v>14</v>
      </c>
      <c r="D13" s="14">
        <v>36</v>
      </c>
      <c r="E13" s="14">
        <v>53</v>
      </c>
      <c r="F13" s="14">
        <v>78</v>
      </c>
      <c r="G13" s="14">
        <v>78</v>
      </c>
      <c r="H13" s="14">
        <v>78</v>
      </c>
      <c r="I13" s="14">
        <v>119953.4886</v>
      </c>
      <c r="J13" s="14">
        <v>177225.392</v>
      </c>
      <c r="K13" s="14">
        <v>243684.914</v>
      </c>
      <c r="L13" s="14">
        <v>310144.436</v>
      </c>
      <c r="M13" s="14">
        <v>376603.958</v>
      </c>
      <c r="N13" s="14">
        <f t="shared" si="0"/>
        <v>4318.325589599999</v>
      </c>
      <c r="O13" s="14">
        <f t="shared" si="1"/>
        <v>9392.945776</v>
      </c>
      <c r="P13" s="14">
        <f t="shared" si="2"/>
        <v>19007.423292</v>
      </c>
      <c r="Q13" s="14">
        <f t="shared" si="3"/>
        <v>24191.266008</v>
      </c>
      <c r="R13" s="14">
        <f t="shared" si="4"/>
        <v>29375.108723999998</v>
      </c>
      <c r="S13" s="5"/>
      <c r="T13" s="5"/>
      <c r="U13" s="5"/>
      <c r="V13" s="5"/>
    </row>
    <row r="14" spans="1:22" s="2" customFormat="1" ht="45" hidden="1">
      <c r="A14" s="1">
        <v>9</v>
      </c>
      <c r="B14" s="33" t="s">
        <v>23</v>
      </c>
      <c r="C14" s="1" t="s">
        <v>14</v>
      </c>
      <c r="D14" s="14">
        <v>43</v>
      </c>
      <c r="E14" s="14">
        <v>43</v>
      </c>
      <c r="F14" s="14">
        <v>43</v>
      </c>
      <c r="G14" s="14">
        <v>43</v>
      </c>
      <c r="H14" s="14">
        <v>43</v>
      </c>
      <c r="I14" s="14">
        <v>155656.7793</v>
      </c>
      <c r="J14" s="14">
        <v>229367.956</v>
      </c>
      <c r="K14" s="14">
        <v>315380.9395</v>
      </c>
      <c r="L14" s="14">
        <v>401393.92300000007</v>
      </c>
      <c r="M14" s="14">
        <v>487406.9065</v>
      </c>
      <c r="N14" s="14">
        <f t="shared" si="0"/>
        <v>6693.2415099</v>
      </c>
      <c r="O14" s="14">
        <f t="shared" si="1"/>
        <v>9862.822108</v>
      </c>
      <c r="P14" s="14">
        <f t="shared" si="2"/>
        <v>13561.3803985</v>
      </c>
      <c r="Q14" s="14">
        <f t="shared" si="3"/>
        <v>17259.938689000002</v>
      </c>
      <c r="R14" s="14">
        <f t="shared" si="4"/>
        <v>20958.4969795</v>
      </c>
      <c r="S14" s="5"/>
      <c r="T14" s="5"/>
      <c r="U14" s="5"/>
      <c r="V14" s="5"/>
    </row>
    <row r="15" spans="1:22" s="2" customFormat="1" ht="45" hidden="1">
      <c r="A15" s="1">
        <v>10</v>
      </c>
      <c r="B15" s="33" t="s">
        <v>31</v>
      </c>
      <c r="C15" s="1" t="s">
        <v>14</v>
      </c>
      <c r="D15" s="14">
        <v>24</v>
      </c>
      <c r="E15" s="14">
        <v>24</v>
      </c>
      <c r="F15" s="14">
        <v>24</v>
      </c>
      <c r="G15" s="14">
        <v>24</v>
      </c>
      <c r="H15" s="14">
        <v>24</v>
      </c>
      <c r="I15" s="14">
        <v>144564.6096</v>
      </c>
      <c r="J15" s="14">
        <v>212438.896</v>
      </c>
      <c r="K15" s="14">
        <v>292103.482</v>
      </c>
      <c r="L15" s="14">
        <v>371768.06799999997</v>
      </c>
      <c r="M15" s="14">
        <v>451432.654</v>
      </c>
      <c r="N15" s="14">
        <f t="shared" si="0"/>
        <v>3469.5506304</v>
      </c>
      <c r="O15" s="14">
        <f t="shared" si="1"/>
        <v>5098.533504000001</v>
      </c>
      <c r="P15" s="14">
        <f t="shared" si="2"/>
        <v>7010.483568</v>
      </c>
      <c r="Q15" s="14">
        <f t="shared" si="3"/>
        <v>8922.433631999998</v>
      </c>
      <c r="R15" s="14">
        <f t="shared" si="4"/>
        <v>10834.383695999999</v>
      </c>
      <c r="S15" s="5"/>
      <c r="T15" s="5"/>
      <c r="U15" s="5"/>
      <c r="V15" s="5"/>
    </row>
    <row r="16" spans="1:22" s="2" customFormat="1" ht="45" hidden="1">
      <c r="A16" s="1">
        <v>11</v>
      </c>
      <c r="B16" s="33" t="s">
        <v>35</v>
      </c>
      <c r="C16" s="1" t="s">
        <v>14</v>
      </c>
      <c r="D16" s="14">
        <v>1</v>
      </c>
      <c r="E16" s="14">
        <v>2</v>
      </c>
      <c r="F16" s="14">
        <v>2</v>
      </c>
      <c r="G16" s="14">
        <v>2</v>
      </c>
      <c r="H16" s="14">
        <v>2</v>
      </c>
      <c r="I16" s="14">
        <v>338940</v>
      </c>
      <c r="J16" s="14">
        <v>538447.62</v>
      </c>
      <c r="K16" s="14">
        <v>740365.4775</v>
      </c>
      <c r="L16" s="14">
        <v>942283.335</v>
      </c>
      <c r="M16" s="14">
        <v>1144201.1925</v>
      </c>
      <c r="N16" s="14">
        <f t="shared" si="0"/>
        <v>338.94</v>
      </c>
      <c r="O16" s="14">
        <f t="shared" si="1"/>
        <v>1076.89524</v>
      </c>
      <c r="P16" s="14">
        <f t="shared" si="2"/>
        <v>1480.730955</v>
      </c>
      <c r="Q16" s="14">
        <f t="shared" si="3"/>
        <v>1884.56667</v>
      </c>
      <c r="R16" s="14">
        <f t="shared" si="4"/>
        <v>2288.402385</v>
      </c>
      <c r="S16" s="5"/>
      <c r="T16" s="5"/>
      <c r="U16" s="5"/>
      <c r="V16" s="5"/>
    </row>
    <row r="17" spans="1:22" s="2" customFormat="1" ht="45" hidden="1">
      <c r="A17" s="1">
        <v>12</v>
      </c>
      <c r="B17" s="33" t="s">
        <v>51</v>
      </c>
      <c r="C17" s="1" t="s">
        <v>14</v>
      </c>
      <c r="D17" s="14">
        <v>0</v>
      </c>
      <c r="E17" s="14">
        <v>2</v>
      </c>
      <c r="F17" s="14">
        <v>2</v>
      </c>
      <c r="G17" s="14">
        <v>2</v>
      </c>
      <c r="H17" s="14">
        <v>2</v>
      </c>
      <c r="I17" s="14" t="s">
        <v>58</v>
      </c>
      <c r="J17" s="14">
        <v>483441.52</v>
      </c>
      <c r="K17" s="14">
        <v>664732.09</v>
      </c>
      <c r="L17" s="14">
        <v>846022.66</v>
      </c>
      <c r="M17" s="14">
        <v>1027313.23</v>
      </c>
      <c r="N17" s="14">
        <v>0</v>
      </c>
      <c r="O17" s="14">
        <f t="shared" si="1"/>
        <v>966.88304</v>
      </c>
      <c r="P17" s="14">
        <f t="shared" si="2"/>
        <v>1329.46418</v>
      </c>
      <c r="Q17" s="14">
        <f t="shared" si="3"/>
        <v>1692.0453200000002</v>
      </c>
      <c r="R17" s="14">
        <f t="shared" si="4"/>
        <v>2054.62646</v>
      </c>
      <c r="S17" s="5"/>
      <c r="T17" s="5"/>
      <c r="U17" s="5"/>
      <c r="V17" s="5"/>
    </row>
    <row r="18" spans="1:22" s="2" customFormat="1" ht="45" hidden="1">
      <c r="A18" s="1">
        <v>13</v>
      </c>
      <c r="B18" s="33" t="s">
        <v>36</v>
      </c>
      <c r="C18" s="1" t="s">
        <v>14</v>
      </c>
      <c r="D18" s="14">
        <v>7</v>
      </c>
      <c r="E18" s="14">
        <v>15</v>
      </c>
      <c r="F18" s="14">
        <v>17</v>
      </c>
      <c r="G18" s="14">
        <v>19</v>
      </c>
      <c r="H18" s="14">
        <v>19</v>
      </c>
      <c r="I18" s="14">
        <v>169271.39099999997</v>
      </c>
      <c r="J18" s="14">
        <v>217914.76</v>
      </c>
      <c r="K18" s="14">
        <v>299632.795</v>
      </c>
      <c r="L18" s="14">
        <v>381350.83</v>
      </c>
      <c r="M18" s="14">
        <v>463068.865</v>
      </c>
      <c r="N18" s="14">
        <f t="shared" si="0"/>
        <v>1184.8997369999997</v>
      </c>
      <c r="O18" s="14">
        <f t="shared" si="1"/>
        <v>3268.7214000000004</v>
      </c>
      <c r="P18" s="14">
        <f t="shared" si="2"/>
        <v>5093.757514999999</v>
      </c>
      <c r="Q18" s="14">
        <f t="shared" si="3"/>
        <v>7245.6657700000005</v>
      </c>
      <c r="R18" s="14">
        <f t="shared" si="4"/>
        <v>8798.308435</v>
      </c>
      <c r="S18" s="5"/>
      <c r="T18" s="5"/>
      <c r="U18" s="5"/>
      <c r="V18" s="5"/>
    </row>
    <row r="19" spans="1:22" s="2" customFormat="1" ht="45" hidden="1">
      <c r="A19" s="1">
        <v>14</v>
      </c>
      <c r="B19" s="33" t="s">
        <v>37</v>
      </c>
      <c r="C19" s="1" t="s">
        <v>14</v>
      </c>
      <c r="D19" s="14">
        <v>1</v>
      </c>
      <c r="E19" s="14">
        <v>1</v>
      </c>
      <c r="F19" s="14">
        <v>2</v>
      </c>
      <c r="G19" s="14">
        <v>2</v>
      </c>
      <c r="H19" s="14">
        <v>2</v>
      </c>
      <c r="I19" s="14">
        <v>338938.539</v>
      </c>
      <c r="J19" s="14">
        <v>452700.32</v>
      </c>
      <c r="K19" s="14">
        <v>622462.94</v>
      </c>
      <c r="L19" s="14">
        <v>792225.56</v>
      </c>
      <c r="M19" s="14">
        <v>961988.18</v>
      </c>
      <c r="N19" s="14">
        <f t="shared" si="0"/>
        <v>338.938539</v>
      </c>
      <c r="O19" s="14">
        <f t="shared" si="1"/>
        <v>452.70032000000003</v>
      </c>
      <c r="P19" s="14">
        <f t="shared" si="2"/>
        <v>1244.9258799999998</v>
      </c>
      <c r="Q19" s="14">
        <f t="shared" si="3"/>
        <v>1584.4511200000002</v>
      </c>
      <c r="R19" s="14">
        <f t="shared" si="4"/>
        <v>1923.97636</v>
      </c>
      <c r="S19" s="5"/>
      <c r="T19" s="5"/>
      <c r="U19" s="5"/>
      <c r="V19" s="5"/>
    </row>
    <row r="20" spans="1:22" s="2" customFormat="1" ht="45" hidden="1">
      <c r="A20" s="1">
        <v>15</v>
      </c>
      <c r="B20" s="33" t="s">
        <v>38</v>
      </c>
      <c r="C20" s="1" t="s">
        <v>14</v>
      </c>
      <c r="D20" s="14">
        <v>2</v>
      </c>
      <c r="E20" s="14">
        <v>2</v>
      </c>
      <c r="F20" s="14">
        <v>3</v>
      </c>
      <c r="G20" s="14">
        <v>5</v>
      </c>
      <c r="H20" s="14">
        <v>5</v>
      </c>
      <c r="I20" s="14">
        <v>276377.436</v>
      </c>
      <c r="J20" s="14">
        <v>368267.848</v>
      </c>
      <c r="K20" s="14">
        <v>506368.291</v>
      </c>
      <c r="L20" s="14">
        <v>644468.7339999999</v>
      </c>
      <c r="M20" s="14">
        <v>782569.177</v>
      </c>
      <c r="N20" s="14">
        <f t="shared" si="0"/>
        <v>552.754872</v>
      </c>
      <c r="O20" s="14">
        <f t="shared" si="1"/>
        <v>736.535696</v>
      </c>
      <c r="P20" s="14">
        <f t="shared" si="2"/>
        <v>1519.1048730000002</v>
      </c>
      <c r="Q20" s="14">
        <f t="shared" si="3"/>
        <v>3222.3436699999997</v>
      </c>
      <c r="R20" s="14">
        <f t="shared" si="4"/>
        <v>3912.845885</v>
      </c>
      <c r="S20" s="5"/>
      <c r="T20" s="5"/>
      <c r="U20" s="5"/>
      <c r="V20" s="5"/>
    </row>
    <row r="21" spans="1:22" s="2" customFormat="1" ht="45" hidden="1">
      <c r="A21" s="1">
        <v>16</v>
      </c>
      <c r="B21" s="33" t="s">
        <v>39</v>
      </c>
      <c r="C21" s="1" t="s">
        <v>14</v>
      </c>
      <c r="D21" s="14">
        <v>75</v>
      </c>
      <c r="E21" s="14">
        <v>109</v>
      </c>
      <c r="F21" s="14">
        <v>124</v>
      </c>
      <c r="G21" s="14">
        <v>126</v>
      </c>
      <c r="H21" s="14">
        <v>126</v>
      </c>
      <c r="I21" s="14">
        <v>182311.755</v>
      </c>
      <c r="J21" s="14">
        <v>243681.908</v>
      </c>
      <c r="K21" s="14">
        <v>335062.6235</v>
      </c>
      <c r="L21" s="14">
        <v>426443.339</v>
      </c>
      <c r="M21" s="14">
        <v>517824.0545</v>
      </c>
      <c r="N21" s="14">
        <f t="shared" si="0"/>
        <v>13673.381625</v>
      </c>
      <c r="O21" s="14">
        <f t="shared" si="1"/>
        <v>26561.327972</v>
      </c>
      <c r="P21" s="14">
        <f t="shared" si="2"/>
        <v>41547.765314</v>
      </c>
      <c r="Q21" s="14">
        <f t="shared" si="3"/>
        <v>53731.860713999995</v>
      </c>
      <c r="R21" s="14">
        <f t="shared" si="4"/>
        <v>65245.830867000004</v>
      </c>
      <c r="S21" s="5"/>
      <c r="T21" s="5"/>
      <c r="U21" s="5"/>
      <c r="V21" s="5"/>
    </row>
    <row r="22" spans="1:22" s="2" customFormat="1" ht="45" hidden="1">
      <c r="A22" s="1">
        <v>17</v>
      </c>
      <c r="B22" s="33" t="s">
        <v>40</v>
      </c>
      <c r="C22" s="1" t="s">
        <v>14</v>
      </c>
      <c r="D22" s="14">
        <v>125</v>
      </c>
      <c r="E22" s="14">
        <v>113</v>
      </c>
      <c r="F22" s="14">
        <v>110</v>
      </c>
      <c r="G22" s="14">
        <v>110</v>
      </c>
      <c r="H22" s="14">
        <v>110</v>
      </c>
      <c r="I22" s="14">
        <v>38355.852</v>
      </c>
      <c r="J22" s="14">
        <v>51196.168</v>
      </c>
      <c r="K22" s="14">
        <v>70394.731</v>
      </c>
      <c r="L22" s="14">
        <v>89593.29400000001</v>
      </c>
      <c r="M22" s="14">
        <v>108791.85699999999</v>
      </c>
      <c r="N22" s="14">
        <f t="shared" si="0"/>
        <v>4794.4815</v>
      </c>
      <c r="O22" s="14">
        <f t="shared" si="1"/>
        <v>5785.166984</v>
      </c>
      <c r="P22" s="14">
        <f t="shared" si="2"/>
        <v>7743.42041</v>
      </c>
      <c r="Q22" s="14">
        <f t="shared" si="3"/>
        <v>9855.262340000001</v>
      </c>
      <c r="R22" s="14">
        <f t="shared" si="4"/>
        <v>11967.10427</v>
      </c>
      <c r="S22" s="5"/>
      <c r="T22" s="5"/>
      <c r="U22" s="5"/>
      <c r="V22" s="5"/>
    </row>
    <row r="23" spans="1:22" s="2" customFormat="1" ht="45" hidden="1">
      <c r="A23" s="1">
        <v>18</v>
      </c>
      <c r="B23" s="33" t="s">
        <v>54</v>
      </c>
      <c r="C23" s="1" t="s">
        <v>14</v>
      </c>
      <c r="D23" s="14">
        <v>0</v>
      </c>
      <c r="E23" s="14">
        <v>94</v>
      </c>
      <c r="F23" s="14">
        <v>94</v>
      </c>
      <c r="G23" s="14">
        <v>94</v>
      </c>
      <c r="H23" s="14">
        <v>94</v>
      </c>
      <c r="I23" s="14" t="s">
        <v>58</v>
      </c>
      <c r="J23" s="14">
        <v>286951.284</v>
      </c>
      <c r="K23" s="14">
        <v>394558.0155</v>
      </c>
      <c r="L23" s="14">
        <v>502164.747</v>
      </c>
      <c r="M23" s="14">
        <v>609771.4785</v>
      </c>
      <c r="N23" s="14">
        <v>0</v>
      </c>
      <c r="O23" s="14">
        <f t="shared" si="1"/>
        <v>26973.420695999997</v>
      </c>
      <c r="P23" s="14">
        <f t="shared" si="2"/>
        <v>37088.453456999996</v>
      </c>
      <c r="Q23" s="14">
        <f t="shared" si="3"/>
        <v>47203.486218</v>
      </c>
      <c r="R23" s="14">
        <f t="shared" si="4"/>
        <v>57318.51897899999</v>
      </c>
      <c r="S23" s="5"/>
      <c r="T23" s="5"/>
      <c r="U23" s="5"/>
      <c r="V23" s="5"/>
    </row>
    <row r="24" spans="1:22" s="2" customFormat="1" ht="30" hidden="1">
      <c r="A24" s="1">
        <v>19</v>
      </c>
      <c r="B24" s="33" t="s">
        <v>55</v>
      </c>
      <c r="C24" s="1" t="s">
        <v>14</v>
      </c>
      <c r="D24" s="14">
        <v>0</v>
      </c>
      <c r="E24" s="14">
        <v>156</v>
      </c>
      <c r="F24" s="14">
        <v>156</v>
      </c>
      <c r="G24" s="14">
        <v>156</v>
      </c>
      <c r="H24" s="14">
        <v>156</v>
      </c>
      <c r="I24" s="14" t="s">
        <v>58</v>
      </c>
      <c r="J24" s="14">
        <v>70919.58399999999</v>
      </c>
      <c r="K24" s="14">
        <v>97514.42799999999</v>
      </c>
      <c r="L24" s="14">
        <v>124109.272</v>
      </c>
      <c r="M24" s="14">
        <v>150704.116</v>
      </c>
      <c r="N24" s="14">
        <v>0</v>
      </c>
      <c r="O24" s="14">
        <f t="shared" si="1"/>
        <v>11063.455103999999</v>
      </c>
      <c r="P24" s="14">
        <f t="shared" si="2"/>
        <v>15212.250767999998</v>
      </c>
      <c r="Q24" s="14">
        <f t="shared" si="3"/>
        <v>19361.046432</v>
      </c>
      <c r="R24" s="14">
        <f t="shared" si="4"/>
        <v>23509.842096</v>
      </c>
      <c r="S24" s="5"/>
      <c r="T24" s="5"/>
      <c r="U24" s="5"/>
      <c r="V24" s="5"/>
    </row>
    <row r="25" spans="1:26" s="2" customFormat="1" ht="60" hidden="1">
      <c r="A25" s="1">
        <v>20</v>
      </c>
      <c r="B25" s="33" t="s">
        <v>48</v>
      </c>
      <c r="C25" s="1" t="s">
        <v>16</v>
      </c>
      <c r="D25" s="14">
        <v>30</v>
      </c>
      <c r="E25" s="14">
        <v>34</v>
      </c>
      <c r="F25" s="14">
        <v>34</v>
      </c>
      <c r="G25" s="14">
        <v>34</v>
      </c>
      <c r="H25" s="14">
        <v>34</v>
      </c>
      <c r="I25" s="14" t="s">
        <v>58</v>
      </c>
      <c r="J25" s="14" t="s">
        <v>58</v>
      </c>
      <c r="K25" s="14" t="s">
        <v>58</v>
      </c>
      <c r="L25" s="14" t="s">
        <v>58</v>
      </c>
      <c r="M25" s="14" t="s">
        <v>58</v>
      </c>
      <c r="N25" s="14">
        <v>5599.612700000001</v>
      </c>
      <c r="O25" s="14">
        <v>7619.25956</v>
      </c>
      <c r="P25" s="14">
        <v>7924.0299423999995</v>
      </c>
      <c r="Q25" s="14">
        <v>8240.991140096</v>
      </c>
      <c r="R25" s="14">
        <v>8570.630785699841</v>
      </c>
      <c r="S25" s="7"/>
      <c r="T25" s="7"/>
      <c r="U25" s="7"/>
      <c r="V25" s="7"/>
      <c r="W25" s="6"/>
      <c r="X25" s="6"/>
      <c r="Y25" s="6"/>
      <c r="Z25" s="6"/>
    </row>
    <row r="26" spans="1:25" s="2" customFormat="1" ht="60" hidden="1">
      <c r="A26" s="1">
        <v>21</v>
      </c>
      <c r="B26" s="33" t="s">
        <v>34</v>
      </c>
      <c r="C26" s="1" t="s">
        <v>16</v>
      </c>
      <c r="D26" s="14">
        <v>4</v>
      </c>
      <c r="E26" s="14">
        <v>12</v>
      </c>
      <c r="F26" s="14">
        <v>12</v>
      </c>
      <c r="G26" s="14">
        <v>12</v>
      </c>
      <c r="H26" s="14">
        <v>12</v>
      </c>
      <c r="I26" s="14" t="s">
        <v>58</v>
      </c>
      <c r="J26" s="14" t="s">
        <v>58</v>
      </c>
      <c r="K26" s="14" t="s">
        <v>58</v>
      </c>
      <c r="L26" s="14" t="s">
        <v>58</v>
      </c>
      <c r="M26" s="14" t="s">
        <v>58</v>
      </c>
      <c r="N26" s="14">
        <v>451.72270000000003</v>
      </c>
      <c r="O26" s="14">
        <v>1602.4492</v>
      </c>
      <c r="P26" s="14">
        <v>1666.547168</v>
      </c>
      <c r="Q26" s="14">
        <v>1733.20905472</v>
      </c>
      <c r="R26" s="14">
        <v>1802.5374169088</v>
      </c>
      <c r="S26" s="7"/>
      <c r="T26" s="7"/>
      <c r="U26" s="7"/>
      <c r="V26" s="7"/>
      <c r="W26" s="6"/>
      <c r="X26" s="6"/>
      <c r="Y26" s="6"/>
    </row>
    <row r="27" spans="1:25" s="2" customFormat="1" ht="45" hidden="1">
      <c r="A27" s="1">
        <v>22</v>
      </c>
      <c r="B27" s="33" t="s">
        <v>17</v>
      </c>
      <c r="C27" s="1" t="s">
        <v>16</v>
      </c>
      <c r="D27" s="14">
        <v>378</v>
      </c>
      <c r="E27" s="14">
        <v>345</v>
      </c>
      <c r="F27" s="14">
        <v>340</v>
      </c>
      <c r="G27" s="14">
        <v>340</v>
      </c>
      <c r="H27" s="14">
        <v>340</v>
      </c>
      <c r="I27" s="14" t="s">
        <v>58</v>
      </c>
      <c r="J27" s="14" t="s">
        <v>58</v>
      </c>
      <c r="K27" s="14" t="s">
        <v>58</v>
      </c>
      <c r="L27" s="14" t="s">
        <v>58</v>
      </c>
      <c r="M27" s="14" t="s">
        <v>58</v>
      </c>
      <c r="N27" s="14">
        <v>44910.083869999995</v>
      </c>
      <c r="O27" s="14">
        <v>68854.59363999999</v>
      </c>
      <c r="P27" s="14">
        <v>70570.96901769274</v>
      </c>
      <c r="Q27" s="14">
        <v>73393.80777840046</v>
      </c>
      <c r="R27" s="14">
        <v>76329.56008953648</v>
      </c>
      <c r="S27" s="7"/>
      <c r="T27" s="7"/>
      <c r="U27" s="7"/>
      <c r="V27" s="7"/>
      <c r="W27" s="6"/>
      <c r="X27" s="6"/>
      <c r="Y27" s="6"/>
    </row>
    <row r="28" spans="1:25" s="2" customFormat="1" ht="45" hidden="1">
      <c r="A28" s="1">
        <v>23</v>
      </c>
      <c r="B28" s="33" t="s">
        <v>42</v>
      </c>
      <c r="C28" s="1" t="s">
        <v>16</v>
      </c>
      <c r="D28" s="14">
        <v>65</v>
      </c>
      <c r="E28" s="14">
        <v>59</v>
      </c>
      <c r="F28" s="14">
        <v>52</v>
      </c>
      <c r="G28" s="14">
        <v>52</v>
      </c>
      <c r="H28" s="14">
        <v>52</v>
      </c>
      <c r="I28" s="14" t="s">
        <v>58</v>
      </c>
      <c r="J28" s="14" t="s">
        <v>58</v>
      </c>
      <c r="K28" s="14" t="s">
        <v>58</v>
      </c>
      <c r="L28" s="14" t="s">
        <v>58</v>
      </c>
      <c r="M28" s="14" t="s">
        <v>58</v>
      </c>
      <c r="N28" s="14">
        <v>7478.722589999999</v>
      </c>
      <c r="O28" s="14">
        <v>11653.554759999999</v>
      </c>
      <c r="P28" s="14">
        <v>10681.766803742372</v>
      </c>
      <c r="Q28" s="14">
        <v>11109.037475892066</v>
      </c>
      <c r="R28" s="14">
        <v>11553.398974927748</v>
      </c>
      <c r="S28" s="7"/>
      <c r="T28" s="7"/>
      <c r="U28" s="7"/>
      <c r="V28" s="7"/>
      <c r="W28" s="6"/>
      <c r="X28" s="6"/>
      <c r="Y28" s="6"/>
    </row>
    <row r="29" spans="1:25" s="2" customFormat="1" ht="45" hidden="1">
      <c r="A29" s="1">
        <v>24</v>
      </c>
      <c r="B29" s="33" t="s">
        <v>18</v>
      </c>
      <c r="C29" s="1" t="s">
        <v>16</v>
      </c>
      <c r="D29" s="14">
        <v>64</v>
      </c>
      <c r="E29" s="14">
        <v>59</v>
      </c>
      <c r="F29" s="14">
        <v>59</v>
      </c>
      <c r="G29" s="14">
        <v>59</v>
      </c>
      <c r="H29" s="14">
        <v>59</v>
      </c>
      <c r="I29" s="14" t="s">
        <v>58</v>
      </c>
      <c r="J29" s="14" t="s">
        <v>58</v>
      </c>
      <c r="K29" s="14" t="s">
        <v>58</v>
      </c>
      <c r="L29" s="14" t="s">
        <v>58</v>
      </c>
      <c r="M29" s="14" t="s">
        <v>58</v>
      </c>
      <c r="N29" s="14">
        <v>8591.15474</v>
      </c>
      <c r="O29" s="14">
        <v>16419.74534</v>
      </c>
      <c r="P29" s="14">
        <v>17076.5351536</v>
      </c>
      <c r="Q29" s="14">
        <v>17759.596559744</v>
      </c>
      <c r="R29" s="14">
        <v>18469.980422133758</v>
      </c>
      <c r="S29" s="7"/>
      <c r="T29" s="7"/>
      <c r="U29" s="7"/>
      <c r="V29" s="7"/>
      <c r="W29" s="6"/>
      <c r="X29" s="6"/>
      <c r="Y29" s="6"/>
    </row>
    <row r="30" spans="1:25" s="2" customFormat="1" ht="30" hidden="1">
      <c r="A30" s="1">
        <v>25</v>
      </c>
      <c r="B30" s="33" t="s">
        <v>49</v>
      </c>
      <c r="C30" s="1" t="s">
        <v>16</v>
      </c>
      <c r="D30" s="14">
        <v>1827</v>
      </c>
      <c r="E30" s="14">
        <v>5</v>
      </c>
      <c r="F30" s="14">
        <v>5</v>
      </c>
      <c r="G30" s="14">
        <v>5</v>
      </c>
      <c r="H30" s="14">
        <v>5</v>
      </c>
      <c r="I30" s="14" t="s">
        <v>58</v>
      </c>
      <c r="J30" s="14" t="s">
        <v>58</v>
      </c>
      <c r="K30" s="14" t="s">
        <v>58</v>
      </c>
      <c r="L30" s="14" t="s">
        <v>58</v>
      </c>
      <c r="M30" s="14" t="s">
        <v>58</v>
      </c>
      <c r="N30" s="14">
        <v>75584.3</v>
      </c>
      <c r="O30" s="14">
        <v>3214.9300000000003</v>
      </c>
      <c r="P30" s="14">
        <v>3343.5272000000004</v>
      </c>
      <c r="Q30" s="14">
        <v>3477.268288</v>
      </c>
      <c r="R30" s="14">
        <v>3616.3590195200004</v>
      </c>
      <c r="S30" s="7"/>
      <c r="T30" s="7"/>
      <c r="U30" s="7"/>
      <c r="V30" s="7"/>
      <c r="W30" s="6"/>
      <c r="X30" s="6"/>
      <c r="Y30" s="6"/>
    </row>
    <row r="31" spans="1:25" s="2" customFormat="1" ht="45" hidden="1">
      <c r="A31" s="1">
        <v>26</v>
      </c>
      <c r="B31" s="33" t="s">
        <v>46</v>
      </c>
      <c r="C31" s="1" t="s">
        <v>16</v>
      </c>
      <c r="D31" s="14">
        <v>14</v>
      </c>
      <c r="E31" s="14">
        <v>12</v>
      </c>
      <c r="F31" s="14">
        <v>12</v>
      </c>
      <c r="G31" s="14">
        <v>12</v>
      </c>
      <c r="H31" s="14">
        <v>12</v>
      </c>
      <c r="I31" s="14" t="s">
        <v>58</v>
      </c>
      <c r="J31" s="14" t="s">
        <v>58</v>
      </c>
      <c r="K31" s="14" t="s">
        <v>58</v>
      </c>
      <c r="L31" s="14" t="s">
        <v>58</v>
      </c>
      <c r="M31" s="14" t="s">
        <v>58</v>
      </c>
      <c r="N31" s="14">
        <v>1832.6</v>
      </c>
      <c r="O31" s="14">
        <v>2334.64</v>
      </c>
      <c r="P31" s="14">
        <v>2428.0255999999995</v>
      </c>
      <c r="Q31" s="14">
        <v>2525.146624</v>
      </c>
      <c r="R31" s="14">
        <v>2626.1524889599996</v>
      </c>
      <c r="S31" s="7"/>
      <c r="T31" s="7"/>
      <c r="U31" s="7"/>
      <c r="V31" s="7"/>
      <c r="W31" s="6"/>
      <c r="X31" s="6"/>
      <c r="Y31" s="6"/>
    </row>
    <row r="32" spans="1:25" s="2" customFormat="1" ht="30" hidden="1">
      <c r="A32" s="1">
        <v>27</v>
      </c>
      <c r="B32" s="33" t="s">
        <v>43</v>
      </c>
      <c r="C32" s="1" t="s">
        <v>16</v>
      </c>
      <c r="D32" s="14">
        <v>7</v>
      </c>
      <c r="E32" s="14">
        <v>5</v>
      </c>
      <c r="F32" s="14">
        <v>6</v>
      </c>
      <c r="G32" s="14">
        <v>6</v>
      </c>
      <c r="H32" s="14">
        <v>6</v>
      </c>
      <c r="I32" s="14" t="s">
        <v>58</v>
      </c>
      <c r="J32" s="14" t="s">
        <v>58</v>
      </c>
      <c r="K32" s="14" t="s">
        <v>58</v>
      </c>
      <c r="L32" s="14" t="s">
        <v>58</v>
      </c>
      <c r="M32" s="14" t="s">
        <v>58</v>
      </c>
      <c r="N32" s="14">
        <v>6356.97577</v>
      </c>
      <c r="O32" s="14">
        <v>1410.8813</v>
      </c>
      <c r="P32" s="14">
        <v>1760.7798624000002</v>
      </c>
      <c r="Q32" s="14">
        <v>1831.2110568960002</v>
      </c>
      <c r="R32" s="14">
        <v>1904.45949917184</v>
      </c>
      <c r="S32" s="7"/>
      <c r="T32" s="7"/>
      <c r="U32" s="7"/>
      <c r="V32" s="7"/>
      <c r="W32" s="6"/>
      <c r="X32" s="6"/>
      <c r="Y32" s="6"/>
    </row>
    <row r="33" spans="1:25" s="2" customFormat="1" ht="30" hidden="1">
      <c r="A33" s="1">
        <v>28</v>
      </c>
      <c r="B33" s="33" t="s">
        <v>44</v>
      </c>
      <c r="C33" s="1" t="s">
        <v>16</v>
      </c>
      <c r="D33" s="14">
        <v>4</v>
      </c>
      <c r="E33" s="14">
        <v>15</v>
      </c>
      <c r="F33" s="14">
        <v>15</v>
      </c>
      <c r="G33" s="14">
        <v>15</v>
      </c>
      <c r="H33" s="14">
        <v>15</v>
      </c>
      <c r="I33" s="14" t="s">
        <v>58</v>
      </c>
      <c r="J33" s="14" t="s">
        <v>58</v>
      </c>
      <c r="K33" s="14" t="s">
        <v>58</v>
      </c>
      <c r="L33" s="14" t="s">
        <v>58</v>
      </c>
      <c r="M33" s="14" t="s">
        <v>58</v>
      </c>
      <c r="N33" s="14">
        <v>163.6</v>
      </c>
      <c r="O33" s="14">
        <v>2530.3454</v>
      </c>
      <c r="P33" s="14">
        <v>2631.559216</v>
      </c>
      <c r="Q33" s="14">
        <v>2736.8215846400003</v>
      </c>
      <c r="R33" s="14">
        <v>2846.2944480256</v>
      </c>
      <c r="S33" s="7"/>
      <c r="T33" s="7"/>
      <c r="U33" s="7"/>
      <c r="V33" s="7"/>
      <c r="W33" s="6"/>
      <c r="X33" s="6"/>
      <c r="Y33" s="6"/>
    </row>
    <row r="34" spans="1:25" s="2" customFormat="1" ht="30" hidden="1">
      <c r="A34" s="1">
        <v>29</v>
      </c>
      <c r="B34" s="33" t="s">
        <v>22</v>
      </c>
      <c r="C34" s="1" t="s">
        <v>16</v>
      </c>
      <c r="D34" s="14">
        <v>274</v>
      </c>
      <c r="E34" s="14">
        <v>347</v>
      </c>
      <c r="F34" s="14">
        <v>345</v>
      </c>
      <c r="G34" s="14">
        <v>345</v>
      </c>
      <c r="H34" s="14">
        <v>345</v>
      </c>
      <c r="I34" s="14" t="s">
        <v>58</v>
      </c>
      <c r="J34" s="14" t="s">
        <v>58</v>
      </c>
      <c r="K34" s="14" t="s">
        <v>58</v>
      </c>
      <c r="L34" s="14" t="s">
        <v>58</v>
      </c>
      <c r="M34" s="14" t="s">
        <v>58</v>
      </c>
      <c r="N34" s="14">
        <v>25146.114999999998</v>
      </c>
      <c r="O34" s="14">
        <v>60442.121549999996</v>
      </c>
      <c r="P34" s="14">
        <v>62497.50205227666</v>
      </c>
      <c r="Q34" s="14">
        <v>64997.40213436772</v>
      </c>
      <c r="R34" s="14">
        <v>67597.29821974243</v>
      </c>
      <c r="S34" s="7"/>
      <c r="T34" s="7"/>
      <c r="U34" s="7"/>
      <c r="V34" s="7"/>
      <c r="W34" s="6"/>
      <c r="X34" s="6"/>
      <c r="Y34" s="6"/>
    </row>
    <row r="35" spans="1:25" s="2" customFormat="1" ht="30" hidden="1">
      <c r="A35" s="1">
        <v>30</v>
      </c>
      <c r="B35" s="33" t="s">
        <v>21</v>
      </c>
      <c r="C35" s="1" t="s">
        <v>16</v>
      </c>
      <c r="D35" s="14">
        <v>27</v>
      </c>
      <c r="E35" s="14">
        <v>31</v>
      </c>
      <c r="F35" s="14">
        <v>33</v>
      </c>
      <c r="G35" s="14">
        <v>33</v>
      </c>
      <c r="H35" s="14">
        <v>33</v>
      </c>
      <c r="I35" s="14" t="s">
        <v>58</v>
      </c>
      <c r="J35" s="14" t="s">
        <v>58</v>
      </c>
      <c r="K35" s="14" t="s">
        <v>58</v>
      </c>
      <c r="L35" s="14" t="s">
        <v>58</v>
      </c>
      <c r="M35" s="14" t="s">
        <v>58</v>
      </c>
      <c r="N35" s="14">
        <v>3792.4446</v>
      </c>
      <c r="O35" s="14">
        <v>5643.69679</v>
      </c>
      <c r="P35" s="14">
        <v>6248.118510735484</v>
      </c>
      <c r="Q35" s="14">
        <v>6498.043251164903</v>
      </c>
      <c r="R35" s="14">
        <v>6757.9649812114985</v>
      </c>
      <c r="S35" s="7"/>
      <c r="T35" s="7"/>
      <c r="U35" s="7"/>
      <c r="V35" s="7"/>
      <c r="W35" s="6"/>
      <c r="X35" s="6"/>
      <c r="Y35" s="6"/>
    </row>
    <row r="36" spans="1:25" s="2" customFormat="1" ht="30" hidden="1">
      <c r="A36" s="1">
        <v>31</v>
      </c>
      <c r="B36" s="33" t="s">
        <v>20</v>
      </c>
      <c r="C36" s="1" t="s">
        <v>16</v>
      </c>
      <c r="D36" s="14">
        <v>40</v>
      </c>
      <c r="E36" s="14">
        <v>56</v>
      </c>
      <c r="F36" s="14">
        <v>56</v>
      </c>
      <c r="G36" s="14">
        <v>56</v>
      </c>
      <c r="H36" s="14">
        <v>56</v>
      </c>
      <c r="I36" s="14" t="s">
        <v>58</v>
      </c>
      <c r="J36" s="14" t="s">
        <v>58</v>
      </c>
      <c r="K36" s="14" t="s">
        <v>58</v>
      </c>
      <c r="L36" s="14" t="s">
        <v>58</v>
      </c>
      <c r="M36" s="14" t="s">
        <v>58</v>
      </c>
      <c r="N36" s="14">
        <v>6257.4646299999995</v>
      </c>
      <c r="O36" s="14">
        <v>10980.76126</v>
      </c>
      <c r="P36" s="14">
        <v>11419.9917104</v>
      </c>
      <c r="Q36" s="14">
        <v>11876.791378815999</v>
      </c>
      <c r="R36" s="14">
        <v>12351.863033968639</v>
      </c>
      <c r="S36" s="7"/>
      <c r="T36" s="7"/>
      <c r="U36" s="7"/>
      <c r="V36" s="7"/>
      <c r="W36" s="6"/>
      <c r="X36" s="6"/>
      <c r="Y36" s="6"/>
    </row>
    <row r="37" spans="1:25" s="2" customFormat="1" ht="45" hidden="1">
      <c r="A37" s="1">
        <v>32</v>
      </c>
      <c r="B37" s="33" t="s">
        <v>47</v>
      </c>
      <c r="C37" s="1" t="s">
        <v>16</v>
      </c>
      <c r="D37" s="14">
        <v>14</v>
      </c>
      <c r="E37" s="14">
        <v>0</v>
      </c>
      <c r="F37" s="14">
        <v>0</v>
      </c>
      <c r="G37" s="14">
        <v>0</v>
      </c>
      <c r="H37" s="14">
        <v>0</v>
      </c>
      <c r="I37" s="14" t="s">
        <v>58</v>
      </c>
      <c r="J37" s="14" t="s">
        <v>58</v>
      </c>
      <c r="K37" s="14" t="s">
        <v>58</v>
      </c>
      <c r="L37" s="14" t="s">
        <v>58</v>
      </c>
      <c r="M37" s="14" t="s">
        <v>58</v>
      </c>
      <c r="N37" s="14">
        <v>572.6</v>
      </c>
      <c r="O37" s="14">
        <v>0</v>
      </c>
      <c r="P37" s="14">
        <v>0</v>
      </c>
      <c r="Q37" s="14">
        <v>0</v>
      </c>
      <c r="R37" s="14">
        <v>0</v>
      </c>
      <c r="S37" s="7"/>
      <c r="T37" s="7"/>
      <c r="U37" s="7"/>
      <c r="V37" s="7"/>
      <c r="W37" s="6"/>
      <c r="X37" s="6"/>
      <c r="Y37" s="6"/>
    </row>
    <row r="38" spans="1:25" s="2" customFormat="1" ht="60" hidden="1">
      <c r="A38" s="1">
        <v>33</v>
      </c>
      <c r="B38" s="33" t="s">
        <v>32</v>
      </c>
      <c r="C38" s="1" t="s">
        <v>16</v>
      </c>
      <c r="D38" s="14">
        <v>4</v>
      </c>
      <c r="E38" s="14">
        <v>0</v>
      </c>
      <c r="F38" s="14">
        <v>0</v>
      </c>
      <c r="G38" s="14">
        <v>0</v>
      </c>
      <c r="H38" s="14">
        <v>0</v>
      </c>
      <c r="I38" s="14" t="s">
        <v>58</v>
      </c>
      <c r="J38" s="14" t="s">
        <v>58</v>
      </c>
      <c r="K38" s="14" t="s">
        <v>58</v>
      </c>
      <c r="L38" s="14" t="s">
        <v>58</v>
      </c>
      <c r="M38" s="14" t="s">
        <v>58</v>
      </c>
      <c r="N38" s="14">
        <v>163.6</v>
      </c>
      <c r="O38" s="14">
        <v>0</v>
      </c>
      <c r="P38" s="14">
        <v>0</v>
      </c>
      <c r="Q38" s="14">
        <v>0</v>
      </c>
      <c r="R38" s="14">
        <v>0</v>
      </c>
      <c r="S38" s="7"/>
      <c r="T38" s="7"/>
      <c r="U38" s="7"/>
      <c r="V38" s="7"/>
      <c r="W38" s="6"/>
      <c r="X38" s="6"/>
      <c r="Y38" s="6"/>
    </row>
    <row r="39" spans="1:25" s="2" customFormat="1" ht="90" hidden="1">
      <c r="A39" s="1">
        <v>34</v>
      </c>
      <c r="B39" s="33" t="s">
        <v>52</v>
      </c>
      <c r="C39" s="1" t="s">
        <v>16</v>
      </c>
      <c r="D39" s="14">
        <v>7</v>
      </c>
      <c r="E39" s="14">
        <v>11</v>
      </c>
      <c r="F39" s="14">
        <v>11</v>
      </c>
      <c r="G39" s="14">
        <v>11</v>
      </c>
      <c r="H39" s="14">
        <v>11</v>
      </c>
      <c r="I39" s="14" t="s">
        <v>58</v>
      </c>
      <c r="J39" s="14" t="s">
        <v>58</v>
      </c>
      <c r="K39" s="14" t="s">
        <v>58</v>
      </c>
      <c r="L39" s="14" t="s">
        <v>58</v>
      </c>
      <c r="M39" s="14" t="s">
        <v>58</v>
      </c>
      <c r="N39" s="14">
        <v>1486.3</v>
      </c>
      <c r="O39" s="14">
        <v>6288.27648</v>
      </c>
      <c r="P39" s="14">
        <v>6539.807539200002</v>
      </c>
      <c r="Q39" s="14">
        <v>6801.399840768002</v>
      </c>
      <c r="R39" s="14">
        <v>7073.455834398722</v>
      </c>
      <c r="S39" s="7"/>
      <c r="T39" s="7"/>
      <c r="U39" s="7"/>
      <c r="V39" s="7"/>
      <c r="W39" s="6"/>
      <c r="X39" s="6"/>
      <c r="Y39" s="6"/>
    </row>
    <row r="40" spans="1:25" s="2" customFormat="1" ht="30" hidden="1">
      <c r="A40" s="1">
        <v>35</v>
      </c>
      <c r="B40" s="33" t="s">
        <v>15</v>
      </c>
      <c r="C40" s="1" t="s">
        <v>16</v>
      </c>
      <c r="D40" s="14">
        <v>190</v>
      </c>
      <c r="E40" s="14">
        <v>194</v>
      </c>
      <c r="F40" s="14">
        <v>194</v>
      </c>
      <c r="G40" s="14">
        <v>194</v>
      </c>
      <c r="H40" s="14">
        <v>194</v>
      </c>
      <c r="I40" s="14" t="s">
        <v>58</v>
      </c>
      <c r="J40" s="14" t="s">
        <v>58</v>
      </c>
      <c r="K40" s="14" t="s">
        <v>58</v>
      </c>
      <c r="L40" s="14" t="s">
        <v>58</v>
      </c>
      <c r="M40" s="14" t="s">
        <v>58</v>
      </c>
      <c r="N40" s="14">
        <v>30760.5559</v>
      </c>
      <c r="O40" s="14">
        <v>43074.04198</v>
      </c>
      <c r="P40" s="14">
        <v>44797.0036592</v>
      </c>
      <c r="Q40" s="14">
        <v>46588.883805568</v>
      </c>
      <c r="R40" s="14">
        <v>48452.43915779072</v>
      </c>
      <c r="S40" s="7"/>
      <c r="T40" s="7"/>
      <c r="U40" s="7"/>
      <c r="V40" s="7"/>
      <c r="W40" s="6"/>
      <c r="X40" s="6"/>
      <c r="Y40" s="6"/>
    </row>
    <row r="41" spans="1:25" s="2" customFormat="1" ht="45" hidden="1">
      <c r="A41" s="1">
        <v>36</v>
      </c>
      <c r="B41" s="33" t="s">
        <v>19</v>
      </c>
      <c r="C41" s="1" t="s">
        <v>16</v>
      </c>
      <c r="D41" s="14">
        <v>65</v>
      </c>
      <c r="E41" s="14">
        <v>84</v>
      </c>
      <c r="F41" s="14">
        <v>81</v>
      </c>
      <c r="G41" s="14">
        <v>81</v>
      </c>
      <c r="H41" s="14">
        <v>81</v>
      </c>
      <c r="I41" s="14" t="s">
        <v>58</v>
      </c>
      <c r="J41" s="14" t="s">
        <v>58</v>
      </c>
      <c r="K41" s="14" t="s">
        <v>58</v>
      </c>
      <c r="L41" s="14" t="s">
        <v>58</v>
      </c>
      <c r="M41" s="14" t="s">
        <v>58</v>
      </c>
      <c r="N41" s="14">
        <v>6483.51036</v>
      </c>
      <c r="O41" s="14">
        <v>23081.58152</v>
      </c>
      <c r="P41" s="14">
        <v>23147.52889577143</v>
      </c>
      <c r="Q41" s="14">
        <v>24073.430051602285</v>
      </c>
      <c r="R41" s="14">
        <v>25036.367253666376</v>
      </c>
      <c r="S41" s="7"/>
      <c r="T41" s="7"/>
      <c r="U41" s="7"/>
      <c r="V41" s="7"/>
      <c r="W41" s="6"/>
      <c r="X41" s="6"/>
      <c r="Y41" s="6"/>
    </row>
    <row r="42" spans="1:25" s="2" customFormat="1" ht="45" hidden="1">
      <c r="A42" s="1">
        <v>37</v>
      </c>
      <c r="B42" s="33" t="s">
        <v>45</v>
      </c>
      <c r="C42" s="1" t="s">
        <v>16</v>
      </c>
      <c r="D42" s="14">
        <v>8</v>
      </c>
      <c r="E42" s="14">
        <v>36</v>
      </c>
      <c r="F42" s="14">
        <v>33</v>
      </c>
      <c r="G42" s="14">
        <v>33</v>
      </c>
      <c r="H42" s="14">
        <v>33</v>
      </c>
      <c r="I42" s="14" t="s">
        <v>58</v>
      </c>
      <c r="J42" s="14" t="s">
        <v>58</v>
      </c>
      <c r="K42" s="14" t="s">
        <v>58</v>
      </c>
      <c r="L42" s="14" t="s">
        <v>58</v>
      </c>
      <c r="M42" s="14" t="s">
        <v>58</v>
      </c>
      <c r="N42" s="14">
        <v>1191.22522</v>
      </c>
      <c r="O42" s="14">
        <v>12896.84</v>
      </c>
      <c r="P42" s="14">
        <v>12294.987466666666</v>
      </c>
      <c r="Q42" s="14">
        <v>12786.786965333333</v>
      </c>
      <c r="R42" s="14">
        <v>13298.258443946666</v>
      </c>
      <c r="S42" s="7"/>
      <c r="T42" s="7"/>
      <c r="U42" s="7"/>
      <c r="V42" s="7"/>
      <c r="W42" s="6"/>
      <c r="X42" s="6"/>
      <c r="Y42" s="6"/>
    </row>
    <row r="43" spans="1:25" s="2" customFormat="1" ht="15" hidden="1">
      <c r="A43" s="1">
        <v>38</v>
      </c>
      <c r="B43" s="33" t="s">
        <v>33</v>
      </c>
      <c r="C43" s="1" t="s">
        <v>56</v>
      </c>
      <c r="D43" s="14">
        <v>43845.38</v>
      </c>
      <c r="E43" s="14">
        <v>84476</v>
      </c>
      <c r="F43" s="14">
        <v>84476</v>
      </c>
      <c r="G43" s="14">
        <v>84476</v>
      </c>
      <c r="H43" s="14">
        <v>84476</v>
      </c>
      <c r="I43" s="14" t="s">
        <v>58</v>
      </c>
      <c r="J43" s="14" t="s">
        <v>58</v>
      </c>
      <c r="K43" s="14" t="s">
        <v>58</v>
      </c>
      <c r="L43" s="14" t="s">
        <v>58</v>
      </c>
      <c r="M43" s="14" t="s">
        <v>58</v>
      </c>
      <c r="N43" s="14">
        <v>75270.72</v>
      </c>
      <c r="O43" s="14">
        <v>96330.88</v>
      </c>
      <c r="P43" s="14">
        <v>129921.3</v>
      </c>
      <c r="Q43" s="14">
        <v>104015.7</v>
      </c>
      <c r="R43" s="14">
        <v>108176.33</v>
      </c>
      <c r="S43" s="7"/>
      <c r="T43" s="7"/>
      <c r="U43" s="7"/>
      <c r="V43" s="7"/>
      <c r="W43" s="6"/>
      <c r="X43" s="6"/>
      <c r="Y43" s="6"/>
    </row>
    <row r="44" spans="1:25" s="2" customFormat="1" ht="15" hidden="1">
      <c r="A44" s="150">
        <v>39</v>
      </c>
      <c r="B44" s="148" t="s">
        <v>41</v>
      </c>
      <c r="C44" s="1" t="s">
        <v>14</v>
      </c>
      <c r="D44" s="14">
        <v>90</v>
      </c>
      <c r="E44" s="14">
        <v>183</v>
      </c>
      <c r="F44" s="14">
        <v>169</v>
      </c>
      <c r="G44" s="14">
        <v>167</v>
      </c>
      <c r="H44" s="14">
        <v>167</v>
      </c>
      <c r="I44" s="14" t="s">
        <v>58</v>
      </c>
      <c r="J44" s="14" t="s">
        <v>58</v>
      </c>
      <c r="K44" s="14" t="s">
        <v>58</v>
      </c>
      <c r="L44" s="14" t="s">
        <v>58</v>
      </c>
      <c r="M44" s="14" t="s">
        <v>58</v>
      </c>
      <c r="N44" s="14">
        <v>0</v>
      </c>
      <c r="O44" s="14">
        <v>693</v>
      </c>
      <c r="P44" s="14">
        <v>720.72</v>
      </c>
      <c r="Q44" s="14">
        <v>749.5488</v>
      </c>
      <c r="R44" s="14">
        <v>779.530752</v>
      </c>
      <c r="S44" s="7"/>
      <c r="T44" s="7"/>
      <c r="U44" s="7"/>
      <c r="V44" s="7"/>
      <c r="W44" s="6"/>
      <c r="X44" s="6"/>
      <c r="Y44" s="6"/>
    </row>
    <row r="45" spans="1:25" s="2" customFormat="1" ht="15" hidden="1">
      <c r="A45" s="151"/>
      <c r="B45" s="149"/>
      <c r="C45" s="1" t="s">
        <v>57</v>
      </c>
      <c r="D45" s="14">
        <v>81</v>
      </c>
      <c r="E45" s="14">
        <v>203</v>
      </c>
      <c r="F45" s="14">
        <v>203</v>
      </c>
      <c r="G45" s="14">
        <v>203</v>
      </c>
      <c r="H45" s="14">
        <v>203</v>
      </c>
      <c r="I45" s="14" t="s">
        <v>58</v>
      </c>
      <c r="J45" s="14" t="s">
        <v>58</v>
      </c>
      <c r="K45" s="14" t="s">
        <v>58</v>
      </c>
      <c r="L45" s="14" t="s">
        <v>58</v>
      </c>
      <c r="M45" s="14" t="s">
        <v>58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7"/>
      <c r="T45" s="7"/>
      <c r="U45" s="7"/>
      <c r="V45" s="7"/>
      <c r="W45" s="6"/>
      <c r="X45" s="6"/>
      <c r="Y45" s="6"/>
    </row>
    <row r="46" spans="1:25" s="2" customFormat="1" ht="60" hidden="1">
      <c r="A46" s="1">
        <v>40</v>
      </c>
      <c r="B46" s="33" t="s">
        <v>50</v>
      </c>
      <c r="C46" s="1" t="s">
        <v>16</v>
      </c>
      <c r="D46" s="14">
        <v>2</v>
      </c>
      <c r="E46" s="14">
        <v>2</v>
      </c>
      <c r="F46" s="14">
        <v>2</v>
      </c>
      <c r="G46" s="14">
        <v>2</v>
      </c>
      <c r="H46" s="14">
        <v>2</v>
      </c>
      <c r="I46" s="14" t="s">
        <v>58</v>
      </c>
      <c r="J46" s="14" t="s">
        <v>58</v>
      </c>
      <c r="K46" s="14" t="s">
        <v>58</v>
      </c>
      <c r="L46" s="14" t="s">
        <v>58</v>
      </c>
      <c r="M46" s="14" t="s">
        <v>58</v>
      </c>
      <c r="N46" s="14">
        <v>245.73</v>
      </c>
      <c r="O46" s="14">
        <v>300.2398</v>
      </c>
      <c r="P46" s="14">
        <v>312.249392</v>
      </c>
      <c r="Q46" s="14">
        <v>324.73936768</v>
      </c>
      <c r="R46" s="14">
        <v>337.7289423872</v>
      </c>
      <c r="S46" s="7"/>
      <c r="T46" s="7"/>
      <c r="U46" s="7"/>
      <c r="V46" s="7"/>
      <c r="W46" s="6"/>
      <c r="X46" s="6"/>
      <c r="Y46" s="6"/>
    </row>
    <row r="47" spans="1:25" s="2" customFormat="1" ht="60" hidden="1">
      <c r="A47" s="1">
        <v>41</v>
      </c>
      <c r="B47" s="33" t="s">
        <v>53</v>
      </c>
      <c r="C47" s="1" t="s">
        <v>16</v>
      </c>
      <c r="D47" s="14">
        <v>0</v>
      </c>
      <c r="E47" s="14">
        <v>4</v>
      </c>
      <c r="F47" s="14">
        <v>2</v>
      </c>
      <c r="G47" s="14">
        <v>3</v>
      </c>
      <c r="H47" s="14">
        <v>3</v>
      </c>
      <c r="I47" s="14" t="s">
        <v>58</v>
      </c>
      <c r="J47" s="14" t="s">
        <v>58</v>
      </c>
      <c r="K47" s="14" t="s">
        <v>58</v>
      </c>
      <c r="L47" s="14" t="s">
        <v>58</v>
      </c>
      <c r="M47" s="14" t="s">
        <v>58</v>
      </c>
      <c r="N47" s="14">
        <v>0</v>
      </c>
      <c r="O47" s="14">
        <v>1920</v>
      </c>
      <c r="P47" s="14">
        <v>998.4</v>
      </c>
      <c r="Q47" s="14">
        <v>1557.504</v>
      </c>
      <c r="R47" s="14">
        <v>1619.80416</v>
      </c>
      <c r="S47" s="7"/>
      <c r="T47" s="7"/>
      <c r="U47" s="7"/>
      <c r="V47" s="7"/>
      <c r="W47" s="6"/>
      <c r="X47" s="6"/>
      <c r="Y47" s="6"/>
    </row>
    <row r="48" spans="1:19" s="2" customFormat="1" ht="15" hidden="1">
      <c r="A48" s="30"/>
      <c r="B48" s="10" t="s">
        <v>0</v>
      </c>
      <c r="C48" s="3" t="s">
        <v>8</v>
      </c>
      <c r="D48" s="3" t="s">
        <v>8</v>
      </c>
      <c r="E48" s="3" t="s">
        <v>8</v>
      </c>
      <c r="F48" s="3" t="s">
        <v>8</v>
      </c>
      <c r="G48" s="3" t="s">
        <v>8</v>
      </c>
      <c r="H48" s="3" t="s">
        <v>8</v>
      </c>
      <c r="I48" s="3" t="s">
        <v>8</v>
      </c>
      <c r="J48" s="3" t="s">
        <v>8</v>
      </c>
      <c r="K48" s="3" t="s">
        <v>8</v>
      </c>
      <c r="L48" s="3" t="s">
        <v>8</v>
      </c>
      <c r="M48" s="3" t="s">
        <v>8</v>
      </c>
      <c r="N48" s="51">
        <f>SUM(N6:N47)</f>
        <v>348687.44336160005</v>
      </c>
      <c r="O48" s="51">
        <f>SUM(O6:O47)</f>
        <v>495706.70668</v>
      </c>
      <c r="P48" s="51">
        <f>SUM(P6:P47)</f>
        <v>596261.3599460854</v>
      </c>
      <c r="Q48" s="51">
        <f>SUM(Q6:Q47)</f>
        <v>634156.4041076888</v>
      </c>
      <c r="R48" s="51">
        <f>SUM(R6:R47)</f>
        <v>699796.4456489964</v>
      </c>
      <c r="S48" s="5"/>
    </row>
    <row r="49" spans="1:18" s="2" customFormat="1" ht="15" hidden="1">
      <c r="A49" s="138" t="s">
        <v>60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</row>
    <row r="50" spans="1:19" s="2" customFormat="1" ht="120" hidden="1">
      <c r="A50" s="1">
        <v>1</v>
      </c>
      <c r="B50" s="33" t="s">
        <v>275</v>
      </c>
      <c r="C50" s="1" t="s">
        <v>61</v>
      </c>
      <c r="D50" s="14">
        <v>10</v>
      </c>
      <c r="E50" s="14">
        <v>23</v>
      </c>
      <c r="F50" s="14">
        <v>22</v>
      </c>
      <c r="G50" s="14">
        <v>22</v>
      </c>
      <c r="H50" s="14">
        <v>22</v>
      </c>
      <c r="I50" s="14"/>
      <c r="J50" s="14"/>
      <c r="K50" s="14"/>
      <c r="L50" s="14"/>
      <c r="M50" s="14"/>
      <c r="N50" s="14">
        <v>9465.5</v>
      </c>
      <c r="O50" s="14">
        <v>13057.7</v>
      </c>
      <c r="P50" s="14">
        <v>13000</v>
      </c>
      <c r="Q50" s="14">
        <v>13500</v>
      </c>
      <c r="R50" s="14">
        <v>14000</v>
      </c>
      <c r="S50" s="6"/>
    </row>
    <row r="51" spans="1:18" s="2" customFormat="1" ht="105" hidden="1">
      <c r="A51" s="1">
        <v>2</v>
      </c>
      <c r="B51" s="33" t="s">
        <v>274</v>
      </c>
      <c r="C51" s="1" t="s">
        <v>61</v>
      </c>
      <c r="D51" s="14">
        <v>20</v>
      </c>
      <c r="E51" s="14">
        <v>15</v>
      </c>
      <c r="F51" s="14">
        <v>5</v>
      </c>
      <c r="G51" s="14">
        <v>5</v>
      </c>
      <c r="H51" s="14">
        <v>5</v>
      </c>
      <c r="I51" s="14"/>
      <c r="J51" s="14"/>
      <c r="K51" s="14"/>
      <c r="L51" s="14"/>
      <c r="M51" s="14"/>
      <c r="N51" s="14">
        <v>8930.7</v>
      </c>
      <c r="O51" s="14">
        <v>11583.443</v>
      </c>
      <c r="P51" s="14">
        <v>10000</v>
      </c>
      <c r="Q51" s="14">
        <v>10000</v>
      </c>
      <c r="R51" s="14">
        <v>10000</v>
      </c>
    </row>
    <row r="52" spans="1:18" s="2" customFormat="1" ht="90" hidden="1">
      <c r="A52" s="1">
        <v>3</v>
      </c>
      <c r="B52" s="33" t="s">
        <v>273</v>
      </c>
      <c r="C52" s="1" t="s">
        <v>61</v>
      </c>
      <c r="D52" s="14">
        <v>30</v>
      </c>
      <c r="E52" s="14">
        <v>33</v>
      </c>
      <c r="F52" s="14">
        <v>32</v>
      </c>
      <c r="G52" s="14">
        <v>32</v>
      </c>
      <c r="H52" s="14">
        <v>32</v>
      </c>
      <c r="I52" s="14"/>
      <c r="J52" s="14"/>
      <c r="K52" s="14"/>
      <c r="L52" s="14"/>
      <c r="M52" s="14"/>
      <c r="N52" s="14">
        <v>25317</v>
      </c>
      <c r="O52" s="14">
        <v>29056.857</v>
      </c>
      <c r="P52" s="14">
        <v>23300</v>
      </c>
      <c r="Q52" s="14">
        <v>27170</v>
      </c>
      <c r="R52" s="14">
        <v>27200</v>
      </c>
    </row>
    <row r="53" spans="1:18" s="2" customFormat="1" ht="75" hidden="1">
      <c r="A53" s="1">
        <v>4</v>
      </c>
      <c r="B53" s="33" t="s">
        <v>272</v>
      </c>
      <c r="C53" s="1" t="s">
        <v>61</v>
      </c>
      <c r="D53" s="14">
        <v>6</v>
      </c>
      <c r="E53" s="14">
        <v>16</v>
      </c>
      <c r="F53" s="14">
        <v>4</v>
      </c>
      <c r="G53" s="14">
        <v>4</v>
      </c>
      <c r="H53" s="14">
        <v>4</v>
      </c>
      <c r="I53" s="14"/>
      <c r="J53" s="14"/>
      <c r="K53" s="14"/>
      <c r="L53" s="14"/>
      <c r="M53" s="14"/>
      <c r="N53" s="14">
        <v>25650</v>
      </c>
      <c r="O53" s="14">
        <v>18008</v>
      </c>
      <c r="P53" s="14">
        <v>14500</v>
      </c>
      <c r="Q53" s="14">
        <v>15000</v>
      </c>
      <c r="R53" s="14">
        <v>15000</v>
      </c>
    </row>
    <row r="54" spans="1:18" s="2" customFormat="1" ht="15" hidden="1">
      <c r="A54" s="9"/>
      <c r="B54" s="10" t="s">
        <v>0</v>
      </c>
      <c r="C54" s="3"/>
      <c r="D54" s="11" t="s">
        <v>8</v>
      </c>
      <c r="E54" s="11" t="s">
        <v>8</v>
      </c>
      <c r="F54" s="11" t="s">
        <v>8</v>
      </c>
      <c r="G54" s="11" t="s">
        <v>8</v>
      </c>
      <c r="H54" s="11" t="s">
        <v>8</v>
      </c>
      <c r="I54" s="11" t="s">
        <v>8</v>
      </c>
      <c r="J54" s="11" t="s">
        <v>8</v>
      </c>
      <c r="K54" s="11" t="s">
        <v>8</v>
      </c>
      <c r="L54" s="11" t="s">
        <v>8</v>
      </c>
      <c r="M54" s="11" t="s">
        <v>8</v>
      </c>
      <c r="N54" s="51">
        <f>N50+N51+N52+N53</f>
        <v>69363.2</v>
      </c>
      <c r="O54" s="51">
        <f>O50+O51+O52+O53</f>
        <v>71706</v>
      </c>
      <c r="P54" s="51">
        <f>P50+P51+P52+P53</f>
        <v>60800</v>
      </c>
      <c r="Q54" s="51">
        <f>Q50+Q51+Q52+Q53</f>
        <v>65670</v>
      </c>
      <c r="R54" s="51">
        <f>R50+R51+R52+R53</f>
        <v>66200</v>
      </c>
    </row>
    <row r="55" spans="1:18" s="2" customFormat="1" ht="15" hidden="1">
      <c r="A55" s="152" t="s">
        <v>62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s="2" customFormat="1" ht="60" hidden="1">
      <c r="A56" s="28">
        <v>1</v>
      </c>
      <c r="B56" s="42" t="s">
        <v>63</v>
      </c>
      <c r="C56" s="28" t="s">
        <v>14</v>
      </c>
      <c r="D56" s="49">
        <v>3401</v>
      </c>
      <c r="E56" s="14">
        <v>3429</v>
      </c>
      <c r="F56" s="14">
        <v>3383</v>
      </c>
      <c r="G56" s="14">
        <v>3383</v>
      </c>
      <c r="H56" s="14">
        <v>3383</v>
      </c>
      <c r="I56" s="14">
        <v>85290</v>
      </c>
      <c r="J56" s="14">
        <v>90000</v>
      </c>
      <c r="K56" s="14">
        <v>93600</v>
      </c>
      <c r="L56" s="14">
        <v>97344</v>
      </c>
      <c r="M56" s="14">
        <f>L56*1.06</f>
        <v>103184.64</v>
      </c>
      <c r="N56" s="49">
        <v>350520.4</v>
      </c>
      <c r="O56" s="14">
        <v>345337.4</v>
      </c>
      <c r="P56" s="14">
        <f>ROUND(1.0758*O56,0)</f>
        <v>371514</v>
      </c>
      <c r="Q56" s="14">
        <f>ROUND(1.050797*P56,0)</f>
        <v>390386</v>
      </c>
      <c r="R56" s="14">
        <f>ROUND(1.06*Q56,0)</f>
        <v>413809</v>
      </c>
    </row>
    <row r="57" spans="1:18" s="2" customFormat="1" ht="60" hidden="1">
      <c r="A57" s="28">
        <v>2</v>
      </c>
      <c r="B57" s="42" t="s">
        <v>64</v>
      </c>
      <c r="C57" s="28" t="s">
        <v>14</v>
      </c>
      <c r="D57" s="49">
        <f>7823+920+469</f>
        <v>9212</v>
      </c>
      <c r="E57" s="14">
        <v>9709</v>
      </c>
      <c r="F57" s="14">
        <f>8396+1150+446</f>
        <v>9992</v>
      </c>
      <c r="G57" s="14">
        <f>8396+1150+446</f>
        <v>9992</v>
      </c>
      <c r="H57" s="14">
        <f>8396+1150+446</f>
        <v>9992</v>
      </c>
      <c r="I57" s="14">
        <v>86330</v>
      </c>
      <c r="J57" s="14">
        <v>91500</v>
      </c>
      <c r="K57" s="14">
        <v>95200</v>
      </c>
      <c r="L57" s="14">
        <v>99008</v>
      </c>
      <c r="M57" s="14">
        <f>L57*1.06</f>
        <v>104948.48000000001</v>
      </c>
      <c r="N57" s="49">
        <f>1358829.8-N56-N58-N59+119912.3</f>
        <v>1035867.04</v>
      </c>
      <c r="O57" s="49">
        <f>1467230.2-O56-O58-O59+151939.2</f>
        <v>1172173.1999999997</v>
      </c>
      <c r="P57" s="49">
        <f>1578517.8-P56-P58-P59</f>
        <v>1101171.7</v>
      </c>
      <c r="Q57" s="49">
        <f>1658701.2-Q56-Q58-Q59+158016.7</f>
        <v>1315540.0359999998</v>
      </c>
      <c r="R57" s="49">
        <f>1758223.3-R56-R58-R59+172285.77</f>
        <v>1399260.61416</v>
      </c>
    </row>
    <row r="58" spans="1:18" s="2" customFormat="1" ht="60" hidden="1">
      <c r="A58" s="28">
        <v>3</v>
      </c>
      <c r="B58" s="42" t="s">
        <v>65</v>
      </c>
      <c r="C58" s="28" t="s">
        <v>14</v>
      </c>
      <c r="D58" s="49">
        <f>949+119</f>
        <v>1068</v>
      </c>
      <c r="E58" s="14">
        <v>1068</v>
      </c>
      <c r="F58" s="14">
        <f>912+99</f>
        <v>1011</v>
      </c>
      <c r="G58" s="14">
        <f>912+99</f>
        <v>1011</v>
      </c>
      <c r="H58" s="14">
        <f>912+99</f>
        <v>1011</v>
      </c>
      <c r="I58" s="14">
        <v>34520</v>
      </c>
      <c r="J58" s="14">
        <v>36600</v>
      </c>
      <c r="K58" s="14">
        <v>38100</v>
      </c>
      <c r="L58" s="14">
        <v>39624</v>
      </c>
      <c r="M58" s="14">
        <f>L58*1.06</f>
        <v>42001.44</v>
      </c>
      <c r="N58" s="49">
        <f>D58*I58/1000</f>
        <v>36867.36</v>
      </c>
      <c r="O58" s="49">
        <f>E58*J58/1000</f>
        <v>39088.8</v>
      </c>
      <c r="P58" s="49">
        <f>F58*K58/1000</f>
        <v>38519.1</v>
      </c>
      <c r="Q58" s="49">
        <f>G58*L58/1000</f>
        <v>40059.864</v>
      </c>
      <c r="R58" s="49">
        <f>H58*M58/1000</f>
        <v>42463.45584</v>
      </c>
    </row>
    <row r="59" spans="1:18" s="2" customFormat="1" ht="75" hidden="1">
      <c r="A59" s="28">
        <v>4</v>
      </c>
      <c r="B59" s="42" t="s">
        <v>66</v>
      </c>
      <c r="C59" s="28" t="s">
        <v>67</v>
      </c>
      <c r="D59" s="49">
        <f>226800</f>
        <v>226800</v>
      </c>
      <c r="E59" s="14">
        <f>237600</f>
        <v>237600</v>
      </c>
      <c r="F59" s="14">
        <f>272700</f>
        <v>272700</v>
      </c>
      <c r="G59" s="14">
        <f>272700</f>
        <v>272700</v>
      </c>
      <c r="H59" s="14">
        <f>272700</f>
        <v>272700</v>
      </c>
      <c r="I59" s="14">
        <v>184</v>
      </c>
      <c r="J59" s="14">
        <v>197</v>
      </c>
      <c r="K59" s="14">
        <v>200</v>
      </c>
      <c r="L59" s="14">
        <v>208</v>
      </c>
      <c r="M59" s="14">
        <v>220</v>
      </c>
      <c r="N59" s="49">
        <v>55487.3</v>
      </c>
      <c r="O59" s="14">
        <v>62570</v>
      </c>
      <c r="P59" s="14">
        <f>ROUND(1.0758*O59,0)</f>
        <v>67313</v>
      </c>
      <c r="Q59" s="14">
        <f>ROUND(1.050797*P59,0)</f>
        <v>70732</v>
      </c>
      <c r="R59" s="14">
        <f>ROUND(1.06*Q59,0)</f>
        <v>74976</v>
      </c>
    </row>
    <row r="60" spans="1:18" s="2" customFormat="1" ht="75" hidden="1">
      <c r="A60" s="28">
        <v>5</v>
      </c>
      <c r="B60" s="42" t="s">
        <v>66</v>
      </c>
      <c r="C60" s="28" t="s">
        <v>67</v>
      </c>
      <c r="D60" s="49">
        <f>72866</f>
        <v>72866</v>
      </c>
      <c r="E60" s="14">
        <f>75634</f>
        <v>75634</v>
      </c>
      <c r="F60" s="14">
        <f>81356</f>
        <v>81356</v>
      </c>
      <c r="G60" s="14">
        <f>81356</f>
        <v>81356</v>
      </c>
      <c r="H60" s="14">
        <f>81356</f>
        <v>81356</v>
      </c>
      <c r="I60" s="14">
        <v>809.3</v>
      </c>
      <c r="J60" s="14">
        <v>820</v>
      </c>
      <c r="K60" s="14">
        <v>860</v>
      </c>
      <c r="L60" s="14">
        <v>900</v>
      </c>
      <c r="M60" s="14">
        <v>950</v>
      </c>
      <c r="N60" s="49">
        <f>D60*I60/1000</f>
        <v>58970.453799999996</v>
      </c>
      <c r="O60" s="49">
        <f>E60*J60/1000</f>
        <v>62019.88</v>
      </c>
      <c r="P60" s="49">
        <f>F60*K60/1000</f>
        <v>69966.16</v>
      </c>
      <c r="Q60" s="49">
        <f>G60*L60/1000</f>
        <v>73220.4</v>
      </c>
      <c r="R60" s="49">
        <f>H60*M60/1000</f>
        <v>77288.2</v>
      </c>
    </row>
    <row r="61" spans="1:18" s="2" customFormat="1" ht="45" hidden="1">
      <c r="A61" s="28">
        <v>6</v>
      </c>
      <c r="B61" s="42" t="s">
        <v>68</v>
      </c>
      <c r="C61" s="28" t="s">
        <v>14</v>
      </c>
      <c r="D61" s="49">
        <f>696+1558</f>
        <v>2254</v>
      </c>
      <c r="E61" s="14">
        <v>2336</v>
      </c>
      <c r="F61" s="14">
        <f>778+1716</f>
        <v>2494</v>
      </c>
      <c r="G61" s="14">
        <f>778+1716</f>
        <v>2494</v>
      </c>
      <c r="H61" s="14">
        <f>778+1716</f>
        <v>2494</v>
      </c>
      <c r="I61" s="14">
        <v>146890</v>
      </c>
      <c r="J61" s="14">
        <v>155820</v>
      </c>
      <c r="K61" s="14">
        <v>162100</v>
      </c>
      <c r="L61" s="14">
        <v>168584</v>
      </c>
      <c r="M61" s="14">
        <v>178700</v>
      </c>
      <c r="N61" s="49">
        <v>331090.06</v>
      </c>
      <c r="O61" s="49">
        <v>363995.52</v>
      </c>
      <c r="P61" s="49">
        <v>404277.4</v>
      </c>
      <c r="Q61" s="49">
        <v>420448.496</v>
      </c>
      <c r="R61" s="49">
        <v>445677.8</v>
      </c>
    </row>
    <row r="62" spans="1:18" s="2" customFormat="1" ht="45" hidden="1">
      <c r="A62" s="28">
        <v>7</v>
      </c>
      <c r="B62" s="42" t="s">
        <v>69</v>
      </c>
      <c r="C62" s="28" t="s">
        <v>14</v>
      </c>
      <c r="D62" s="49">
        <v>18</v>
      </c>
      <c r="E62" s="14">
        <v>28</v>
      </c>
      <c r="F62" s="14">
        <v>58</v>
      </c>
      <c r="G62" s="14">
        <v>59</v>
      </c>
      <c r="H62" s="14">
        <v>60</v>
      </c>
      <c r="I62" s="14">
        <v>73450</v>
      </c>
      <c r="J62" s="14">
        <v>77910</v>
      </c>
      <c r="K62" s="14">
        <v>81050</v>
      </c>
      <c r="L62" s="14">
        <v>84300</v>
      </c>
      <c r="M62" s="14">
        <v>89350</v>
      </c>
      <c r="N62" s="49">
        <v>1322.1</v>
      </c>
      <c r="O62" s="49">
        <v>2181.48</v>
      </c>
      <c r="P62" s="49">
        <v>4700.9</v>
      </c>
      <c r="Q62" s="49">
        <v>4973.7</v>
      </c>
      <c r="R62" s="49">
        <v>5361</v>
      </c>
    </row>
    <row r="63" spans="1:18" s="2" customFormat="1" ht="45" hidden="1">
      <c r="A63" s="28">
        <v>8</v>
      </c>
      <c r="B63" s="42" t="s">
        <v>70</v>
      </c>
      <c r="C63" s="28" t="s">
        <v>14</v>
      </c>
      <c r="D63" s="49">
        <f>158+875</f>
        <v>1033</v>
      </c>
      <c r="E63" s="14">
        <v>1016</v>
      </c>
      <c r="F63" s="14">
        <f>194+869</f>
        <v>1063</v>
      </c>
      <c r="G63" s="14">
        <f>194+869</f>
        <v>1063</v>
      </c>
      <c r="H63" s="14">
        <f>194+869</f>
        <v>1063</v>
      </c>
      <c r="I63" s="14">
        <v>58760</v>
      </c>
      <c r="J63" s="14">
        <v>62330</v>
      </c>
      <c r="K63" s="14">
        <v>64800</v>
      </c>
      <c r="L63" s="14">
        <v>67400</v>
      </c>
      <c r="M63" s="14">
        <v>71500</v>
      </c>
      <c r="N63" s="49">
        <v>60699.08</v>
      </c>
      <c r="O63" s="49">
        <v>63327.28</v>
      </c>
      <c r="P63" s="49">
        <v>68882.4</v>
      </c>
      <c r="Q63" s="49">
        <v>71646.2</v>
      </c>
      <c r="R63" s="49">
        <v>76004.5</v>
      </c>
    </row>
    <row r="64" spans="1:18" s="2" customFormat="1" ht="45" hidden="1">
      <c r="A64" s="28">
        <v>9</v>
      </c>
      <c r="B64" s="42" t="s">
        <v>71</v>
      </c>
      <c r="C64" s="28" t="s">
        <v>14</v>
      </c>
      <c r="D64" s="49">
        <f>53+210</f>
        <v>263</v>
      </c>
      <c r="E64" s="14">
        <v>288</v>
      </c>
      <c r="F64" s="14">
        <f>111+262</f>
        <v>373</v>
      </c>
      <c r="G64" s="14">
        <f>111+262</f>
        <v>373</v>
      </c>
      <c r="H64" s="14">
        <f>111+262</f>
        <v>373</v>
      </c>
      <c r="I64" s="14">
        <v>146890</v>
      </c>
      <c r="J64" s="14">
        <v>155820</v>
      </c>
      <c r="K64" s="14">
        <v>162100</v>
      </c>
      <c r="L64" s="14">
        <v>168584</v>
      </c>
      <c r="M64" s="14">
        <v>175350</v>
      </c>
      <c r="N64" s="49">
        <v>38632.07</v>
      </c>
      <c r="O64" s="49">
        <v>44876.16</v>
      </c>
      <c r="P64" s="49">
        <v>60463.3</v>
      </c>
      <c r="Q64" s="49">
        <v>62881.832</v>
      </c>
      <c r="R64" s="49">
        <v>65405.55</v>
      </c>
    </row>
    <row r="65" spans="1:18" s="2" customFormat="1" ht="45" hidden="1">
      <c r="A65" s="28">
        <v>10</v>
      </c>
      <c r="B65" s="45" t="s">
        <v>72</v>
      </c>
      <c r="C65" s="28" t="s">
        <v>14</v>
      </c>
      <c r="D65" s="49">
        <v>184</v>
      </c>
      <c r="E65" s="14">
        <v>184</v>
      </c>
      <c r="F65" s="14">
        <v>186</v>
      </c>
      <c r="G65" s="14">
        <v>186</v>
      </c>
      <c r="H65" s="14">
        <v>186</v>
      </c>
      <c r="I65" s="14">
        <v>100409</v>
      </c>
      <c r="J65" s="14">
        <v>110000</v>
      </c>
      <c r="K65" s="14">
        <v>114000</v>
      </c>
      <c r="L65" s="14">
        <v>118500</v>
      </c>
      <c r="M65" s="14">
        <v>123200</v>
      </c>
      <c r="N65" s="49">
        <v>18475.256</v>
      </c>
      <c r="O65" s="49">
        <v>20240</v>
      </c>
      <c r="P65" s="49">
        <v>21204</v>
      </c>
      <c r="Q65" s="49">
        <v>22041</v>
      </c>
      <c r="R65" s="49">
        <v>22915.2</v>
      </c>
    </row>
    <row r="66" spans="1:18" s="2" customFormat="1" ht="60" hidden="1">
      <c r="A66" s="28">
        <v>11</v>
      </c>
      <c r="B66" s="42" t="s">
        <v>73</v>
      </c>
      <c r="C66" s="28" t="s">
        <v>14</v>
      </c>
      <c r="D66" s="49">
        <f>9+28</f>
        <v>37</v>
      </c>
      <c r="E66" s="14">
        <v>37</v>
      </c>
      <c r="F66" s="49">
        <f>9+30</f>
        <v>39</v>
      </c>
      <c r="G66" s="49">
        <f>9+30</f>
        <v>39</v>
      </c>
      <c r="H66" s="49">
        <f>9+30</f>
        <v>39</v>
      </c>
      <c r="I66" s="14">
        <v>158100</v>
      </c>
      <c r="J66" s="14">
        <v>167590</v>
      </c>
      <c r="K66" s="14">
        <v>174290</v>
      </c>
      <c r="L66" s="14">
        <v>181260</v>
      </c>
      <c r="M66" s="14">
        <v>188510</v>
      </c>
      <c r="N66" s="49">
        <v>5849.7</v>
      </c>
      <c r="O66" s="49">
        <v>6200.83</v>
      </c>
      <c r="P66" s="49">
        <v>6797.31</v>
      </c>
      <c r="Q66" s="49">
        <v>7069.14</v>
      </c>
      <c r="R66" s="49">
        <v>7351.89</v>
      </c>
    </row>
    <row r="67" spans="1:18" s="2" customFormat="1" ht="60" hidden="1">
      <c r="A67" s="28">
        <v>12</v>
      </c>
      <c r="B67" s="45" t="s">
        <v>74</v>
      </c>
      <c r="C67" s="28" t="s">
        <v>14</v>
      </c>
      <c r="D67" s="49">
        <v>116</v>
      </c>
      <c r="E67" s="14">
        <v>115</v>
      </c>
      <c r="F67" s="14">
        <v>121</v>
      </c>
      <c r="G67" s="14">
        <v>121</v>
      </c>
      <c r="H67" s="14">
        <v>121</v>
      </c>
      <c r="I67" s="14">
        <v>92164.42</v>
      </c>
      <c r="J67" s="14">
        <v>110000</v>
      </c>
      <c r="K67" s="14">
        <v>114000</v>
      </c>
      <c r="L67" s="14">
        <v>118500</v>
      </c>
      <c r="M67" s="14">
        <v>123200</v>
      </c>
      <c r="N67" s="49">
        <v>10691.07272</v>
      </c>
      <c r="O67" s="49">
        <v>12650</v>
      </c>
      <c r="P67" s="49">
        <v>13794</v>
      </c>
      <c r="Q67" s="49">
        <v>14338.5</v>
      </c>
      <c r="R67" s="49">
        <v>14907.2</v>
      </c>
    </row>
    <row r="68" spans="1:18" s="2" customFormat="1" ht="30" hidden="1">
      <c r="A68" s="28">
        <v>13</v>
      </c>
      <c r="B68" s="42" t="s">
        <v>75</v>
      </c>
      <c r="C68" s="28" t="s">
        <v>67</v>
      </c>
      <c r="D68" s="49">
        <f>21550+358906+165541</f>
        <v>545997</v>
      </c>
      <c r="E68" s="14">
        <v>554386</v>
      </c>
      <c r="F68" s="14">
        <v>539292</v>
      </c>
      <c r="G68" s="14">
        <v>539292</v>
      </c>
      <c r="H68" s="14">
        <v>539292</v>
      </c>
      <c r="I68" s="14">
        <v>89.3</v>
      </c>
      <c r="J68" s="14">
        <v>92.87</v>
      </c>
      <c r="K68" s="14">
        <v>100</v>
      </c>
      <c r="L68" s="14">
        <v>104</v>
      </c>
      <c r="M68" s="14">
        <v>108</v>
      </c>
      <c r="N68" s="49">
        <v>48757.532100000004</v>
      </c>
      <c r="O68" s="49">
        <v>51485.82782</v>
      </c>
      <c r="P68" s="49">
        <v>53929.2</v>
      </c>
      <c r="Q68" s="49">
        <v>56086.368</v>
      </c>
      <c r="R68" s="49">
        <v>58243.536</v>
      </c>
    </row>
    <row r="69" spans="1:18" s="2" customFormat="1" ht="45" hidden="1">
      <c r="A69" s="28">
        <v>14</v>
      </c>
      <c r="B69" s="46" t="s">
        <v>76</v>
      </c>
      <c r="C69" s="28" t="s">
        <v>67</v>
      </c>
      <c r="D69" s="49">
        <f>560126+160396</f>
        <v>720522</v>
      </c>
      <c r="E69" s="14">
        <v>809300</v>
      </c>
      <c r="F69" s="14">
        <v>1120059</v>
      </c>
      <c r="G69" s="14">
        <v>1120059</v>
      </c>
      <c r="H69" s="14">
        <v>1120059</v>
      </c>
      <c r="I69" s="14">
        <v>89.3</v>
      </c>
      <c r="J69" s="14">
        <v>92.87</v>
      </c>
      <c r="K69" s="14">
        <v>100</v>
      </c>
      <c r="L69" s="14">
        <v>104</v>
      </c>
      <c r="M69" s="14">
        <v>108</v>
      </c>
      <c r="N69" s="49">
        <v>64342.6146</v>
      </c>
      <c r="O69" s="49">
        <v>75159.691</v>
      </c>
      <c r="P69" s="49">
        <v>112005.9</v>
      </c>
      <c r="Q69" s="49">
        <v>116486.136</v>
      </c>
      <c r="R69" s="49">
        <v>120966.372</v>
      </c>
    </row>
    <row r="70" spans="1:18" s="2" customFormat="1" ht="165" hidden="1">
      <c r="A70" s="28">
        <v>15</v>
      </c>
      <c r="B70" s="42" t="s">
        <v>77</v>
      </c>
      <c r="C70" s="28" t="s">
        <v>78</v>
      </c>
      <c r="D70" s="49">
        <v>12355</v>
      </c>
      <c r="E70" s="14">
        <v>12921</v>
      </c>
      <c r="F70" s="14">
        <v>13898</v>
      </c>
      <c r="G70" s="14">
        <v>13898</v>
      </c>
      <c r="H70" s="14">
        <v>13898</v>
      </c>
      <c r="I70" s="14">
        <v>1490</v>
      </c>
      <c r="J70" s="14">
        <v>1800</v>
      </c>
      <c r="K70" s="14">
        <v>1900</v>
      </c>
      <c r="L70" s="14">
        <v>2000</v>
      </c>
      <c r="M70" s="14">
        <v>2100</v>
      </c>
      <c r="N70" s="14">
        <v>18408.9</v>
      </c>
      <c r="O70" s="14">
        <v>23257.8</v>
      </c>
      <c r="P70" s="14">
        <v>26406.2</v>
      </c>
      <c r="Q70" s="14">
        <v>27796</v>
      </c>
      <c r="R70" s="14">
        <v>29185.8</v>
      </c>
    </row>
    <row r="71" spans="1:18" s="2" customFormat="1" ht="45" hidden="1">
      <c r="A71" s="28">
        <v>16</v>
      </c>
      <c r="B71" s="42" t="s">
        <v>79</v>
      </c>
      <c r="C71" s="28" t="s">
        <v>14</v>
      </c>
      <c r="D71" s="49">
        <v>310</v>
      </c>
      <c r="E71" s="14">
        <v>316</v>
      </c>
      <c r="F71" s="14">
        <v>316</v>
      </c>
      <c r="G71" s="14">
        <v>316</v>
      </c>
      <c r="H71" s="14">
        <v>316</v>
      </c>
      <c r="I71" s="14">
        <v>995100</v>
      </c>
      <c r="J71" s="14">
        <v>1044900</v>
      </c>
      <c r="K71" s="14">
        <v>1086700</v>
      </c>
      <c r="L71" s="14">
        <v>1130100</v>
      </c>
      <c r="M71" s="14">
        <v>1175400</v>
      </c>
      <c r="N71" s="14">
        <v>308481</v>
      </c>
      <c r="O71" s="14">
        <v>330188.4</v>
      </c>
      <c r="P71" s="14">
        <v>343397.2</v>
      </c>
      <c r="Q71" s="14">
        <v>357111.6</v>
      </c>
      <c r="R71" s="14">
        <v>371426.4</v>
      </c>
    </row>
    <row r="72" spans="1:18" s="2" customFormat="1" ht="60" hidden="1">
      <c r="A72" s="28">
        <v>17</v>
      </c>
      <c r="B72" s="43" t="s">
        <v>80</v>
      </c>
      <c r="C72" s="28" t="s">
        <v>14</v>
      </c>
      <c r="D72" s="49">
        <v>10</v>
      </c>
      <c r="E72" s="14">
        <v>11</v>
      </c>
      <c r="F72" s="14">
        <v>11</v>
      </c>
      <c r="G72" s="14">
        <v>11</v>
      </c>
      <c r="H72" s="14">
        <v>11</v>
      </c>
      <c r="I72" s="14">
        <v>995100</v>
      </c>
      <c r="J72" s="14">
        <v>1044900</v>
      </c>
      <c r="K72" s="14">
        <v>1086700</v>
      </c>
      <c r="L72" s="14">
        <v>1130100</v>
      </c>
      <c r="M72" s="14">
        <v>1175400</v>
      </c>
      <c r="N72" s="14">
        <v>9951</v>
      </c>
      <c r="O72" s="14">
        <v>11493.9</v>
      </c>
      <c r="P72" s="14">
        <v>11953.7</v>
      </c>
      <c r="Q72" s="14">
        <v>12431.1</v>
      </c>
      <c r="R72" s="14">
        <v>12929.4</v>
      </c>
    </row>
    <row r="73" spans="1:18" s="2" customFormat="1" ht="75" hidden="1">
      <c r="A73" s="28">
        <v>18</v>
      </c>
      <c r="B73" s="43" t="s">
        <v>81</v>
      </c>
      <c r="C73" s="28" t="s">
        <v>14</v>
      </c>
      <c r="D73" s="49">
        <v>284</v>
      </c>
      <c r="E73" s="14">
        <v>284</v>
      </c>
      <c r="F73" s="14">
        <v>284</v>
      </c>
      <c r="G73" s="14">
        <v>284</v>
      </c>
      <c r="H73" s="14">
        <v>284</v>
      </c>
      <c r="I73" s="14">
        <v>57300</v>
      </c>
      <c r="J73" s="14">
        <v>60200</v>
      </c>
      <c r="K73" s="14">
        <v>62600</v>
      </c>
      <c r="L73" s="14">
        <v>65100</v>
      </c>
      <c r="M73" s="14">
        <v>67700</v>
      </c>
      <c r="N73" s="14">
        <v>70425.4</v>
      </c>
      <c r="O73" s="14">
        <v>17096.8</v>
      </c>
      <c r="P73" s="14">
        <v>17778.4</v>
      </c>
      <c r="Q73" s="14">
        <v>18488.4</v>
      </c>
      <c r="R73" s="14">
        <v>19226.8</v>
      </c>
    </row>
    <row r="74" spans="1:18" s="2" customFormat="1" ht="60" hidden="1">
      <c r="A74" s="28">
        <v>19</v>
      </c>
      <c r="B74" s="44" t="s">
        <v>82</v>
      </c>
      <c r="C74" s="28" t="s">
        <v>14</v>
      </c>
      <c r="D74" s="49">
        <v>173</v>
      </c>
      <c r="E74" s="14">
        <v>156</v>
      </c>
      <c r="F74" s="14">
        <v>165</v>
      </c>
      <c r="G74" s="14">
        <v>165</v>
      </c>
      <c r="H74" s="14">
        <v>165</v>
      </c>
      <c r="I74" s="14">
        <v>94500</v>
      </c>
      <c r="J74" s="14">
        <v>99200</v>
      </c>
      <c r="K74" s="14">
        <v>103200</v>
      </c>
      <c r="L74" s="14">
        <v>107200</v>
      </c>
      <c r="M74" s="14">
        <v>111500</v>
      </c>
      <c r="N74" s="14">
        <v>16348.5</v>
      </c>
      <c r="O74" s="14">
        <v>15475.2</v>
      </c>
      <c r="P74" s="14">
        <v>17028</v>
      </c>
      <c r="Q74" s="14">
        <v>17688</v>
      </c>
      <c r="R74" s="14">
        <v>18397.5</v>
      </c>
    </row>
    <row r="75" spans="1:18" s="2" customFormat="1" ht="45" hidden="1">
      <c r="A75" s="28">
        <v>20</v>
      </c>
      <c r="B75" s="42" t="s">
        <v>83</v>
      </c>
      <c r="C75" s="28" t="s">
        <v>14</v>
      </c>
      <c r="D75" s="49">
        <v>6164</v>
      </c>
      <c r="E75" s="14">
        <v>6164</v>
      </c>
      <c r="F75" s="49">
        <v>6164</v>
      </c>
      <c r="G75" s="14">
        <v>6164</v>
      </c>
      <c r="H75" s="49">
        <v>6165</v>
      </c>
      <c r="I75" s="14">
        <v>190</v>
      </c>
      <c r="J75" s="14">
        <v>200</v>
      </c>
      <c r="K75" s="14">
        <v>210</v>
      </c>
      <c r="L75" s="14">
        <v>220</v>
      </c>
      <c r="M75" s="14">
        <v>230</v>
      </c>
      <c r="N75" s="49">
        <v>1171.1</v>
      </c>
      <c r="O75" s="14">
        <v>1232.8</v>
      </c>
      <c r="P75" s="14">
        <v>1294.4</v>
      </c>
      <c r="Q75" s="14">
        <v>1356.1</v>
      </c>
      <c r="R75" s="14">
        <v>1417.9</v>
      </c>
    </row>
    <row r="76" spans="1:18" s="2" customFormat="1" ht="30" hidden="1">
      <c r="A76" s="28">
        <v>21</v>
      </c>
      <c r="B76" s="42" t="s">
        <v>84</v>
      </c>
      <c r="C76" s="28" t="s">
        <v>14</v>
      </c>
      <c r="D76" s="49">
        <v>1200</v>
      </c>
      <c r="E76" s="14">
        <v>1250</v>
      </c>
      <c r="F76" s="14">
        <v>1250</v>
      </c>
      <c r="G76" s="14">
        <v>1250</v>
      </c>
      <c r="H76" s="14">
        <v>1250</v>
      </c>
      <c r="I76" s="14">
        <v>7550</v>
      </c>
      <c r="J76" s="14">
        <v>7930</v>
      </c>
      <c r="K76" s="14">
        <v>8250</v>
      </c>
      <c r="L76" s="14">
        <v>8550</v>
      </c>
      <c r="M76" s="14">
        <v>8950</v>
      </c>
      <c r="N76" s="49">
        <v>9060</v>
      </c>
      <c r="O76" s="14">
        <v>9912.5</v>
      </c>
      <c r="P76" s="14">
        <v>10312.5</v>
      </c>
      <c r="Q76" s="14">
        <v>10687.5</v>
      </c>
      <c r="R76" s="14">
        <v>11187.5</v>
      </c>
    </row>
    <row r="77" spans="1:18" s="2" customFormat="1" ht="30" hidden="1">
      <c r="A77" s="28">
        <v>22</v>
      </c>
      <c r="B77" s="42" t="s">
        <v>85</v>
      </c>
      <c r="C77" s="28" t="s">
        <v>14</v>
      </c>
      <c r="D77" s="49">
        <v>22</v>
      </c>
      <c r="E77" s="14">
        <v>25</v>
      </c>
      <c r="F77" s="14">
        <v>25</v>
      </c>
      <c r="G77" s="14">
        <v>25</v>
      </c>
      <c r="H77" s="14">
        <v>25</v>
      </c>
      <c r="I77" s="14">
        <v>71210</v>
      </c>
      <c r="J77" s="14">
        <v>74770</v>
      </c>
      <c r="K77" s="14">
        <v>77760</v>
      </c>
      <c r="L77" s="14">
        <v>80890</v>
      </c>
      <c r="M77" s="14">
        <v>84100</v>
      </c>
      <c r="N77" s="49">
        <v>1566.6</v>
      </c>
      <c r="O77" s="14">
        <v>1869.2</v>
      </c>
      <c r="P77" s="14">
        <f>F77*K77/1000</f>
        <v>1944</v>
      </c>
      <c r="Q77" s="14">
        <v>2002.2</v>
      </c>
      <c r="R77" s="14">
        <f>H77*M77/1000</f>
        <v>2102.5</v>
      </c>
    </row>
    <row r="78" spans="1:18" s="2" customFormat="1" ht="45" hidden="1">
      <c r="A78" s="28">
        <v>23</v>
      </c>
      <c r="B78" s="42" t="s">
        <v>86</v>
      </c>
      <c r="C78" s="28" t="s">
        <v>67</v>
      </c>
      <c r="D78" s="49">
        <v>436096</v>
      </c>
      <c r="E78" s="14">
        <v>493286</v>
      </c>
      <c r="F78" s="14">
        <v>726000</v>
      </c>
      <c r="G78" s="14">
        <v>850000</v>
      </c>
      <c r="H78" s="14">
        <v>974000</v>
      </c>
      <c r="I78" s="14">
        <v>136.1</v>
      </c>
      <c r="J78" s="14">
        <v>150</v>
      </c>
      <c r="K78" s="14">
        <v>160</v>
      </c>
      <c r="L78" s="14">
        <v>170</v>
      </c>
      <c r="M78" s="14">
        <v>180</v>
      </c>
      <c r="N78" s="49">
        <v>59367</v>
      </c>
      <c r="O78" s="14">
        <v>73992.9</v>
      </c>
      <c r="P78" s="14">
        <v>116160</v>
      </c>
      <c r="Q78" s="14">
        <v>144500</v>
      </c>
      <c r="R78" s="14">
        <v>175320</v>
      </c>
    </row>
    <row r="79" spans="1:18" s="2" customFormat="1" ht="45" hidden="1">
      <c r="A79" s="28">
        <v>24</v>
      </c>
      <c r="B79" s="42" t="s">
        <v>87</v>
      </c>
      <c r="C79" s="28" t="s">
        <v>88</v>
      </c>
      <c r="D79" s="49">
        <v>164</v>
      </c>
      <c r="E79" s="14">
        <v>360</v>
      </c>
      <c r="F79" s="49">
        <v>360</v>
      </c>
      <c r="G79" s="14">
        <v>360</v>
      </c>
      <c r="H79" s="49">
        <v>360</v>
      </c>
      <c r="I79" s="14"/>
      <c r="J79" s="14"/>
      <c r="K79" s="14"/>
      <c r="L79" s="14"/>
      <c r="M79" s="14"/>
      <c r="N79" s="49">
        <v>1980</v>
      </c>
      <c r="O79" s="14">
        <v>4330</v>
      </c>
      <c r="P79" s="14">
        <v>4503</v>
      </c>
      <c r="Q79" s="14">
        <v>4680</v>
      </c>
      <c r="R79" s="14">
        <v>4870</v>
      </c>
    </row>
    <row r="80" spans="1:18" s="2" customFormat="1" ht="45" hidden="1">
      <c r="A80" s="28">
        <v>25</v>
      </c>
      <c r="B80" s="42" t="s">
        <v>87</v>
      </c>
      <c r="C80" s="28" t="s">
        <v>88</v>
      </c>
      <c r="D80" s="49">
        <v>293</v>
      </c>
      <c r="E80" s="14">
        <v>293</v>
      </c>
      <c r="F80" s="14">
        <v>293</v>
      </c>
      <c r="G80" s="14">
        <v>293</v>
      </c>
      <c r="H80" s="14">
        <v>293</v>
      </c>
      <c r="I80" s="14"/>
      <c r="J80" s="14"/>
      <c r="K80" s="14"/>
      <c r="L80" s="14"/>
      <c r="M80" s="14"/>
      <c r="N80" s="49">
        <v>42293</v>
      </c>
      <c r="O80" s="14">
        <v>43985</v>
      </c>
      <c r="P80" s="14">
        <v>45750</v>
      </c>
      <c r="Q80" s="14">
        <v>47580</v>
      </c>
      <c r="R80" s="14">
        <v>49500</v>
      </c>
    </row>
    <row r="81" spans="1:18" s="2" customFormat="1" ht="30" hidden="1">
      <c r="A81" s="28">
        <v>26</v>
      </c>
      <c r="B81" s="42" t="s">
        <v>89</v>
      </c>
      <c r="C81" s="28" t="s">
        <v>88</v>
      </c>
      <c r="D81" s="49">
        <v>65</v>
      </c>
      <c r="E81" s="14">
        <v>65</v>
      </c>
      <c r="F81" s="14">
        <v>65</v>
      </c>
      <c r="G81" s="14">
        <v>65</v>
      </c>
      <c r="H81" s="14">
        <v>65</v>
      </c>
      <c r="I81" s="14"/>
      <c r="J81" s="14"/>
      <c r="K81" s="14"/>
      <c r="L81" s="14"/>
      <c r="M81" s="14"/>
      <c r="N81" s="49">
        <v>2120</v>
      </c>
      <c r="O81" s="14">
        <v>2130</v>
      </c>
      <c r="P81" s="14">
        <v>2220</v>
      </c>
      <c r="Q81" s="14">
        <v>2310</v>
      </c>
      <c r="R81" s="14">
        <v>2400</v>
      </c>
    </row>
    <row r="82" spans="1:18" s="2" customFormat="1" ht="30" hidden="1">
      <c r="A82" s="28">
        <v>27</v>
      </c>
      <c r="B82" s="42" t="s">
        <v>90</v>
      </c>
      <c r="C82" s="28" t="s">
        <v>88</v>
      </c>
      <c r="D82" s="49">
        <v>72</v>
      </c>
      <c r="E82" s="14">
        <v>120</v>
      </c>
      <c r="F82" s="14">
        <v>120</v>
      </c>
      <c r="G82" s="14">
        <v>120</v>
      </c>
      <c r="H82" s="14">
        <v>120</v>
      </c>
      <c r="I82" s="14"/>
      <c r="J82" s="14"/>
      <c r="K82" s="14"/>
      <c r="L82" s="14"/>
      <c r="M82" s="14"/>
      <c r="N82" s="49">
        <v>3700</v>
      </c>
      <c r="O82" s="14">
        <v>3900</v>
      </c>
      <c r="P82" s="14">
        <v>4100</v>
      </c>
      <c r="Q82" s="14">
        <v>4260</v>
      </c>
      <c r="R82" s="14">
        <v>4430</v>
      </c>
    </row>
    <row r="83" spans="1:18" s="2" customFormat="1" ht="15" hidden="1">
      <c r="A83" s="28">
        <v>28</v>
      </c>
      <c r="B83" s="42" t="s">
        <v>91</v>
      </c>
      <c r="C83" s="28" t="s">
        <v>92</v>
      </c>
      <c r="D83" s="49">
        <f>33589+32496+4815+1197+8969</f>
        <v>81066</v>
      </c>
      <c r="E83" s="14">
        <v>89384</v>
      </c>
      <c r="F83" s="14">
        <v>89384</v>
      </c>
      <c r="G83" s="14">
        <v>89384</v>
      </c>
      <c r="H83" s="14">
        <v>89384</v>
      </c>
      <c r="I83" s="14">
        <v>1490</v>
      </c>
      <c r="J83" s="14">
        <v>1540</v>
      </c>
      <c r="K83" s="14">
        <v>1600</v>
      </c>
      <c r="L83" s="14">
        <v>1670</v>
      </c>
      <c r="M83" s="14">
        <v>1740</v>
      </c>
      <c r="N83" s="49">
        <f>D83*I83/1000+7000</f>
        <v>127788.34</v>
      </c>
      <c r="O83" s="14">
        <f>E83*J83/1000+7000</f>
        <v>144651.36</v>
      </c>
      <c r="P83" s="14">
        <f>F83*K83/1000+7000</f>
        <v>150014.4</v>
      </c>
      <c r="Q83" s="14">
        <f>G83*L83/1000+7000</f>
        <v>156271.28</v>
      </c>
      <c r="R83" s="14">
        <f>H83*M83/1000+7000</f>
        <v>162528.16</v>
      </c>
    </row>
    <row r="84" spans="1:18" s="2" customFormat="1" ht="30" hidden="1">
      <c r="A84" s="28">
        <v>29</v>
      </c>
      <c r="B84" s="42" t="s">
        <v>93</v>
      </c>
      <c r="C84" s="28" t="s">
        <v>14</v>
      </c>
      <c r="D84" s="49">
        <v>285</v>
      </c>
      <c r="E84" s="14">
        <v>296</v>
      </c>
      <c r="F84" s="14">
        <v>295</v>
      </c>
      <c r="G84" s="14">
        <v>295</v>
      </c>
      <c r="H84" s="14">
        <v>295</v>
      </c>
      <c r="I84" s="14">
        <v>78960</v>
      </c>
      <c r="J84" s="14">
        <v>87860</v>
      </c>
      <c r="K84" s="14">
        <v>91400</v>
      </c>
      <c r="L84" s="14">
        <f>K84*1.04</f>
        <v>95056</v>
      </c>
      <c r="M84" s="14">
        <v>98858</v>
      </c>
      <c r="N84" s="49">
        <f>D84*I84/1000</f>
        <v>22503.6</v>
      </c>
      <c r="O84" s="14">
        <f>E84*J84/1000</f>
        <v>26006.56</v>
      </c>
      <c r="P84" s="14">
        <f>F84*K84/1000</f>
        <v>26963</v>
      </c>
      <c r="Q84" s="14">
        <f>G84*L84/1000</f>
        <v>28041.52</v>
      </c>
      <c r="R84" s="14">
        <f>H84*M84/1000</f>
        <v>29163.11</v>
      </c>
    </row>
    <row r="85" spans="1:18" s="2" customFormat="1" ht="105" hidden="1">
      <c r="A85" s="28">
        <v>30</v>
      </c>
      <c r="B85" s="42" t="s">
        <v>94</v>
      </c>
      <c r="C85" s="28" t="s">
        <v>14</v>
      </c>
      <c r="D85" s="49">
        <v>92185</v>
      </c>
      <c r="E85" s="14">
        <v>111907</v>
      </c>
      <c r="F85" s="14">
        <v>119267</v>
      </c>
      <c r="G85" s="14">
        <v>119267</v>
      </c>
      <c r="H85" s="14">
        <v>119267</v>
      </c>
      <c r="I85" s="14"/>
      <c r="J85" s="14"/>
      <c r="K85" s="14"/>
      <c r="L85" s="14"/>
      <c r="M85" s="14"/>
      <c r="N85" s="49">
        <v>60900</v>
      </c>
      <c r="O85" s="14">
        <v>86839.832</v>
      </c>
      <c r="P85" s="14">
        <v>92552</v>
      </c>
      <c r="Q85" s="14">
        <f>P85*1.04</f>
        <v>96254.08</v>
      </c>
      <c r="R85" s="14">
        <f>Q85*1.04</f>
        <v>100104.24320000001</v>
      </c>
    </row>
    <row r="86" spans="1:18" s="2" customFormat="1" ht="30" hidden="1">
      <c r="A86" s="28">
        <v>31</v>
      </c>
      <c r="B86" s="42" t="s">
        <v>95</v>
      </c>
      <c r="C86" s="28" t="s">
        <v>14</v>
      </c>
      <c r="D86" s="49">
        <v>6500</v>
      </c>
      <c r="E86" s="14">
        <v>6500</v>
      </c>
      <c r="F86" s="14">
        <v>6500</v>
      </c>
      <c r="G86" s="14">
        <v>6500</v>
      </c>
      <c r="H86" s="14">
        <v>6500</v>
      </c>
      <c r="I86" s="14"/>
      <c r="J86" s="14"/>
      <c r="K86" s="14"/>
      <c r="L86" s="14"/>
      <c r="M86" s="14"/>
      <c r="N86" s="49">
        <v>810</v>
      </c>
      <c r="O86" s="14">
        <v>845</v>
      </c>
      <c r="P86" s="14">
        <v>878</v>
      </c>
      <c r="Q86" s="14">
        <v>910</v>
      </c>
      <c r="R86" s="14">
        <v>950</v>
      </c>
    </row>
    <row r="87" spans="1:18" s="2" customFormat="1" ht="120" hidden="1">
      <c r="A87" s="28">
        <v>32</v>
      </c>
      <c r="B87" s="42" t="s">
        <v>96</v>
      </c>
      <c r="C87" s="28" t="s">
        <v>14</v>
      </c>
      <c r="D87" s="49">
        <f>54394+6579+4308</f>
        <v>65281</v>
      </c>
      <c r="E87" s="14">
        <v>61643</v>
      </c>
      <c r="F87" s="49">
        <v>64100</v>
      </c>
      <c r="G87" s="49">
        <v>64100</v>
      </c>
      <c r="H87" s="49">
        <v>64100</v>
      </c>
      <c r="I87" s="50"/>
      <c r="J87" s="14"/>
      <c r="K87" s="50"/>
      <c r="L87" s="50"/>
      <c r="M87" s="50"/>
      <c r="N87" s="49">
        <v>56300</v>
      </c>
      <c r="O87" s="14">
        <v>50239.045</v>
      </c>
      <c r="P87" s="14">
        <v>58280.3</v>
      </c>
      <c r="Q87" s="14">
        <v>60611</v>
      </c>
      <c r="R87" s="14">
        <v>63040</v>
      </c>
    </row>
    <row r="88" spans="1:18" s="2" customFormat="1" ht="15" hidden="1">
      <c r="A88" s="19"/>
      <c r="B88" s="20" t="s">
        <v>0</v>
      </c>
      <c r="C88" s="25"/>
      <c r="D88" s="21" t="s">
        <v>8</v>
      </c>
      <c r="E88" s="21" t="s">
        <v>8</v>
      </c>
      <c r="F88" s="21" t="s">
        <v>8</v>
      </c>
      <c r="G88" s="21" t="s">
        <v>8</v>
      </c>
      <c r="H88" s="21" t="s">
        <v>8</v>
      </c>
      <c r="I88" s="21" t="s">
        <v>8</v>
      </c>
      <c r="J88" s="21" t="s">
        <v>8</v>
      </c>
      <c r="K88" s="21" t="s">
        <v>8</v>
      </c>
      <c r="L88" s="21" t="s">
        <v>8</v>
      </c>
      <c r="M88" s="21" t="s">
        <v>8</v>
      </c>
      <c r="N88" s="51">
        <f>SUM(N56:N87)</f>
        <v>2930746.4792200006</v>
      </c>
      <c r="O88" s="51">
        <f>SUM(O56:O87)</f>
        <v>3168752.365819999</v>
      </c>
      <c r="P88" s="51">
        <f>SUM(P56:P87)</f>
        <v>3326073.4699999997</v>
      </c>
      <c r="Q88" s="51">
        <f>SUM(Q56:Q87)</f>
        <v>3658888.452</v>
      </c>
      <c r="R88" s="51">
        <f>SUM(R56:R87)</f>
        <v>3882809.6311999992</v>
      </c>
    </row>
    <row r="89" spans="1:18" s="2" customFormat="1" ht="15" hidden="1">
      <c r="A89" s="138" t="s">
        <v>97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</row>
    <row r="90" spans="1:18" s="2" customFormat="1" ht="90" hidden="1">
      <c r="A90" s="1">
        <v>1</v>
      </c>
      <c r="B90" s="33" t="s">
        <v>98</v>
      </c>
      <c r="C90" s="1" t="s">
        <v>99</v>
      </c>
      <c r="D90" s="49">
        <v>146</v>
      </c>
      <c r="E90" s="49">
        <v>146</v>
      </c>
      <c r="F90" s="49">
        <v>146</v>
      </c>
      <c r="G90" s="49">
        <v>146</v>
      </c>
      <c r="H90" s="49">
        <v>146</v>
      </c>
      <c r="I90" s="49">
        <v>227120.08</v>
      </c>
      <c r="J90" s="49">
        <v>235649.67</v>
      </c>
      <c r="K90" s="49">
        <v>247190.11352226255</v>
      </c>
      <c r="L90" s="49">
        <v>260235.53966226257</v>
      </c>
      <c r="M90" s="49">
        <v>276125.46949572256</v>
      </c>
      <c r="N90" s="49">
        <v>33159.53168</v>
      </c>
      <c r="O90" s="49">
        <v>34185.85182</v>
      </c>
      <c r="P90" s="49">
        <v>35870.75605999999</v>
      </c>
      <c r="Q90" s="49">
        <v>35870.75605999999</v>
      </c>
      <c r="R90" s="49">
        <v>35870.75605999999</v>
      </c>
    </row>
    <row r="91" spans="1:18" s="2" customFormat="1" ht="90" hidden="1">
      <c r="A91" s="1">
        <v>2</v>
      </c>
      <c r="B91" s="33" t="s">
        <v>100</v>
      </c>
      <c r="C91" s="1" t="s">
        <v>99</v>
      </c>
      <c r="D91" s="49">
        <v>65</v>
      </c>
      <c r="E91" s="49">
        <v>65</v>
      </c>
      <c r="F91" s="49">
        <v>65</v>
      </c>
      <c r="G91" s="49">
        <v>65</v>
      </c>
      <c r="H91" s="49">
        <v>65</v>
      </c>
      <c r="I91" s="49">
        <v>127884.25</v>
      </c>
      <c r="J91" s="49">
        <v>132651.85</v>
      </c>
      <c r="K91" s="49">
        <v>139083.5612580243</v>
      </c>
      <c r="L91" s="49">
        <v>146349.16483802433</v>
      </c>
      <c r="M91" s="49">
        <v>155193.8403196442</v>
      </c>
      <c r="N91" s="49">
        <v>8312.47625</v>
      </c>
      <c r="O91" s="49">
        <v>8524.87025</v>
      </c>
      <c r="P91" s="49">
        <v>8942.932050000001</v>
      </c>
      <c r="Q91" s="49">
        <v>8942.932050000001</v>
      </c>
      <c r="R91" s="49">
        <v>8942.932050000001</v>
      </c>
    </row>
    <row r="92" spans="1:18" s="2" customFormat="1" ht="90" hidden="1">
      <c r="A92" s="1">
        <v>3</v>
      </c>
      <c r="B92" s="33" t="s">
        <v>101</v>
      </c>
      <c r="C92" s="1" t="s">
        <v>99</v>
      </c>
      <c r="D92" s="49">
        <v>96</v>
      </c>
      <c r="E92" s="49">
        <v>96</v>
      </c>
      <c r="F92" s="49">
        <v>96</v>
      </c>
      <c r="G92" s="49">
        <v>96</v>
      </c>
      <c r="H92" s="49">
        <v>96</v>
      </c>
      <c r="I92" s="49">
        <v>85074.96</v>
      </c>
      <c r="J92" s="49">
        <v>88259.49</v>
      </c>
      <c r="K92" s="49">
        <v>92570.31386391984</v>
      </c>
      <c r="L92" s="49">
        <v>97443.89746391984</v>
      </c>
      <c r="M92" s="49">
        <v>103380.75167231984</v>
      </c>
      <c r="N92" s="49">
        <v>8167.19616</v>
      </c>
      <c r="O92" s="49">
        <v>8424.91104</v>
      </c>
      <c r="P92" s="49">
        <v>8838.75072</v>
      </c>
      <c r="Q92" s="49">
        <v>8838.75072</v>
      </c>
      <c r="R92" s="49">
        <v>8838.75072</v>
      </c>
    </row>
    <row r="93" spans="1:18" s="2" customFormat="1" ht="90" hidden="1">
      <c r="A93" s="1">
        <v>4</v>
      </c>
      <c r="B93" s="33" t="s">
        <v>102</v>
      </c>
      <c r="C93" s="1" t="s">
        <v>99</v>
      </c>
      <c r="D93" s="49">
        <v>27</v>
      </c>
      <c r="E93" s="49">
        <v>27</v>
      </c>
      <c r="F93" s="49">
        <v>27</v>
      </c>
      <c r="G93" s="49">
        <v>27</v>
      </c>
      <c r="H93" s="49">
        <v>27</v>
      </c>
      <c r="I93" s="49">
        <v>401709.66</v>
      </c>
      <c r="J93" s="49">
        <v>416887.02</v>
      </c>
      <c r="K93" s="49">
        <v>437457.17037633917</v>
      </c>
      <c r="L93" s="49">
        <v>460719.0606363392</v>
      </c>
      <c r="M93" s="49">
        <v>489062.8290464791</v>
      </c>
      <c r="N93" s="49">
        <v>10846.16082</v>
      </c>
      <c r="O93" s="49">
        <v>11215.44954</v>
      </c>
      <c r="P93" s="49">
        <v>11770.843859999999</v>
      </c>
      <c r="Q93" s="49">
        <v>11770.843859999999</v>
      </c>
      <c r="R93" s="49">
        <v>11770.843859999999</v>
      </c>
    </row>
    <row r="94" spans="1:18" s="2" customFormat="1" ht="105" hidden="1">
      <c r="A94" s="1">
        <v>5</v>
      </c>
      <c r="B94" s="33" t="s">
        <v>103</v>
      </c>
      <c r="C94" s="1" t="s">
        <v>99</v>
      </c>
      <c r="D94" s="49">
        <v>27</v>
      </c>
      <c r="E94" s="49">
        <v>27</v>
      </c>
      <c r="F94" s="49">
        <v>27</v>
      </c>
      <c r="G94" s="49">
        <v>27</v>
      </c>
      <c r="H94" s="49">
        <v>27</v>
      </c>
      <c r="I94" s="49">
        <v>517835.92</v>
      </c>
      <c r="J94" s="49">
        <v>537835.92</v>
      </c>
      <c r="K94" s="49">
        <v>565125.442760074</v>
      </c>
      <c r="L94" s="49">
        <v>595992.313800074</v>
      </c>
      <c r="M94" s="49">
        <v>633609.219641074</v>
      </c>
      <c r="N94" s="49">
        <v>13981.56984</v>
      </c>
      <c r="O94" s="49">
        <v>14481.069840000002</v>
      </c>
      <c r="P94" s="49">
        <v>15217.886879999998</v>
      </c>
      <c r="Q94" s="49">
        <v>15217.886879999998</v>
      </c>
      <c r="R94" s="49">
        <v>15217.886879999998</v>
      </c>
    </row>
    <row r="95" spans="1:18" s="2" customFormat="1" ht="105" hidden="1">
      <c r="A95" s="1">
        <v>6</v>
      </c>
      <c r="B95" s="33" t="s">
        <v>104</v>
      </c>
      <c r="C95" s="1" t="s">
        <v>99</v>
      </c>
      <c r="D95" s="49">
        <v>67</v>
      </c>
      <c r="E95" s="49">
        <v>67</v>
      </c>
      <c r="F95" s="49">
        <v>67</v>
      </c>
      <c r="G95" s="49">
        <v>67</v>
      </c>
      <c r="H95" s="49">
        <v>67</v>
      </c>
      <c r="I95" s="49">
        <v>318148.91</v>
      </c>
      <c r="J95" s="49">
        <v>330211.25</v>
      </c>
      <c r="K95" s="49">
        <v>271550.7865507961</v>
      </c>
      <c r="L95" s="49">
        <v>271550.7865507961</v>
      </c>
      <c r="M95" s="49">
        <v>271550.78655079607</v>
      </c>
      <c r="N95" s="49">
        <v>21315.97697</v>
      </c>
      <c r="O95" s="49">
        <v>21923.15375</v>
      </c>
      <c r="P95" s="49">
        <v>23018.00075</v>
      </c>
      <c r="Q95" s="49">
        <v>23018.00075</v>
      </c>
      <c r="R95" s="49">
        <v>23018.00075</v>
      </c>
    </row>
    <row r="96" spans="1:18" s="2" customFormat="1" ht="45" hidden="1">
      <c r="A96" s="1">
        <v>7</v>
      </c>
      <c r="B96" s="33" t="s">
        <v>105</v>
      </c>
      <c r="C96" s="1" t="s">
        <v>99</v>
      </c>
      <c r="D96" s="49">
        <v>200</v>
      </c>
      <c r="E96" s="49">
        <v>200</v>
      </c>
      <c r="F96" s="49">
        <v>200</v>
      </c>
      <c r="G96" s="49">
        <v>200</v>
      </c>
      <c r="H96" s="49">
        <v>200</v>
      </c>
      <c r="I96" s="49">
        <v>576.29</v>
      </c>
      <c r="J96" s="49">
        <v>597.17</v>
      </c>
      <c r="K96" s="49">
        <v>625.3172643843295</v>
      </c>
      <c r="L96" s="49">
        <v>657.0945643843295</v>
      </c>
      <c r="M96" s="49">
        <v>695.7569332843294</v>
      </c>
      <c r="N96" s="49">
        <v>115.258</v>
      </c>
      <c r="O96" s="49">
        <v>119.43</v>
      </c>
      <c r="P96" s="49">
        <v>125.06</v>
      </c>
      <c r="Q96" s="49">
        <v>126.06</v>
      </c>
      <c r="R96" s="49">
        <v>125.06</v>
      </c>
    </row>
    <row r="97" spans="1:18" s="2" customFormat="1" ht="30" hidden="1">
      <c r="A97" s="1">
        <v>8</v>
      </c>
      <c r="B97" s="33" t="s">
        <v>106</v>
      </c>
      <c r="C97" s="1" t="s">
        <v>99</v>
      </c>
      <c r="D97" s="49">
        <v>96558</v>
      </c>
      <c r="E97" s="49">
        <v>96558</v>
      </c>
      <c r="F97" s="49">
        <v>97758</v>
      </c>
      <c r="G97" s="49">
        <v>97758</v>
      </c>
      <c r="H97" s="49">
        <v>97758</v>
      </c>
      <c r="I97" s="49">
        <v>1285.74</v>
      </c>
      <c r="J97" s="49">
        <v>1313.72</v>
      </c>
      <c r="K97" s="49">
        <v>1351.66</v>
      </c>
      <c r="L97" s="49">
        <v>1394.5729498182372</v>
      </c>
      <c r="M97" s="49">
        <v>1446.863552158237</v>
      </c>
      <c r="N97" s="49">
        <v>124148.48292</v>
      </c>
      <c r="O97" s="49">
        <v>89069.22576</v>
      </c>
      <c r="P97" s="49">
        <v>93874.62827999999</v>
      </c>
      <c r="Q97" s="49">
        <v>94813.37456279999</v>
      </c>
      <c r="R97" s="49">
        <v>100445.85225960001</v>
      </c>
    </row>
    <row r="98" spans="1:18" s="2" customFormat="1" ht="30" hidden="1">
      <c r="A98" s="1">
        <v>9</v>
      </c>
      <c r="B98" s="33" t="s">
        <v>107</v>
      </c>
      <c r="C98" s="1" t="s">
        <v>99</v>
      </c>
      <c r="D98" s="49">
        <v>30100</v>
      </c>
      <c r="E98" s="49">
        <v>30100</v>
      </c>
      <c r="F98" s="49">
        <v>30250</v>
      </c>
      <c r="G98" s="49">
        <v>30250</v>
      </c>
      <c r="H98" s="49">
        <v>30250</v>
      </c>
      <c r="I98" s="49">
        <v>1159.36</v>
      </c>
      <c r="J98" s="49">
        <v>1232.37</v>
      </c>
      <c r="K98" s="49">
        <v>1269.97</v>
      </c>
      <c r="L98" s="49">
        <v>1312.3934397521973</v>
      </c>
      <c r="M98" s="49">
        <v>1363.9819397321971</v>
      </c>
      <c r="N98" s="49">
        <v>34896.736</v>
      </c>
      <c r="O98" s="49">
        <v>28184.336999999992</v>
      </c>
      <c r="P98" s="49">
        <v>29461.5925</v>
      </c>
      <c r="Q98" s="49">
        <v>29756.208425</v>
      </c>
      <c r="R98" s="49">
        <v>31523.903975</v>
      </c>
    </row>
    <row r="99" spans="1:18" s="2" customFormat="1" ht="30" hidden="1">
      <c r="A99" s="1">
        <v>10</v>
      </c>
      <c r="B99" s="33" t="s">
        <v>108</v>
      </c>
      <c r="C99" s="1" t="s">
        <v>99</v>
      </c>
      <c r="D99" s="49">
        <v>6224</v>
      </c>
      <c r="E99" s="49">
        <v>6224</v>
      </c>
      <c r="F99" s="49">
        <v>6374</v>
      </c>
      <c r="G99" s="49">
        <v>6374</v>
      </c>
      <c r="H99" s="49">
        <v>6374</v>
      </c>
      <c r="I99" s="49">
        <v>2128.95</v>
      </c>
      <c r="J99" s="49">
        <v>2302.12</v>
      </c>
      <c r="K99" s="49">
        <v>2353.56</v>
      </c>
      <c r="L99" s="49">
        <v>2411.645282215493</v>
      </c>
      <c r="M99" s="49">
        <v>2482.321127995493</v>
      </c>
      <c r="N99" s="49">
        <v>13250.584799999999</v>
      </c>
      <c r="O99" s="49">
        <v>12661.194880000001</v>
      </c>
      <c r="P99" s="49">
        <v>13289.39144</v>
      </c>
      <c r="Q99" s="49">
        <v>13422.285354400003</v>
      </c>
      <c r="R99" s="49">
        <v>14219.6488408</v>
      </c>
    </row>
    <row r="100" spans="1:18" s="2" customFormat="1" ht="30" hidden="1">
      <c r="A100" s="1">
        <v>11</v>
      </c>
      <c r="B100" s="33" t="s">
        <v>109</v>
      </c>
      <c r="C100" s="1" t="s">
        <v>99</v>
      </c>
      <c r="D100" s="49">
        <v>30050</v>
      </c>
      <c r="E100" s="49">
        <v>30050</v>
      </c>
      <c r="F100" s="49">
        <v>30300</v>
      </c>
      <c r="G100" s="49">
        <v>30300</v>
      </c>
      <c r="H100" s="49">
        <v>30300</v>
      </c>
      <c r="I100" s="49">
        <v>1240.74</v>
      </c>
      <c r="J100" s="49">
        <v>1313.72</v>
      </c>
      <c r="K100" s="49">
        <v>1351.66</v>
      </c>
      <c r="L100" s="49">
        <v>1394.572949818237</v>
      </c>
      <c r="M100" s="49">
        <v>1446.863552158237</v>
      </c>
      <c r="N100" s="49">
        <v>37284.237</v>
      </c>
      <c r="O100" s="49">
        <v>31824.786</v>
      </c>
      <c r="P100" s="49">
        <v>33227.797999999995</v>
      </c>
      <c r="Q100" s="49">
        <v>33560.075979999994</v>
      </c>
      <c r="R100" s="49">
        <v>35553.74386</v>
      </c>
    </row>
    <row r="101" spans="1:18" s="2" customFormat="1" ht="30" hidden="1">
      <c r="A101" s="1">
        <v>12</v>
      </c>
      <c r="B101" s="33" t="s">
        <v>110</v>
      </c>
      <c r="C101" s="1" t="s">
        <v>99</v>
      </c>
      <c r="D101" s="49">
        <v>17376</v>
      </c>
      <c r="E101" s="49">
        <v>17376</v>
      </c>
      <c r="F101" s="49">
        <v>17426</v>
      </c>
      <c r="G101" s="49">
        <v>17426</v>
      </c>
      <c r="H101" s="49">
        <v>17426</v>
      </c>
      <c r="I101" s="49">
        <v>1159.36</v>
      </c>
      <c r="J101" s="49">
        <v>1232.37</v>
      </c>
      <c r="K101" s="49">
        <v>1269.97</v>
      </c>
      <c r="L101" s="49">
        <v>1312.3934397521973</v>
      </c>
      <c r="M101" s="49">
        <v>1363.9819397321971</v>
      </c>
      <c r="N101" s="49">
        <v>20145.03936</v>
      </c>
      <c r="O101" s="49">
        <v>18826.511119999996</v>
      </c>
      <c r="P101" s="49">
        <v>19535.847220000003</v>
      </c>
      <c r="Q101" s="49">
        <v>19731.2056922</v>
      </c>
      <c r="R101" s="49">
        <v>20903.356525400002</v>
      </c>
    </row>
    <row r="102" spans="1:18" s="2" customFormat="1" ht="30" hidden="1">
      <c r="A102" s="1">
        <v>13</v>
      </c>
      <c r="B102" s="33" t="s">
        <v>111</v>
      </c>
      <c r="C102" s="1" t="s">
        <v>99</v>
      </c>
      <c r="D102" s="49">
        <v>5343</v>
      </c>
      <c r="E102" s="49">
        <v>5343</v>
      </c>
      <c r="F102" s="49">
        <v>5443</v>
      </c>
      <c r="G102" s="49">
        <v>5443</v>
      </c>
      <c r="H102" s="49">
        <v>5443</v>
      </c>
      <c r="I102" s="49">
        <v>2128.92</v>
      </c>
      <c r="J102" s="49">
        <v>2302.12</v>
      </c>
      <c r="K102" s="49">
        <v>2353.56</v>
      </c>
      <c r="L102" s="49">
        <v>2413.721282215493</v>
      </c>
      <c r="M102" s="49">
        <v>2484.4780919954933</v>
      </c>
      <c r="N102" s="49">
        <v>11374.81956</v>
      </c>
      <c r="O102" s="49">
        <v>11513.77716</v>
      </c>
      <c r="P102" s="49">
        <v>12008.977079999999</v>
      </c>
      <c r="Q102" s="49">
        <v>12129.0668508</v>
      </c>
      <c r="R102" s="49">
        <v>12849.6054756</v>
      </c>
    </row>
    <row r="103" spans="1:18" s="2" customFormat="1" ht="30" hidden="1">
      <c r="A103" s="1">
        <v>14</v>
      </c>
      <c r="B103" s="33" t="s">
        <v>112</v>
      </c>
      <c r="C103" s="1" t="s">
        <v>99</v>
      </c>
      <c r="D103" s="49">
        <v>45500</v>
      </c>
      <c r="E103" s="49">
        <v>45500</v>
      </c>
      <c r="F103" s="49">
        <v>45700</v>
      </c>
      <c r="G103" s="49">
        <v>45700</v>
      </c>
      <c r="H103" s="49">
        <v>45700</v>
      </c>
      <c r="I103" s="49">
        <v>825.15</v>
      </c>
      <c r="J103" s="49">
        <v>849.9</v>
      </c>
      <c r="K103" s="49">
        <v>883.44</v>
      </c>
      <c r="L103" s="49">
        <v>921.3811607186092</v>
      </c>
      <c r="M103" s="49">
        <v>967.6151552786091</v>
      </c>
      <c r="N103" s="49">
        <v>37544.325</v>
      </c>
      <c r="O103" s="49">
        <v>25130.43</v>
      </c>
      <c r="P103" s="49">
        <v>26663.208</v>
      </c>
      <c r="Q103" s="49">
        <v>26929.840079999998</v>
      </c>
      <c r="R103" s="49">
        <v>28529.63256</v>
      </c>
    </row>
    <row r="104" spans="1:18" s="2" customFormat="1" ht="30" hidden="1">
      <c r="A104" s="1">
        <v>15</v>
      </c>
      <c r="B104" s="33" t="s">
        <v>113</v>
      </c>
      <c r="C104" s="1" t="s">
        <v>99</v>
      </c>
      <c r="D104" s="49">
        <v>23000</v>
      </c>
      <c r="E104" s="49">
        <v>23000</v>
      </c>
      <c r="F104" s="49">
        <v>23000</v>
      </c>
      <c r="G104" s="49">
        <v>23000</v>
      </c>
      <c r="H104" s="49">
        <v>23000</v>
      </c>
      <c r="I104" s="49">
        <v>1001.78</v>
      </c>
      <c r="J104" s="49">
        <v>1027.95</v>
      </c>
      <c r="K104" s="49">
        <v>1064.14</v>
      </c>
      <c r="L104" s="49">
        <v>1103.5610950265982</v>
      </c>
      <c r="M104" s="49">
        <v>1152.4712821865983</v>
      </c>
      <c r="N104" s="49">
        <v>23040.94</v>
      </c>
      <c r="O104" s="49">
        <v>20192.85</v>
      </c>
      <c r="P104" s="49">
        <v>21025.220000000005</v>
      </c>
      <c r="Q104" s="49">
        <v>21235.472200000004</v>
      </c>
      <c r="R104" s="49">
        <v>22496.985400000005</v>
      </c>
    </row>
    <row r="105" spans="1:18" s="2" customFormat="1" ht="15" hidden="1">
      <c r="A105" s="9"/>
      <c r="B105" s="10" t="s">
        <v>0</v>
      </c>
      <c r="C105" s="3"/>
      <c r="D105" s="11" t="s">
        <v>8</v>
      </c>
      <c r="E105" s="11" t="s">
        <v>8</v>
      </c>
      <c r="F105" s="11" t="s">
        <v>8</v>
      </c>
      <c r="G105" s="11" t="s">
        <v>8</v>
      </c>
      <c r="H105" s="11" t="s">
        <v>8</v>
      </c>
      <c r="I105" s="11" t="s">
        <v>8</v>
      </c>
      <c r="J105" s="11" t="s">
        <v>8</v>
      </c>
      <c r="K105" s="11" t="s">
        <v>8</v>
      </c>
      <c r="L105" s="11" t="s">
        <v>8</v>
      </c>
      <c r="M105" s="11" t="s">
        <v>8</v>
      </c>
      <c r="N105" s="50">
        <f>SUM(N90:N104)</f>
        <v>397583.33436</v>
      </c>
      <c r="O105" s="50">
        <f>SUM(O90:O104)</f>
        <v>336277.84815999994</v>
      </c>
      <c r="P105" s="50">
        <f>SUM(P90:P104)</f>
        <v>352870.89284</v>
      </c>
      <c r="Q105" s="50">
        <f>SUM(Q90:Q104)</f>
        <v>355362.7594652</v>
      </c>
      <c r="R105" s="50">
        <f>SUM(R90:R104)</f>
        <v>370306.9592164</v>
      </c>
    </row>
    <row r="106" spans="1:18" s="2" customFormat="1" ht="15" hidden="1">
      <c r="A106" s="138" t="s">
        <v>264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</row>
    <row r="107" spans="1:18" s="2" customFormat="1" ht="30" hidden="1">
      <c r="A107" s="1">
        <v>1</v>
      </c>
      <c r="B107" s="33" t="s">
        <v>114</v>
      </c>
      <c r="C107" s="1" t="s">
        <v>115</v>
      </c>
      <c r="D107" s="49">
        <v>200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>
        <v>5200.92</v>
      </c>
      <c r="O107" s="49">
        <v>7600</v>
      </c>
      <c r="P107" s="49">
        <v>5600</v>
      </c>
      <c r="Q107" s="49">
        <v>5824</v>
      </c>
      <c r="R107" s="49">
        <v>6057</v>
      </c>
    </row>
    <row r="108" spans="1:18" s="2" customFormat="1" ht="30" hidden="1">
      <c r="A108" s="1"/>
      <c r="B108" s="33"/>
      <c r="C108" s="1" t="s">
        <v>116</v>
      </c>
      <c r="D108" s="49"/>
      <c r="E108" s="49">
        <v>12</v>
      </c>
      <c r="F108" s="49">
        <v>10</v>
      </c>
      <c r="G108" s="49">
        <v>11</v>
      </c>
      <c r="H108" s="49">
        <v>11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s="2" customFormat="1" ht="30" hidden="1">
      <c r="A109" s="1">
        <v>2</v>
      </c>
      <c r="B109" s="33" t="s">
        <v>117</v>
      </c>
      <c r="C109" s="1" t="s">
        <v>115</v>
      </c>
      <c r="D109" s="49">
        <v>154</v>
      </c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2" customFormat="1" ht="30" hidden="1">
      <c r="A110" s="1"/>
      <c r="B110" s="33"/>
      <c r="C110" s="1" t="s">
        <v>116</v>
      </c>
      <c r="D110" s="49"/>
      <c r="E110" s="49">
        <v>12</v>
      </c>
      <c r="F110" s="49">
        <v>10</v>
      </c>
      <c r="G110" s="49">
        <v>11</v>
      </c>
      <c r="H110" s="49">
        <v>11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2" customFormat="1" ht="30" hidden="1">
      <c r="A111" s="1">
        <v>3</v>
      </c>
      <c r="B111" s="33" t="s">
        <v>118</v>
      </c>
      <c r="C111" s="1" t="s">
        <v>119</v>
      </c>
      <c r="D111" s="49">
        <v>1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>
        <v>500</v>
      </c>
      <c r="O111" s="49">
        <v>500</v>
      </c>
      <c r="P111" s="49">
        <v>500</v>
      </c>
      <c r="Q111" s="49">
        <v>520</v>
      </c>
      <c r="R111" s="49">
        <v>540.8</v>
      </c>
    </row>
    <row r="112" spans="1:18" s="2" customFormat="1" ht="45" hidden="1">
      <c r="A112" s="1"/>
      <c r="B112" s="33"/>
      <c r="C112" s="1" t="s">
        <v>120</v>
      </c>
      <c r="D112" s="49"/>
      <c r="E112" s="49">
        <v>60000</v>
      </c>
      <c r="F112" s="49">
        <v>70000</v>
      </c>
      <c r="G112" s="49">
        <v>80000</v>
      </c>
      <c r="H112" s="49">
        <v>80000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s="2" customFormat="1" ht="120" hidden="1">
      <c r="A113" s="1">
        <v>4</v>
      </c>
      <c r="B113" s="33" t="s">
        <v>121</v>
      </c>
      <c r="C113" s="1" t="s">
        <v>122</v>
      </c>
      <c r="D113" s="49"/>
      <c r="E113" s="49">
        <v>7</v>
      </c>
      <c r="F113" s="49">
        <v>8</v>
      </c>
      <c r="G113" s="49">
        <v>8</v>
      </c>
      <c r="H113" s="49">
        <v>8</v>
      </c>
      <c r="I113" s="49"/>
      <c r="J113" s="49"/>
      <c r="K113" s="49"/>
      <c r="L113" s="49"/>
      <c r="M113" s="49"/>
      <c r="N113" s="49"/>
      <c r="O113" s="49">
        <v>40000</v>
      </c>
      <c r="P113" s="49">
        <v>35600</v>
      </c>
      <c r="Q113" s="49">
        <v>37024</v>
      </c>
      <c r="R113" s="49">
        <v>38505</v>
      </c>
    </row>
    <row r="114" spans="1:18" s="2" customFormat="1" ht="135" hidden="1">
      <c r="A114" s="1">
        <v>5</v>
      </c>
      <c r="B114" s="33" t="s">
        <v>123</v>
      </c>
      <c r="C114" s="1" t="s">
        <v>122</v>
      </c>
      <c r="D114" s="49"/>
      <c r="E114" s="49">
        <v>15</v>
      </c>
      <c r="F114" s="49">
        <v>12</v>
      </c>
      <c r="G114" s="49">
        <v>12</v>
      </c>
      <c r="H114" s="49">
        <v>12</v>
      </c>
      <c r="I114" s="49"/>
      <c r="J114" s="49"/>
      <c r="K114" s="49"/>
      <c r="L114" s="49"/>
      <c r="M114" s="49"/>
      <c r="N114" s="49"/>
      <c r="O114" s="49">
        <v>13000</v>
      </c>
      <c r="P114" s="49">
        <v>13000</v>
      </c>
      <c r="Q114" s="49">
        <v>13520</v>
      </c>
      <c r="R114" s="49">
        <v>14060.8</v>
      </c>
    </row>
    <row r="115" spans="1:18" s="2" customFormat="1" ht="150" hidden="1">
      <c r="A115" s="1">
        <v>6</v>
      </c>
      <c r="B115" s="33" t="s">
        <v>124</v>
      </c>
      <c r="C115" s="1" t="s">
        <v>125</v>
      </c>
      <c r="D115" s="49"/>
      <c r="E115" s="49">
        <v>4</v>
      </c>
      <c r="F115" s="49">
        <v>4</v>
      </c>
      <c r="G115" s="49">
        <v>4</v>
      </c>
      <c r="H115" s="49">
        <v>4</v>
      </c>
      <c r="I115" s="49"/>
      <c r="J115" s="49"/>
      <c r="K115" s="49"/>
      <c r="L115" s="49"/>
      <c r="M115" s="49"/>
      <c r="N115" s="49"/>
      <c r="O115" s="49">
        <v>12900</v>
      </c>
      <c r="P115" s="49">
        <v>12900</v>
      </c>
      <c r="Q115" s="49">
        <v>13416</v>
      </c>
      <c r="R115" s="49">
        <v>13952.6</v>
      </c>
    </row>
    <row r="116" spans="1:18" s="2" customFormat="1" ht="165" hidden="1">
      <c r="A116" s="1">
        <v>7</v>
      </c>
      <c r="B116" s="33" t="s">
        <v>126</v>
      </c>
      <c r="C116" s="1" t="s">
        <v>127</v>
      </c>
      <c r="D116" s="49"/>
      <c r="E116" s="49">
        <v>20</v>
      </c>
      <c r="F116" s="49">
        <v>20</v>
      </c>
      <c r="G116" s="49">
        <v>20</v>
      </c>
      <c r="H116" s="49">
        <v>20</v>
      </c>
      <c r="I116" s="49"/>
      <c r="J116" s="49"/>
      <c r="K116" s="49"/>
      <c r="L116" s="49"/>
      <c r="M116" s="49"/>
      <c r="N116" s="49"/>
      <c r="O116" s="49">
        <v>7900</v>
      </c>
      <c r="P116" s="49">
        <v>7900</v>
      </c>
      <c r="Q116" s="49">
        <v>8216</v>
      </c>
      <c r="R116" s="49">
        <v>8544.6</v>
      </c>
    </row>
    <row r="117" spans="1:18" s="2" customFormat="1" ht="15" hidden="1">
      <c r="A117" s="9"/>
      <c r="B117" s="10" t="s">
        <v>0</v>
      </c>
      <c r="C117" s="3"/>
      <c r="D117" s="11" t="s">
        <v>8</v>
      </c>
      <c r="E117" s="11" t="s">
        <v>8</v>
      </c>
      <c r="F117" s="11" t="s">
        <v>8</v>
      </c>
      <c r="G117" s="11" t="s">
        <v>8</v>
      </c>
      <c r="H117" s="11" t="s">
        <v>8</v>
      </c>
      <c r="I117" s="11" t="s">
        <v>8</v>
      </c>
      <c r="J117" s="11" t="s">
        <v>8</v>
      </c>
      <c r="K117" s="11" t="s">
        <v>8</v>
      </c>
      <c r="L117" s="11" t="s">
        <v>8</v>
      </c>
      <c r="M117" s="11" t="s">
        <v>8</v>
      </c>
      <c r="N117" s="50">
        <f>SUM(N107:N116)</f>
        <v>5700.92</v>
      </c>
      <c r="O117" s="50">
        <f>SUM(O107:O116)</f>
        <v>81900</v>
      </c>
      <c r="P117" s="50">
        <f>SUM(P107:P116)</f>
        <v>75500</v>
      </c>
      <c r="Q117" s="50">
        <f>SUM(Q107:Q116)</f>
        <v>78520</v>
      </c>
      <c r="R117" s="50">
        <f>SUM(R107:R116)</f>
        <v>81660.80000000002</v>
      </c>
    </row>
    <row r="118" spans="1:18" s="2" customFormat="1" ht="15" hidden="1">
      <c r="A118" s="138" t="s">
        <v>265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</row>
    <row r="119" spans="1:18" s="2" customFormat="1" ht="45" hidden="1">
      <c r="A119" s="1">
        <v>1</v>
      </c>
      <c r="B119" s="8" t="s">
        <v>262</v>
      </c>
      <c r="C119" s="22" t="s">
        <v>128</v>
      </c>
      <c r="D119" s="49">
        <v>110710</v>
      </c>
      <c r="E119" s="49">
        <v>69830</v>
      </c>
      <c r="F119" s="49">
        <v>83900</v>
      </c>
      <c r="G119" s="49">
        <v>83900</v>
      </c>
      <c r="H119" s="49">
        <v>83900</v>
      </c>
      <c r="I119" s="49">
        <v>102.83</v>
      </c>
      <c r="J119" s="49">
        <v>227.83</v>
      </c>
      <c r="K119" s="49"/>
      <c r="L119" s="49"/>
      <c r="M119" s="49"/>
      <c r="N119" s="49">
        <v>11384.31</v>
      </c>
      <c r="O119" s="49">
        <v>15909.3</v>
      </c>
      <c r="P119" s="49">
        <v>14889.44</v>
      </c>
      <c r="Q119" s="49" t="s">
        <v>129</v>
      </c>
      <c r="R119" s="49">
        <v>15985.76</v>
      </c>
    </row>
    <row r="120" spans="1:18" s="2" customFormat="1" ht="45" hidden="1">
      <c r="A120" s="1">
        <v>2</v>
      </c>
      <c r="B120" s="8" t="s">
        <v>130</v>
      </c>
      <c r="C120" s="22" t="s">
        <v>128</v>
      </c>
      <c r="D120" s="49">
        <v>13014</v>
      </c>
      <c r="E120" s="49">
        <v>6312</v>
      </c>
      <c r="F120" s="49">
        <v>18302</v>
      </c>
      <c r="G120" s="49">
        <v>18302</v>
      </c>
      <c r="H120" s="49">
        <v>18302</v>
      </c>
      <c r="I120" s="49">
        <v>100.68</v>
      </c>
      <c r="J120" s="49">
        <v>300.6</v>
      </c>
      <c r="K120" s="49"/>
      <c r="L120" s="49"/>
      <c r="M120" s="49"/>
      <c r="N120" s="49">
        <v>1310.25</v>
      </c>
      <c r="O120" s="49">
        <v>1897.3</v>
      </c>
      <c r="P120" s="49">
        <v>3622.03</v>
      </c>
      <c r="Q120" s="49">
        <v>3752.8</v>
      </c>
      <c r="R120" s="49">
        <v>3888.72</v>
      </c>
    </row>
    <row r="121" spans="1:18" s="2" customFormat="1" ht="75" hidden="1">
      <c r="A121" s="1">
        <v>3</v>
      </c>
      <c r="B121" s="8" t="s">
        <v>263</v>
      </c>
      <c r="C121" s="22" t="s">
        <v>128</v>
      </c>
      <c r="D121" s="49">
        <v>115256</v>
      </c>
      <c r="E121" s="49">
        <v>4088</v>
      </c>
      <c r="F121" s="49">
        <v>1400</v>
      </c>
      <c r="G121" s="49">
        <v>1400</v>
      </c>
      <c r="H121" s="49">
        <v>1400</v>
      </c>
      <c r="I121" s="49">
        <v>101.53</v>
      </c>
      <c r="J121" s="49">
        <v>141.46</v>
      </c>
      <c r="K121" s="49"/>
      <c r="L121" s="49"/>
      <c r="M121" s="49"/>
      <c r="N121" s="49">
        <v>11701.94</v>
      </c>
      <c r="O121" s="49">
        <v>578.2</v>
      </c>
      <c r="P121" s="49">
        <v>245.72</v>
      </c>
      <c r="Q121" s="49">
        <v>254.6</v>
      </c>
      <c r="R121" s="49">
        <v>263.82</v>
      </c>
    </row>
    <row r="122" spans="1:18" s="2" customFormat="1" ht="15" hidden="1">
      <c r="A122" s="9"/>
      <c r="B122" s="10" t="s">
        <v>0</v>
      </c>
      <c r="C122" s="3"/>
      <c r="D122" s="11" t="s">
        <v>8</v>
      </c>
      <c r="E122" s="11" t="s">
        <v>8</v>
      </c>
      <c r="F122" s="11" t="s">
        <v>8</v>
      </c>
      <c r="G122" s="11" t="s">
        <v>8</v>
      </c>
      <c r="H122" s="11" t="s">
        <v>8</v>
      </c>
      <c r="I122" s="11" t="s">
        <v>8</v>
      </c>
      <c r="J122" s="11" t="s">
        <v>8</v>
      </c>
      <c r="K122" s="11" t="s">
        <v>8</v>
      </c>
      <c r="L122" s="11" t="s">
        <v>8</v>
      </c>
      <c r="M122" s="11" t="s">
        <v>8</v>
      </c>
      <c r="N122" s="50">
        <v>24396.5</v>
      </c>
      <c r="O122" s="50">
        <v>21153.4</v>
      </c>
      <c r="P122" s="50">
        <v>21815.2</v>
      </c>
      <c r="Q122" s="50">
        <v>22645.8</v>
      </c>
      <c r="R122" s="50">
        <v>23509.7</v>
      </c>
    </row>
    <row r="123" spans="1:18" s="2" customFormat="1" ht="15" hidden="1">
      <c r="A123" s="138" t="s">
        <v>253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</row>
    <row r="124" spans="1:18" s="2" customFormat="1" ht="60" hidden="1">
      <c r="A124" s="12">
        <v>1</v>
      </c>
      <c r="B124" s="41" t="s">
        <v>131</v>
      </c>
      <c r="C124" s="12" t="s">
        <v>132</v>
      </c>
      <c r="D124" s="49">
        <v>4014205</v>
      </c>
      <c r="E124" s="49">
        <v>4045061</v>
      </c>
      <c r="F124" s="49">
        <v>4364432.00001243</v>
      </c>
      <c r="G124" s="49">
        <v>4381889</v>
      </c>
      <c r="H124" s="49">
        <v>4399417</v>
      </c>
      <c r="I124" s="49">
        <v>308.93</v>
      </c>
      <c r="J124" s="49">
        <v>303.22641313068</v>
      </c>
      <c r="K124" s="49">
        <v>294.3317682371443</v>
      </c>
      <c r="L124" s="49">
        <v>304.13274612974493</v>
      </c>
      <c r="M124" s="49">
        <v>315.13293711010385</v>
      </c>
      <c r="N124" s="49">
        <v>1090223.3</v>
      </c>
      <c r="O124" s="49">
        <v>1231650.8</v>
      </c>
      <c r="P124" s="49">
        <v>1290437.1</v>
      </c>
      <c r="Q124" s="49">
        <v>1338521</v>
      </c>
      <c r="R124" s="49">
        <v>1392245.2</v>
      </c>
    </row>
    <row r="125" spans="1:18" s="2" customFormat="1" ht="15" hidden="1">
      <c r="A125" s="9"/>
      <c r="B125" s="10" t="s">
        <v>0</v>
      </c>
      <c r="C125" s="3"/>
      <c r="D125" s="11" t="s">
        <v>8</v>
      </c>
      <c r="E125" s="11" t="s">
        <v>8</v>
      </c>
      <c r="F125" s="11" t="s">
        <v>8</v>
      </c>
      <c r="G125" s="11" t="s">
        <v>8</v>
      </c>
      <c r="H125" s="11" t="s">
        <v>8</v>
      </c>
      <c r="I125" s="11" t="s">
        <v>8</v>
      </c>
      <c r="J125" s="11" t="s">
        <v>8</v>
      </c>
      <c r="K125" s="11" t="s">
        <v>8</v>
      </c>
      <c r="L125" s="11" t="s">
        <v>8</v>
      </c>
      <c r="M125" s="11" t="s">
        <v>8</v>
      </c>
      <c r="N125" s="50">
        <v>1090223.3</v>
      </c>
      <c r="O125" s="50">
        <v>1231650.8</v>
      </c>
      <c r="P125" s="50">
        <v>1290437.1</v>
      </c>
      <c r="Q125" s="50">
        <v>1338521</v>
      </c>
      <c r="R125" s="50">
        <v>1392245.2</v>
      </c>
    </row>
    <row r="126" spans="1:18" s="2" customFormat="1" ht="15" hidden="1">
      <c r="A126" s="138" t="s">
        <v>266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</row>
    <row r="127" spans="1:18" s="2" customFormat="1" ht="45" hidden="1">
      <c r="A127" s="1">
        <v>1</v>
      </c>
      <c r="B127" s="33" t="s">
        <v>133</v>
      </c>
      <c r="C127" s="1" t="s">
        <v>134</v>
      </c>
      <c r="D127" s="49">
        <v>36194</v>
      </c>
      <c r="E127" s="49">
        <v>35274</v>
      </c>
      <c r="F127" s="49">
        <v>35610</v>
      </c>
      <c r="G127" s="49">
        <v>35610</v>
      </c>
      <c r="H127" s="49">
        <v>35610</v>
      </c>
      <c r="I127" s="49">
        <f>N127/D127*1000</f>
        <v>2028.0654252085983</v>
      </c>
      <c r="J127" s="49">
        <v>2216.4</v>
      </c>
      <c r="K127" s="49">
        <f>P127/F127*1000</f>
        <v>2349.3990452120197</v>
      </c>
      <c r="L127" s="49">
        <f aca="true" t="shared" si="5" ref="L127:M146">Q127/G127*1000</f>
        <v>2443.375568660489</v>
      </c>
      <c r="M127" s="49">
        <f>R127/H127*1000</f>
        <v>2541.1105914069085</v>
      </c>
      <c r="N127" s="49">
        <v>73403.8</v>
      </c>
      <c r="O127" s="49">
        <v>78181.3</v>
      </c>
      <c r="P127" s="49">
        <v>83662.1</v>
      </c>
      <c r="Q127" s="49">
        <f>P127*1.04+0.02</f>
        <v>87008.604</v>
      </c>
      <c r="R127" s="49">
        <f aca="true" t="shared" si="6" ref="Q127:R144">Q127*1.04</f>
        <v>90488.94816000001</v>
      </c>
    </row>
    <row r="128" spans="1:18" s="2" customFormat="1" ht="60" hidden="1">
      <c r="A128" s="1">
        <f>A127+1</f>
        <v>2</v>
      </c>
      <c r="B128" s="33" t="s">
        <v>135</v>
      </c>
      <c r="C128" s="1" t="s">
        <v>134</v>
      </c>
      <c r="D128" s="49">
        <v>2479</v>
      </c>
      <c r="E128" s="49">
        <v>2470</v>
      </c>
      <c r="F128" s="49">
        <v>2470</v>
      </c>
      <c r="G128" s="49">
        <v>2470</v>
      </c>
      <c r="H128" s="49">
        <v>2470</v>
      </c>
      <c r="I128" s="49">
        <f>N128/D128*1000</f>
        <v>43207.745058491324</v>
      </c>
      <c r="J128" s="49">
        <v>43746.39</v>
      </c>
      <c r="K128" s="49">
        <f>P128/F128*1000</f>
        <v>46265.58704453441</v>
      </c>
      <c r="L128" s="49">
        <f t="shared" si="5"/>
        <v>48116.19433198381</v>
      </c>
      <c r="M128" s="49">
        <f t="shared" si="5"/>
        <v>50040.82995951418</v>
      </c>
      <c r="N128" s="49">
        <v>107112</v>
      </c>
      <c r="O128" s="49">
        <v>110035.2</v>
      </c>
      <c r="P128" s="49">
        <v>114276</v>
      </c>
      <c r="Q128" s="49">
        <f>P128*1.04-0.04</f>
        <v>118847.00000000001</v>
      </c>
      <c r="R128" s="49">
        <f>Q128*1.04-0.03</f>
        <v>123600.85000000002</v>
      </c>
    </row>
    <row r="129" spans="1:18" s="2" customFormat="1" ht="75" hidden="1">
      <c r="A129" s="1">
        <f aca="true" t="shared" si="7" ref="A129:A171">A128+1</f>
        <v>3</v>
      </c>
      <c r="B129" s="33" t="s">
        <v>136</v>
      </c>
      <c r="C129" s="1" t="s">
        <v>137</v>
      </c>
      <c r="D129" s="49">
        <f>103487+16766</f>
        <v>120253</v>
      </c>
      <c r="E129" s="49">
        <f>109592+17041</f>
        <v>126633</v>
      </c>
      <c r="F129" s="49">
        <f>109156+17041</f>
        <v>126197</v>
      </c>
      <c r="G129" s="49">
        <f>109156+17041</f>
        <v>126197</v>
      </c>
      <c r="H129" s="49">
        <f>109156+17041</f>
        <v>126197</v>
      </c>
      <c r="I129" s="49">
        <f>N129/D129*1000</f>
        <v>644.3756080929375</v>
      </c>
      <c r="J129" s="49">
        <v>426.78</v>
      </c>
      <c r="K129" s="49">
        <f aca="true" t="shared" si="8" ref="K129:M171">P129/F129*1000</f>
        <v>701.068963604523</v>
      </c>
      <c r="L129" s="49">
        <f t="shared" si="5"/>
        <v>729.1117221487038</v>
      </c>
      <c r="M129" s="49">
        <f t="shared" si="5"/>
        <v>758.276191034652</v>
      </c>
      <c r="N129" s="49">
        <f>41239.5+36248.6</f>
        <v>77488.1</v>
      </c>
      <c r="O129" s="49">
        <f>46771.7+39848.4</f>
        <v>86620.1</v>
      </c>
      <c r="P129" s="49">
        <f>39298.1+49174.7</f>
        <v>88472.79999999999</v>
      </c>
      <c r="Q129" s="49">
        <f t="shared" si="6"/>
        <v>92011.71199999998</v>
      </c>
      <c r="R129" s="49">
        <f t="shared" si="6"/>
        <v>95692.18047999998</v>
      </c>
    </row>
    <row r="130" spans="1:18" s="2" customFormat="1" ht="105" hidden="1">
      <c r="A130" s="1">
        <f t="shared" si="7"/>
        <v>4</v>
      </c>
      <c r="B130" s="33" t="s">
        <v>138</v>
      </c>
      <c r="C130" s="1" t="s">
        <v>137</v>
      </c>
      <c r="D130" s="49">
        <v>13967</v>
      </c>
      <c r="E130" s="49">
        <v>9977</v>
      </c>
      <c r="F130" s="49">
        <v>15605</v>
      </c>
      <c r="G130" s="49">
        <v>15605</v>
      </c>
      <c r="H130" s="49">
        <v>15605</v>
      </c>
      <c r="I130" s="49">
        <f>N130/D130*1000</f>
        <v>295.98338941791366</v>
      </c>
      <c r="J130" s="49">
        <v>402.53</v>
      </c>
      <c r="K130" s="49">
        <f t="shared" si="8"/>
        <v>402.60173021467483</v>
      </c>
      <c r="L130" s="49">
        <f t="shared" si="5"/>
        <v>418.7057994232618</v>
      </c>
      <c r="M130" s="49">
        <f t="shared" si="5"/>
        <v>435.45403140019226</v>
      </c>
      <c r="N130" s="49">
        <v>4134</v>
      </c>
      <c r="O130" s="49">
        <v>4016</v>
      </c>
      <c r="P130" s="49">
        <v>6282.6</v>
      </c>
      <c r="Q130" s="49">
        <f t="shared" si="6"/>
        <v>6533.904</v>
      </c>
      <c r="R130" s="49">
        <f t="shared" si="6"/>
        <v>6795.260160000001</v>
      </c>
    </row>
    <row r="131" spans="1:18" s="2" customFormat="1" ht="45" hidden="1">
      <c r="A131" s="1">
        <f t="shared" si="7"/>
        <v>5</v>
      </c>
      <c r="B131" s="33" t="s">
        <v>139</v>
      </c>
      <c r="C131" s="1" t="s">
        <v>137</v>
      </c>
      <c r="D131" s="49">
        <f>161739+14887+28224</f>
        <v>204850</v>
      </c>
      <c r="E131" s="49">
        <f>162846+13998+28480</f>
        <v>205324</v>
      </c>
      <c r="F131" s="49">
        <f>162911+13998+28480</f>
        <v>205389</v>
      </c>
      <c r="G131" s="49">
        <f>162911+13998+28480</f>
        <v>205389</v>
      </c>
      <c r="H131" s="49">
        <f>162911+13998+28480</f>
        <v>205389</v>
      </c>
      <c r="I131" s="49">
        <f aca="true" t="shared" si="9" ref="I131:I168">N131/D131*1000</f>
        <v>681.2550646814742</v>
      </c>
      <c r="J131" s="49">
        <v>469.3</v>
      </c>
      <c r="K131" s="49">
        <f t="shared" si="8"/>
        <v>616.9381028195278</v>
      </c>
      <c r="L131" s="49">
        <f t="shared" si="5"/>
        <v>641.6156756204081</v>
      </c>
      <c r="M131" s="49">
        <f t="shared" si="5"/>
        <v>667.2803026452245</v>
      </c>
      <c r="N131" s="49">
        <f>70857.8+49598.7+19098.6</f>
        <v>139555.1</v>
      </c>
      <c r="O131" s="49">
        <f>52037.6+19782.2+76423.6</f>
        <v>148243.40000000002</v>
      </c>
      <c r="P131" s="49">
        <f>29684.2+20574+53694+22760.1</f>
        <v>126712.29999999999</v>
      </c>
      <c r="Q131" s="49">
        <f>P131*1.04+0.01</f>
        <v>131780.802</v>
      </c>
      <c r="R131" s="49">
        <f t="shared" si="6"/>
        <v>137052.03408</v>
      </c>
    </row>
    <row r="132" spans="1:18" s="2" customFormat="1" ht="45" hidden="1">
      <c r="A132" s="1">
        <f t="shared" si="7"/>
        <v>6</v>
      </c>
      <c r="B132" s="33" t="s">
        <v>140</v>
      </c>
      <c r="C132" s="1" t="s">
        <v>137</v>
      </c>
      <c r="D132" s="49">
        <v>252156</v>
      </c>
      <c r="E132" s="49">
        <v>235620</v>
      </c>
      <c r="F132" s="49">
        <v>236303</v>
      </c>
      <c r="G132" s="49">
        <v>236303</v>
      </c>
      <c r="H132" s="49">
        <v>236303</v>
      </c>
      <c r="I132" s="49">
        <f t="shared" si="9"/>
        <v>459.4861910880566</v>
      </c>
      <c r="J132" s="49">
        <v>506.86</v>
      </c>
      <c r="K132" s="49">
        <f t="shared" si="8"/>
        <v>527.1299983495766</v>
      </c>
      <c r="L132" s="49">
        <f t="shared" si="5"/>
        <v>548.2151982835597</v>
      </c>
      <c r="M132" s="49">
        <f t="shared" si="5"/>
        <v>570.143806214902</v>
      </c>
      <c r="N132" s="49">
        <v>115862.2</v>
      </c>
      <c r="O132" s="49">
        <v>124967.4</v>
      </c>
      <c r="P132" s="49">
        <f>68067.8+56494.6</f>
        <v>124562.4</v>
      </c>
      <c r="Q132" s="49">
        <f t="shared" si="6"/>
        <v>129544.896</v>
      </c>
      <c r="R132" s="49">
        <f t="shared" si="6"/>
        <v>134726.69183999998</v>
      </c>
    </row>
    <row r="133" spans="1:18" s="2" customFormat="1" ht="75" hidden="1">
      <c r="A133" s="1">
        <f t="shared" si="7"/>
        <v>7</v>
      </c>
      <c r="B133" s="33" t="s">
        <v>141</v>
      </c>
      <c r="C133" s="1" t="s">
        <v>137</v>
      </c>
      <c r="D133" s="49">
        <v>69821</v>
      </c>
      <c r="E133" s="49">
        <v>64868</v>
      </c>
      <c r="F133" s="49">
        <v>65480</v>
      </c>
      <c r="G133" s="49">
        <v>65480</v>
      </c>
      <c r="H133" s="49">
        <v>65480</v>
      </c>
      <c r="I133" s="49">
        <f>N133/D133*1000</f>
        <v>704.3855000644505</v>
      </c>
      <c r="J133" s="49">
        <v>770.32</v>
      </c>
      <c r="K133" s="49">
        <f t="shared" si="8"/>
        <v>801.0995723885156</v>
      </c>
      <c r="L133" s="49">
        <f t="shared" si="5"/>
        <v>833.1435552840562</v>
      </c>
      <c r="M133" s="49">
        <f t="shared" si="5"/>
        <v>866.4692974954186</v>
      </c>
      <c r="N133" s="49">
        <v>49180.9</v>
      </c>
      <c r="O133" s="49">
        <v>58361.9</v>
      </c>
      <c r="P133" s="49">
        <f>29576.6+22879.4</f>
        <v>52456</v>
      </c>
      <c r="Q133" s="49">
        <f t="shared" si="6"/>
        <v>54554.240000000005</v>
      </c>
      <c r="R133" s="49">
        <f t="shared" si="6"/>
        <v>56736.409600000006</v>
      </c>
    </row>
    <row r="134" spans="1:18" s="2" customFormat="1" ht="45" hidden="1">
      <c r="A134" s="1">
        <f t="shared" si="7"/>
        <v>8</v>
      </c>
      <c r="B134" s="33" t="s">
        <v>142</v>
      </c>
      <c r="C134" s="1" t="s">
        <v>137</v>
      </c>
      <c r="D134" s="49">
        <v>42286</v>
      </c>
      <c r="E134" s="49">
        <v>43412</v>
      </c>
      <c r="F134" s="49">
        <v>44297</v>
      </c>
      <c r="G134" s="49">
        <v>44297</v>
      </c>
      <c r="H134" s="49">
        <v>44297</v>
      </c>
      <c r="I134" s="49">
        <f>N134/D134*1000</f>
        <v>494.8233457882041</v>
      </c>
      <c r="J134" s="49">
        <v>536.11</v>
      </c>
      <c r="K134" s="49">
        <f t="shared" si="8"/>
        <v>536.2010971397611</v>
      </c>
      <c r="L134" s="49">
        <f t="shared" si="5"/>
        <v>557.6491410253517</v>
      </c>
      <c r="M134" s="49">
        <f t="shared" si="5"/>
        <v>579.9551066663657</v>
      </c>
      <c r="N134" s="49">
        <v>20924.1</v>
      </c>
      <c r="O134" s="49">
        <v>23273.5</v>
      </c>
      <c r="P134" s="49">
        <v>23752.1</v>
      </c>
      <c r="Q134" s="49">
        <f t="shared" si="6"/>
        <v>24702.184</v>
      </c>
      <c r="R134" s="49">
        <f t="shared" si="6"/>
        <v>25690.271360000002</v>
      </c>
    </row>
    <row r="135" spans="1:18" s="2" customFormat="1" ht="45" hidden="1">
      <c r="A135" s="1">
        <f t="shared" si="7"/>
        <v>9</v>
      </c>
      <c r="B135" s="33" t="s">
        <v>143</v>
      </c>
      <c r="C135" s="1" t="s">
        <v>137</v>
      </c>
      <c r="D135" s="49"/>
      <c r="E135" s="49"/>
      <c r="F135" s="49">
        <v>2000</v>
      </c>
      <c r="G135" s="49">
        <v>2000</v>
      </c>
      <c r="H135" s="49">
        <v>2000</v>
      </c>
      <c r="I135" s="49"/>
      <c r="J135" s="49"/>
      <c r="K135" s="49">
        <f t="shared" si="8"/>
        <v>7013.8</v>
      </c>
      <c r="L135" s="49">
        <f t="shared" si="5"/>
        <v>7294.352000000001</v>
      </c>
      <c r="M135" s="49">
        <f t="shared" si="5"/>
        <v>7586.126080000001</v>
      </c>
      <c r="N135" s="49"/>
      <c r="O135" s="49"/>
      <c r="P135" s="49">
        <v>14027.6</v>
      </c>
      <c r="Q135" s="49">
        <f t="shared" si="6"/>
        <v>14588.704000000002</v>
      </c>
      <c r="R135" s="49">
        <f t="shared" si="6"/>
        <v>15172.252160000002</v>
      </c>
    </row>
    <row r="136" spans="1:18" s="2" customFormat="1" ht="30" hidden="1">
      <c r="A136" s="1">
        <f t="shared" si="7"/>
        <v>10</v>
      </c>
      <c r="B136" s="33" t="s">
        <v>144</v>
      </c>
      <c r="C136" s="1" t="s">
        <v>137</v>
      </c>
      <c r="D136" s="49">
        <v>0</v>
      </c>
      <c r="E136" s="49">
        <v>20551</v>
      </c>
      <c r="F136" s="49">
        <v>20551</v>
      </c>
      <c r="G136" s="49">
        <v>20551</v>
      </c>
      <c r="H136" s="49">
        <v>20551</v>
      </c>
      <c r="I136" s="49">
        <v>0</v>
      </c>
      <c r="J136" s="49">
        <v>386.49</v>
      </c>
      <c r="K136" s="49">
        <f t="shared" si="8"/>
        <v>401.9999026811347</v>
      </c>
      <c r="L136" s="49">
        <f t="shared" si="5"/>
        <v>418.0798987883802</v>
      </c>
      <c r="M136" s="49">
        <f t="shared" si="5"/>
        <v>434.80114836261015</v>
      </c>
      <c r="N136" s="49">
        <v>0</v>
      </c>
      <c r="O136" s="49">
        <v>7942.7</v>
      </c>
      <c r="P136" s="49">
        <f>826.1+7435.4</f>
        <v>8261.5</v>
      </c>
      <c r="Q136" s="49">
        <f t="shared" si="6"/>
        <v>8591.960000000001</v>
      </c>
      <c r="R136" s="49">
        <f>Q136*1.04-0.04</f>
        <v>8935.5984</v>
      </c>
    </row>
    <row r="137" spans="1:18" s="2" customFormat="1" ht="30" hidden="1">
      <c r="A137" s="1">
        <f t="shared" si="7"/>
        <v>11</v>
      </c>
      <c r="B137" s="33" t="s">
        <v>145</v>
      </c>
      <c r="C137" s="1" t="s">
        <v>137</v>
      </c>
      <c r="D137" s="49"/>
      <c r="E137" s="49"/>
      <c r="F137" s="49">
        <v>15000</v>
      </c>
      <c r="G137" s="49">
        <v>15000</v>
      </c>
      <c r="H137" s="49">
        <v>15000</v>
      </c>
      <c r="I137" s="49"/>
      <c r="J137" s="49"/>
      <c r="K137" s="49">
        <f t="shared" si="8"/>
        <v>1811.6000000000001</v>
      </c>
      <c r="L137" s="49">
        <f t="shared" si="5"/>
        <v>1884.066666666667</v>
      </c>
      <c r="M137" s="49">
        <f t="shared" si="5"/>
        <v>1959.4266666666672</v>
      </c>
      <c r="N137" s="49"/>
      <c r="O137" s="49"/>
      <c r="P137" s="49">
        <v>27174</v>
      </c>
      <c r="Q137" s="49">
        <f>P137*1.04+0.04</f>
        <v>28261.000000000004</v>
      </c>
      <c r="R137" s="49">
        <f>Q137*1.04-0.04</f>
        <v>29391.400000000005</v>
      </c>
    </row>
    <row r="138" spans="1:18" s="2" customFormat="1" ht="60" hidden="1">
      <c r="A138" s="1">
        <f t="shared" si="7"/>
        <v>12</v>
      </c>
      <c r="B138" s="33" t="s">
        <v>146</v>
      </c>
      <c r="C138" s="1" t="s">
        <v>137</v>
      </c>
      <c r="D138" s="49">
        <v>420</v>
      </c>
      <c r="E138" s="49">
        <v>1349</v>
      </c>
      <c r="F138" s="49">
        <v>1440</v>
      </c>
      <c r="G138" s="49">
        <v>1440</v>
      </c>
      <c r="H138" s="49">
        <v>1440</v>
      </c>
      <c r="I138" s="49">
        <f t="shared" si="9"/>
        <v>6972.857142857142</v>
      </c>
      <c r="J138" s="49">
        <v>6977.76</v>
      </c>
      <c r="K138" s="49">
        <f>P138/F138*1000</f>
        <v>7256.875</v>
      </c>
      <c r="L138" s="49">
        <f t="shared" si="5"/>
        <v>7547.080555555555</v>
      </c>
      <c r="M138" s="49">
        <f t="shared" si="5"/>
        <v>7848.956833333334</v>
      </c>
      <c r="N138" s="49">
        <v>2928.6</v>
      </c>
      <c r="O138" s="49">
        <v>9413</v>
      </c>
      <c r="P138" s="49">
        <v>10449.9</v>
      </c>
      <c r="Q138" s="49">
        <f>P138*1.04-0.1</f>
        <v>10867.796</v>
      </c>
      <c r="R138" s="49">
        <f>Q138*1.04-0.01</f>
        <v>11302.49784</v>
      </c>
    </row>
    <row r="139" spans="1:18" s="2" customFormat="1" ht="60" hidden="1">
      <c r="A139" s="1">
        <f t="shared" si="7"/>
        <v>13</v>
      </c>
      <c r="B139" s="33" t="s">
        <v>147</v>
      </c>
      <c r="C139" s="1" t="s">
        <v>137</v>
      </c>
      <c r="D139" s="49"/>
      <c r="E139" s="49"/>
      <c r="F139" s="49">
        <v>1347</v>
      </c>
      <c r="G139" s="49">
        <v>1347</v>
      </c>
      <c r="H139" s="49">
        <v>1347</v>
      </c>
      <c r="I139" s="49"/>
      <c r="J139" s="49"/>
      <c r="K139" s="49">
        <f>P139/F139*1000</f>
        <v>727.4684484038604</v>
      </c>
      <c r="L139" s="49">
        <f t="shared" si="5"/>
        <v>756.5671863400148</v>
      </c>
      <c r="M139" s="49">
        <f t="shared" si="5"/>
        <v>786.8372976985895</v>
      </c>
      <c r="N139" s="49"/>
      <c r="O139" s="49"/>
      <c r="P139" s="49">
        <v>979.9</v>
      </c>
      <c r="Q139" s="49">
        <f t="shared" si="6"/>
        <v>1019.096</v>
      </c>
      <c r="R139" s="49">
        <f>Q139*1.04+0.01</f>
        <v>1059.86984</v>
      </c>
    </row>
    <row r="140" spans="1:18" s="2" customFormat="1" ht="30" hidden="1">
      <c r="A140" s="1">
        <f t="shared" si="7"/>
        <v>14</v>
      </c>
      <c r="B140" s="33" t="s">
        <v>148</v>
      </c>
      <c r="C140" s="1" t="s">
        <v>137</v>
      </c>
      <c r="D140" s="49">
        <v>1236</v>
      </c>
      <c r="E140" s="49">
        <v>13759</v>
      </c>
      <c r="F140" s="49">
        <f>15793</f>
        <v>15793</v>
      </c>
      <c r="G140" s="49">
        <f>15793</f>
        <v>15793</v>
      </c>
      <c r="H140" s="49">
        <f>15793</f>
        <v>15793</v>
      </c>
      <c r="I140" s="49">
        <f t="shared" si="9"/>
        <v>523.5436893203885</v>
      </c>
      <c r="J140" s="49">
        <v>544.68</v>
      </c>
      <c r="K140" s="49">
        <f t="shared" si="8"/>
        <v>555.6005825365669</v>
      </c>
      <c r="L140" s="49">
        <f t="shared" si="5"/>
        <v>577.8258722218706</v>
      </c>
      <c r="M140" s="49">
        <f t="shared" si="5"/>
        <v>600.9389071107454</v>
      </c>
      <c r="N140" s="49">
        <v>647.1</v>
      </c>
      <c r="O140" s="49">
        <v>7494.3</v>
      </c>
      <c r="P140" s="49">
        <f>8774.6</f>
        <v>8774.6</v>
      </c>
      <c r="Q140" s="49">
        <f>P140*1.04+0.02</f>
        <v>9125.604000000001</v>
      </c>
      <c r="R140" s="49">
        <f t="shared" si="6"/>
        <v>9490.628160000002</v>
      </c>
    </row>
    <row r="141" spans="1:18" s="2" customFormat="1" ht="60" hidden="1">
      <c r="A141" s="1">
        <f t="shared" si="7"/>
        <v>15</v>
      </c>
      <c r="B141" s="33" t="s">
        <v>149</v>
      </c>
      <c r="C141" s="1" t="s">
        <v>150</v>
      </c>
      <c r="D141" s="49">
        <v>383</v>
      </c>
      <c r="E141" s="49">
        <v>390</v>
      </c>
      <c r="F141" s="49">
        <v>390</v>
      </c>
      <c r="G141" s="49">
        <v>390</v>
      </c>
      <c r="H141" s="49">
        <v>390</v>
      </c>
      <c r="I141" s="49">
        <f t="shared" si="9"/>
        <v>18156.135770234985</v>
      </c>
      <c r="J141" s="49">
        <v>19248.11</v>
      </c>
      <c r="K141" s="49">
        <f t="shared" si="8"/>
        <v>19697.179487179485</v>
      </c>
      <c r="L141" s="49">
        <f t="shared" si="5"/>
        <v>20485.066666666666</v>
      </c>
      <c r="M141" s="49">
        <f t="shared" si="5"/>
        <v>21304.469333333334</v>
      </c>
      <c r="N141" s="49">
        <v>6953.8</v>
      </c>
      <c r="O141" s="49">
        <v>7506.8</v>
      </c>
      <c r="P141" s="49">
        <v>7681.9</v>
      </c>
      <c r="Q141" s="49">
        <f t="shared" si="6"/>
        <v>7989.1759999999995</v>
      </c>
      <c r="R141" s="49">
        <f t="shared" si="6"/>
        <v>8308.74304</v>
      </c>
    </row>
    <row r="142" spans="1:18" s="2" customFormat="1" ht="45" hidden="1">
      <c r="A142" s="1">
        <f t="shared" si="7"/>
        <v>16</v>
      </c>
      <c r="B142" s="33" t="s">
        <v>151</v>
      </c>
      <c r="C142" s="1" t="s">
        <v>150</v>
      </c>
      <c r="D142" s="49">
        <v>322</v>
      </c>
      <c r="E142" s="49">
        <v>342</v>
      </c>
      <c r="F142" s="49">
        <v>502</v>
      </c>
      <c r="G142" s="49">
        <v>502</v>
      </c>
      <c r="H142" s="49">
        <v>502</v>
      </c>
      <c r="I142" s="49">
        <f t="shared" si="9"/>
        <v>16910.248447204973</v>
      </c>
      <c r="J142" s="49">
        <v>15986.55</v>
      </c>
      <c r="K142" s="49">
        <f t="shared" si="8"/>
        <v>16481.474103585657</v>
      </c>
      <c r="L142" s="49">
        <f t="shared" si="5"/>
        <v>17140.73306772909</v>
      </c>
      <c r="M142" s="49">
        <f t="shared" si="5"/>
        <v>17826.362390438248</v>
      </c>
      <c r="N142" s="49">
        <f>5462-16.9</f>
        <v>5445.1</v>
      </c>
      <c r="O142" s="49">
        <v>5467.4</v>
      </c>
      <c r="P142" s="49">
        <v>8273.7</v>
      </c>
      <c r="Q142" s="49">
        <f t="shared" si="6"/>
        <v>8604.648000000001</v>
      </c>
      <c r="R142" s="49">
        <f t="shared" si="6"/>
        <v>8948.833920000001</v>
      </c>
    </row>
    <row r="143" spans="1:18" s="2" customFormat="1" ht="45" hidden="1">
      <c r="A143" s="1">
        <f t="shared" si="7"/>
        <v>17</v>
      </c>
      <c r="B143" s="33" t="s">
        <v>152</v>
      </c>
      <c r="C143" s="1" t="s">
        <v>150</v>
      </c>
      <c r="D143" s="49">
        <v>676</v>
      </c>
      <c r="E143" s="49">
        <v>1030</v>
      </c>
      <c r="F143" s="49">
        <v>1030</v>
      </c>
      <c r="G143" s="49">
        <v>1030</v>
      </c>
      <c r="H143" s="49">
        <v>1030</v>
      </c>
      <c r="I143" s="49">
        <f t="shared" si="9"/>
        <v>11935.502958579882</v>
      </c>
      <c r="J143" s="49">
        <v>11043.32</v>
      </c>
      <c r="K143" s="49">
        <f t="shared" si="8"/>
        <v>11317.57281553398</v>
      </c>
      <c r="L143" s="49">
        <f t="shared" si="5"/>
        <v>11770.266019417475</v>
      </c>
      <c r="M143" s="49">
        <f t="shared" si="5"/>
        <v>12241.08636893204</v>
      </c>
      <c r="N143" s="49">
        <v>8068.4</v>
      </c>
      <c r="O143" s="49">
        <v>11374.6</v>
      </c>
      <c r="P143" s="49">
        <v>11657.1</v>
      </c>
      <c r="Q143" s="49">
        <f>P143*1.04-0.01</f>
        <v>12123.374</v>
      </c>
      <c r="R143" s="49">
        <f>Q143*1.04+0.01</f>
        <v>12608.31896</v>
      </c>
    </row>
    <row r="144" spans="1:18" s="2" customFormat="1" ht="60" hidden="1">
      <c r="A144" s="1">
        <f t="shared" si="7"/>
        <v>18</v>
      </c>
      <c r="B144" s="33" t="s">
        <v>153</v>
      </c>
      <c r="C144" s="1" t="s">
        <v>154</v>
      </c>
      <c r="D144" s="49">
        <f>249+577</f>
        <v>826</v>
      </c>
      <c r="E144" s="49">
        <v>796</v>
      </c>
      <c r="F144" s="49">
        <f>547+261</f>
        <v>808</v>
      </c>
      <c r="G144" s="49">
        <f>547+261</f>
        <v>808</v>
      </c>
      <c r="H144" s="49">
        <f>547+261</f>
        <v>808</v>
      </c>
      <c r="I144" s="49">
        <f t="shared" si="9"/>
        <v>229586.56174334142</v>
      </c>
      <c r="J144" s="49">
        <v>148751</v>
      </c>
      <c r="K144" s="49">
        <f t="shared" si="8"/>
        <v>225177.7227722772</v>
      </c>
      <c r="L144" s="49">
        <f t="shared" si="5"/>
        <v>234184.83168316828</v>
      </c>
      <c r="M144" s="49">
        <f t="shared" si="5"/>
        <v>243552.22495049503</v>
      </c>
      <c r="N144" s="49">
        <f>37039+152599.5</f>
        <v>189638.5</v>
      </c>
      <c r="O144" s="49">
        <v>181704.4</v>
      </c>
      <c r="P144" s="49">
        <f>43064.8+138878.8</f>
        <v>181943.59999999998</v>
      </c>
      <c r="Q144" s="49">
        <f t="shared" si="6"/>
        <v>189221.34399999998</v>
      </c>
      <c r="R144" s="49">
        <f t="shared" si="6"/>
        <v>196790.19775999998</v>
      </c>
    </row>
    <row r="145" spans="1:18" s="2" customFormat="1" ht="75" hidden="1">
      <c r="A145" s="1">
        <f t="shared" si="7"/>
        <v>19</v>
      </c>
      <c r="B145" s="33" t="s">
        <v>155</v>
      </c>
      <c r="C145" s="1" t="s">
        <v>154</v>
      </c>
      <c r="D145" s="49">
        <v>47</v>
      </c>
      <c r="E145" s="49">
        <v>47</v>
      </c>
      <c r="F145" s="49">
        <v>56</v>
      </c>
      <c r="G145" s="49">
        <v>56</v>
      </c>
      <c r="H145" s="49">
        <v>56</v>
      </c>
      <c r="I145" s="49">
        <f t="shared" si="9"/>
        <v>150234.0425531915</v>
      </c>
      <c r="J145" s="49">
        <v>150233.09</v>
      </c>
      <c r="K145" s="49">
        <f t="shared" si="8"/>
        <v>144223.2142857143</v>
      </c>
      <c r="L145" s="49">
        <f t="shared" si="5"/>
        <v>149992.14285714284</v>
      </c>
      <c r="M145" s="49">
        <f t="shared" si="5"/>
        <v>155991.82857142857</v>
      </c>
      <c r="N145" s="49">
        <v>7061</v>
      </c>
      <c r="O145" s="49">
        <v>7061</v>
      </c>
      <c r="P145" s="49">
        <v>8076.5</v>
      </c>
      <c r="Q145" s="49">
        <f aca="true" t="shared" si="10" ref="Q145:R160">P145*1.04</f>
        <v>8399.56</v>
      </c>
      <c r="R145" s="49">
        <f t="shared" si="10"/>
        <v>8735.5424</v>
      </c>
    </row>
    <row r="146" spans="1:18" s="2" customFormat="1" ht="60" hidden="1">
      <c r="A146" s="1">
        <f t="shared" si="7"/>
        <v>20</v>
      </c>
      <c r="B146" s="33" t="s">
        <v>156</v>
      </c>
      <c r="C146" s="1" t="s">
        <v>154</v>
      </c>
      <c r="D146" s="49">
        <v>13</v>
      </c>
      <c r="E146" s="49">
        <v>13</v>
      </c>
      <c r="F146" s="49">
        <v>14</v>
      </c>
      <c r="G146" s="49">
        <v>14</v>
      </c>
      <c r="H146" s="49">
        <v>14</v>
      </c>
      <c r="I146" s="49">
        <f t="shared" si="9"/>
        <v>577792.3076923077</v>
      </c>
      <c r="J146" s="49">
        <v>577798.52</v>
      </c>
      <c r="K146" s="49">
        <f t="shared" si="8"/>
        <v>554685.7142857143</v>
      </c>
      <c r="L146" s="49">
        <f t="shared" si="5"/>
        <v>576873.142857143</v>
      </c>
      <c r="M146" s="49">
        <f t="shared" si="5"/>
        <v>599948.0685714288</v>
      </c>
      <c r="N146" s="49">
        <v>7511.3</v>
      </c>
      <c r="O146" s="49">
        <v>7511.3</v>
      </c>
      <c r="P146" s="49">
        <v>7765.6</v>
      </c>
      <c r="Q146" s="49">
        <f t="shared" si="10"/>
        <v>8076.224000000001</v>
      </c>
      <c r="R146" s="49">
        <f t="shared" si="10"/>
        <v>8399.272960000002</v>
      </c>
    </row>
    <row r="147" spans="1:18" s="2" customFormat="1" ht="75" hidden="1">
      <c r="A147" s="1">
        <f t="shared" si="7"/>
        <v>21</v>
      </c>
      <c r="B147" s="33" t="s">
        <v>157</v>
      </c>
      <c r="C147" s="1" t="s">
        <v>154</v>
      </c>
      <c r="D147" s="49">
        <v>34</v>
      </c>
      <c r="E147" s="49">
        <f>34</f>
        <v>34</v>
      </c>
      <c r="F147" s="49">
        <v>34</v>
      </c>
      <c r="G147" s="49">
        <v>34</v>
      </c>
      <c r="H147" s="49">
        <v>34</v>
      </c>
      <c r="I147" s="49">
        <f t="shared" si="9"/>
        <v>212423.5294117647</v>
      </c>
      <c r="J147" s="49">
        <v>212423</v>
      </c>
      <c r="K147" s="49">
        <f t="shared" si="8"/>
        <v>203926.4705882353</v>
      </c>
      <c r="L147" s="49">
        <f t="shared" si="8"/>
        <v>212083.52941176473</v>
      </c>
      <c r="M147" s="49">
        <f t="shared" si="8"/>
        <v>220566.8705882353</v>
      </c>
      <c r="N147" s="49">
        <v>7222.4</v>
      </c>
      <c r="O147" s="49">
        <v>7222.4</v>
      </c>
      <c r="P147" s="49">
        <v>6933.5</v>
      </c>
      <c r="Q147" s="49">
        <f t="shared" si="10"/>
        <v>7210.84</v>
      </c>
      <c r="R147" s="49">
        <f t="shared" si="10"/>
        <v>7499.2736</v>
      </c>
    </row>
    <row r="148" spans="1:18" s="2" customFormat="1" ht="60" hidden="1">
      <c r="A148" s="1">
        <f t="shared" si="7"/>
        <v>22</v>
      </c>
      <c r="B148" s="47" t="s">
        <v>158</v>
      </c>
      <c r="C148" s="1" t="s">
        <v>154</v>
      </c>
      <c r="D148" s="49">
        <f>325+52</f>
        <v>377</v>
      </c>
      <c r="E148" s="49">
        <f>325+49</f>
        <v>374</v>
      </c>
      <c r="F148" s="49">
        <f>325+49</f>
        <v>374</v>
      </c>
      <c r="G148" s="49">
        <f>325+49</f>
        <v>374</v>
      </c>
      <c r="H148" s="49">
        <f>325+49</f>
        <v>374</v>
      </c>
      <c r="I148" s="49">
        <f t="shared" si="9"/>
        <v>249932.36074270558</v>
      </c>
      <c r="J148" s="49">
        <v>267350.1</v>
      </c>
      <c r="K148" s="49">
        <f t="shared" si="8"/>
        <v>242741.4438502674</v>
      </c>
      <c r="L148" s="49">
        <f t="shared" si="8"/>
        <v>252451.10160427808</v>
      </c>
      <c r="M148" s="49">
        <f t="shared" si="8"/>
        <v>262549.14566844923</v>
      </c>
      <c r="N148" s="49">
        <f>7335.7+86888.8</f>
        <v>94224.5</v>
      </c>
      <c r="O148" s="49">
        <f>86888.8+8294.7</f>
        <v>95183.5</v>
      </c>
      <c r="P148" s="49">
        <f>83413.2+7372.1</f>
        <v>90785.3</v>
      </c>
      <c r="Q148" s="49">
        <f t="shared" si="10"/>
        <v>94416.712</v>
      </c>
      <c r="R148" s="49">
        <f t="shared" si="10"/>
        <v>98193.38048</v>
      </c>
    </row>
    <row r="149" spans="1:18" s="2" customFormat="1" ht="60" hidden="1">
      <c r="A149" s="1">
        <f t="shared" si="7"/>
        <v>23</v>
      </c>
      <c r="B149" s="33" t="s">
        <v>159</v>
      </c>
      <c r="C149" s="1" t="s">
        <v>154</v>
      </c>
      <c r="D149" s="49">
        <v>434</v>
      </c>
      <c r="E149" s="49">
        <v>434</v>
      </c>
      <c r="F149" s="49">
        <v>434</v>
      </c>
      <c r="G149" s="49">
        <v>434</v>
      </c>
      <c r="H149" s="49">
        <v>434</v>
      </c>
      <c r="I149" s="49">
        <f t="shared" si="9"/>
        <v>136350.46082949307</v>
      </c>
      <c r="J149" s="49">
        <v>136350.68</v>
      </c>
      <c r="K149" s="49">
        <f>P149/F149*1000</f>
        <v>130896.77419354836</v>
      </c>
      <c r="L149" s="49">
        <f t="shared" si="8"/>
        <v>136132.64516129033</v>
      </c>
      <c r="M149" s="49">
        <f t="shared" si="8"/>
        <v>141577.95096774196</v>
      </c>
      <c r="N149" s="49">
        <v>59176.1</v>
      </c>
      <c r="O149" s="49">
        <v>59176.2</v>
      </c>
      <c r="P149" s="49">
        <v>56809.2</v>
      </c>
      <c r="Q149" s="49">
        <f t="shared" si="10"/>
        <v>59081.568</v>
      </c>
      <c r="R149" s="49">
        <f t="shared" si="10"/>
        <v>61444.83072</v>
      </c>
    </row>
    <row r="150" spans="1:18" s="2" customFormat="1" ht="75" hidden="1">
      <c r="A150" s="1">
        <f t="shared" si="7"/>
        <v>24</v>
      </c>
      <c r="B150" s="33" t="s">
        <v>160</v>
      </c>
      <c r="C150" s="1" t="s">
        <v>154</v>
      </c>
      <c r="D150" s="49">
        <f>728+96</f>
        <v>824</v>
      </c>
      <c r="E150" s="49">
        <f>728+104</f>
        <v>832</v>
      </c>
      <c r="F150" s="49">
        <f>728+104</f>
        <v>832</v>
      </c>
      <c r="G150" s="49">
        <f>728+104</f>
        <v>832</v>
      </c>
      <c r="H150" s="49">
        <f>728+104</f>
        <v>832</v>
      </c>
      <c r="I150" s="49">
        <f t="shared" si="9"/>
        <v>297536.4077669903</v>
      </c>
      <c r="J150" s="49">
        <v>299790.51</v>
      </c>
      <c r="K150" s="49">
        <f t="shared" si="8"/>
        <v>287798.9182692308</v>
      </c>
      <c r="L150" s="49">
        <f t="shared" si="8"/>
        <v>299310.875</v>
      </c>
      <c r="M150" s="49">
        <f t="shared" si="8"/>
        <v>311283.31000000006</v>
      </c>
      <c r="N150" s="49">
        <f>26922.7+218247.3</f>
        <v>245170</v>
      </c>
      <c r="O150" s="49">
        <f>218247.5+29280.5</f>
        <v>247528</v>
      </c>
      <c r="P150" s="49">
        <f>29931.1+209517.6</f>
        <v>239448.7</v>
      </c>
      <c r="Q150" s="49">
        <f t="shared" si="10"/>
        <v>249026.64800000002</v>
      </c>
      <c r="R150" s="49">
        <f t="shared" si="10"/>
        <v>258987.71392000004</v>
      </c>
    </row>
    <row r="151" spans="1:18" s="2" customFormat="1" ht="75" hidden="1">
      <c r="A151" s="1">
        <f t="shared" si="7"/>
        <v>25</v>
      </c>
      <c r="B151" s="33" t="s">
        <v>161</v>
      </c>
      <c r="C151" s="1" t="s">
        <v>154</v>
      </c>
      <c r="D151" s="49">
        <f>171+29</f>
        <v>200</v>
      </c>
      <c r="E151" s="49">
        <f>171+28</f>
        <v>199</v>
      </c>
      <c r="F151" s="49">
        <f>171+28</f>
        <v>199</v>
      </c>
      <c r="G151" s="49">
        <f>171+28</f>
        <v>199</v>
      </c>
      <c r="H151" s="49">
        <f>171+28</f>
        <v>199</v>
      </c>
      <c r="I151" s="49">
        <f t="shared" si="9"/>
        <v>224353.99999999997</v>
      </c>
      <c r="J151" s="49">
        <v>241726.2</v>
      </c>
      <c r="K151" s="49">
        <f t="shared" si="8"/>
        <v>212929.648241206</v>
      </c>
      <c r="L151" s="49">
        <f t="shared" si="8"/>
        <v>221446.83417085427</v>
      </c>
      <c r="M151" s="49">
        <f t="shared" si="8"/>
        <v>230304.70753768843</v>
      </c>
      <c r="N151" s="49">
        <f>3535.6+41335.2</f>
        <v>44870.799999999996</v>
      </c>
      <c r="O151" s="49">
        <f>41335.2+2865.4</f>
        <v>44200.6</v>
      </c>
      <c r="P151" s="49">
        <f>39681.8+2691.2</f>
        <v>42373</v>
      </c>
      <c r="Q151" s="49">
        <f t="shared" si="10"/>
        <v>44067.92</v>
      </c>
      <c r="R151" s="49">
        <f t="shared" si="10"/>
        <v>45830.6368</v>
      </c>
    </row>
    <row r="152" spans="1:18" s="2" customFormat="1" ht="60" hidden="1">
      <c r="A152" s="1">
        <f t="shared" si="7"/>
        <v>26</v>
      </c>
      <c r="B152" s="33" t="s">
        <v>162</v>
      </c>
      <c r="C152" s="1" t="s">
        <v>154</v>
      </c>
      <c r="D152" s="49">
        <v>20</v>
      </c>
      <c r="E152" s="49">
        <v>20</v>
      </c>
      <c r="F152" s="49">
        <v>20</v>
      </c>
      <c r="G152" s="49">
        <v>20</v>
      </c>
      <c r="H152" s="49">
        <v>20</v>
      </c>
      <c r="I152" s="49">
        <f t="shared" si="9"/>
        <v>1072207.25</v>
      </c>
      <c r="J152" s="49">
        <v>1072207.28</v>
      </c>
      <c r="K152" s="49">
        <f t="shared" si="8"/>
        <v>1029320.0000000001</v>
      </c>
      <c r="L152" s="49">
        <f t="shared" si="8"/>
        <v>1070492.8000000003</v>
      </c>
      <c r="M152" s="49">
        <f t="shared" si="8"/>
        <v>1113312.512</v>
      </c>
      <c r="N152" s="49">
        <v>21444.145</v>
      </c>
      <c r="O152" s="49">
        <v>21444.1</v>
      </c>
      <c r="P152" s="49">
        <v>20586.4</v>
      </c>
      <c r="Q152" s="49">
        <f t="shared" si="10"/>
        <v>21409.856000000003</v>
      </c>
      <c r="R152" s="49">
        <f t="shared" si="10"/>
        <v>22266.250240000005</v>
      </c>
    </row>
    <row r="153" spans="1:18" s="2" customFormat="1" ht="60" hidden="1">
      <c r="A153" s="1">
        <f t="shared" si="7"/>
        <v>27</v>
      </c>
      <c r="B153" s="33" t="s">
        <v>163</v>
      </c>
      <c r="C153" s="1" t="s">
        <v>154</v>
      </c>
      <c r="D153" s="49">
        <v>28</v>
      </c>
      <c r="E153" s="49">
        <v>28</v>
      </c>
      <c r="F153" s="49">
        <v>29</v>
      </c>
      <c r="G153" s="49">
        <v>29</v>
      </c>
      <c r="H153" s="49">
        <v>29</v>
      </c>
      <c r="I153" s="49">
        <f t="shared" si="9"/>
        <v>157799.99999999997</v>
      </c>
      <c r="J153" s="49">
        <v>157800.36</v>
      </c>
      <c r="K153" s="49">
        <f t="shared" si="8"/>
        <v>151489.6551724138</v>
      </c>
      <c r="L153" s="49">
        <f t="shared" si="8"/>
        <v>157549.24137931032</v>
      </c>
      <c r="M153" s="49">
        <f t="shared" si="8"/>
        <v>163851.21103448275</v>
      </c>
      <c r="N153" s="49">
        <v>4418.4</v>
      </c>
      <c r="O153" s="49">
        <v>4418.4</v>
      </c>
      <c r="P153" s="49">
        <v>4393.2</v>
      </c>
      <c r="Q153" s="49">
        <f t="shared" si="10"/>
        <v>4568.928</v>
      </c>
      <c r="R153" s="49">
        <f t="shared" si="10"/>
        <v>4751.68512</v>
      </c>
    </row>
    <row r="154" spans="1:18" s="2" customFormat="1" ht="75" hidden="1">
      <c r="A154" s="1">
        <f t="shared" si="7"/>
        <v>28</v>
      </c>
      <c r="B154" s="33" t="s">
        <v>164</v>
      </c>
      <c r="C154" s="1" t="s">
        <v>154</v>
      </c>
      <c r="D154" s="49">
        <v>0</v>
      </c>
      <c r="E154" s="49">
        <v>30</v>
      </c>
      <c r="F154" s="49">
        <v>20</v>
      </c>
      <c r="G154" s="49">
        <v>20</v>
      </c>
      <c r="H154" s="49">
        <v>20</v>
      </c>
      <c r="I154" s="49">
        <v>0</v>
      </c>
      <c r="J154" s="49">
        <v>208610.71</v>
      </c>
      <c r="K154" s="49">
        <f t="shared" si="8"/>
        <v>199484.99999999997</v>
      </c>
      <c r="L154" s="49">
        <f t="shared" si="8"/>
        <v>207464.4</v>
      </c>
      <c r="M154" s="49">
        <f t="shared" si="8"/>
        <v>215762.97599999997</v>
      </c>
      <c r="N154" s="49">
        <v>0</v>
      </c>
      <c r="O154" s="49">
        <v>6258.3</v>
      </c>
      <c r="P154" s="49">
        <v>3989.7</v>
      </c>
      <c r="Q154" s="49">
        <f t="shared" si="10"/>
        <v>4149.288</v>
      </c>
      <c r="R154" s="49">
        <f t="shared" si="10"/>
        <v>4315.25952</v>
      </c>
    </row>
    <row r="155" spans="1:18" s="2" customFormat="1" ht="60" hidden="1">
      <c r="A155" s="1">
        <f t="shared" si="7"/>
        <v>29</v>
      </c>
      <c r="B155" s="33" t="s">
        <v>165</v>
      </c>
      <c r="C155" s="1" t="s">
        <v>154</v>
      </c>
      <c r="D155" s="49">
        <v>103</v>
      </c>
      <c r="E155" s="49">
        <v>100</v>
      </c>
      <c r="F155" s="49">
        <v>100</v>
      </c>
      <c r="G155" s="49">
        <v>100</v>
      </c>
      <c r="H155" s="49">
        <v>100</v>
      </c>
      <c r="I155" s="49">
        <f t="shared" si="9"/>
        <v>92343.68932038835</v>
      </c>
      <c r="J155" s="49">
        <v>103330</v>
      </c>
      <c r="K155" s="49">
        <f t="shared" si="8"/>
        <v>127295</v>
      </c>
      <c r="L155" s="49">
        <f t="shared" si="8"/>
        <v>132386.8</v>
      </c>
      <c r="M155" s="49">
        <f t="shared" si="8"/>
        <v>137682.272</v>
      </c>
      <c r="N155" s="49">
        <v>9511.4</v>
      </c>
      <c r="O155" s="49">
        <v>10333</v>
      </c>
      <c r="P155" s="49">
        <v>12729.5</v>
      </c>
      <c r="Q155" s="49">
        <f t="shared" si="10"/>
        <v>13238.68</v>
      </c>
      <c r="R155" s="49">
        <f t="shared" si="10"/>
        <v>13768.227200000001</v>
      </c>
    </row>
    <row r="156" spans="1:18" s="2" customFormat="1" ht="60" hidden="1">
      <c r="A156" s="1">
        <f t="shared" si="7"/>
        <v>30</v>
      </c>
      <c r="B156" s="33" t="s">
        <v>166</v>
      </c>
      <c r="C156" s="1" t="s">
        <v>154</v>
      </c>
      <c r="D156" s="49">
        <v>30</v>
      </c>
      <c r="E156" s="49">
        <v>29</v>
      </c>
      <c r="F156" s="49">
        <v>29</v>
      </c>
      <c r="G156" s="49">
        <v>29</v>
      </c>
      <c r="H156" s="49">
        <v>29</v>
      </c>
      <c r="I156" s="49">
        <f t="shared" si="9"/>
        <v>131366.6666666667</v>
      </c>
      <c r="J156" s="49">
        <v>97609.5</v>
      </c>
      <c r="K156" s="49">
        <f t="shared" si="8"/>
        <v>78565.5172413793</v>
      </c>
      <c r="L156" s="49">
        <f t="shared" si="8"/>
        <v>81708.1379310345</v>
      </c>
      <c r="M156" s="49">
        <f t="shared" si="8"/>
        <v>84976.46344827587</v>
      </c>
      <c r="N156" s="49">
        <v>3941</v>
      </c>
      <c r="O156" s="49">
        <v>2830.7</v>
      </c>
      <c r="P156" s="49">
        <v>2278.4</v>
      </c>
      <c r="Q156" s="49">
        <f t="shared" si="10"/>
        <v>2369.536</v>
      </c>
      <c r="R156" s="49">
        <f t="shared" si="10"/>
        <v>2464.3174400000003</v>
      </c>
    </row>
    <row r="157" spans="1:18" s="2" customFormat="1" ht="90" hidden="1">
      <c r="A157" s="1">
        <f t="shared" si="7"/>
        <v>31</v>
      </c>
      <c r="B157" s="33" t="s">
        <v>167</v>
      </c>
      <c r="C157" s="1" t="s">
        <v>154</v>
      </c>
      <c r="D157" s="49">
        <v>324</v>
      </c>
      <c r="E157" s="49">
        <v>325</v>
      </c>
      <c r="F157" s="49">
        <v>325</v>
      </c>
      <c r="G157" s="49">
        <v>325</v>
      </c>
      <c r="H157" s="49">
        <v>325</v>
      </c>
      <c r="I157" s="49">
        <f t="shared" si="9"/>
        <v>71430.55555555556</v>
      </c>
      <c r="J157" s="49">
        <v>78460.15</v>
      </c>
      <c r="K157" s="49">
        <f t="shared" si="8"/>
        <v>79427.69230769231</v>
      </c>
      <c r="L157" s="49">
        <f t="shared" si="8"/>
        <v>82604.8</v>
      </c>
      <c r="M157" s="49">
        <f t="shared" si="8"/>
        <v>85908.99200000001</v>
      </c>
      <c r="N157" s="49">
        <v>23143.5</v>
      </c>
      <c r="O157" s="49">
        <v>25499.6</v>
      </c>
      <c r="P157" s="49">
        <v>25814</v>
      </c>
      <c r="Q157" s="49">
        <f t="shared" si="10"/>
        <v>26846.56</v>
      </c>
      <c r="R157" s="49">
        <f t="shared" si="10"/>
        <v>27920.422400000003</v>
      </c>
    </row>
    <row r="158" spans="1:18" s="2" customFormat="1" ht="90" hidden="1">
      <c r="A158" s="1">
        <f t="shared" si="7"/>
        <v>32</v>
      </c>
      <c r="B158" s="33" t="s">
        <v>168</v>
      </c>
      <c r="C158" s="1" t="s">
        <v>154</v>
      </c>
      <c r="D158" s="49">
        <v>468</v>
      </c>
      <c r="E158" s="49">
        <f>460</f>
        <v>460</v>
      </c>
      <c r="F158" s="49">
        <v>460</v>
      </c>
      <c r="G158" s="49">
        <v>460</v>
      </c>
      <c r="H158" s="49">
        <v>460</v>
      </c>
      <c r="I158" s="49">
        <f t="shared" si="9"/>
        <v>48420.08547008547</v>
      </c>
      <c r="J158" s="49">
        <v>77748</v>
      </c>
      <c r="K158" s="49">
        <f t="shared" si="8"/>
        <v>80857.93478260869</v>
      </c>
      <c r="L158" s="49">
        <f t="shared" si="8"/>
        <v>84092.25217391305</v>
      </c>
      <c r="M158" s="49">
        <f t="shared" si="8"/>
        <v>87455.98573913044</v>
      </c>
      <c r="N158" s="49">
        <v>22660.6</v>
      </c>
      <c r="O158" s="49">
        <f>36001.75+0.05</f>
        <v>36001.8</v>
      </c>
      <c r="P158" s="49">
        <v>37194.65</v>
      </c>
      <c r="Q158" s="49">
        <f t="shared" si="10"/>
        <v>38682.436</v>
      </c>
      <c r="R158" s="49">
        <f>Q158*1.04+0.02</f>
        <v>40229.75344</v>
      </c>
    </row>
    <row r="159" spans="1:18" s="2" customFormat="1" ht="90" hidden="1">
      <c r="A159" s="1">
        <f t="shared" si="7"/>
        <v>33</v>
      </c>
      <c r="B159" s="33" t="s">
        <v>169</v>
      </c>
      <c r="C159" s="1" t="s">
        <v>154</v>
      </c>
      <c r="D159" s="49">
        <f>3190+2447</f>
        <v>5637</v>
      </c>
      <c r="E159" s="49">
        <f>3249+2122</f>
        <v>5371</v>
      </c>
      <c r="F159" s="49">
        <f>3249+2122</f>
        <v>5371</v>
      </c>
      <c r="G159" s="49">
        <f>3249+2122</f>
        <v>5371</v>
      </c>
      <c r="H159" s="49">
        <f>3249+2122</f>
        <v>5371</v>
      </c>
      <c r="I159" s="49">
        <f t="shared" si="9"/>
        <v>37724.55206670215</v>
      </c>
      <c r="J159" s="49">
        <v>31701.99</v>
      </c>
      <c r="K159" s="49">
        <f t="shared" si="8"/>
        <v>40858.257307763924</v>
      </c>
      <c r="L159" s="49">
        <f t="shared" si="8"/>
        <v>42492.580152671755</v>
      </c>
      <c r="M159" s="49">
        <f t="shared" si="8"/>
        <v>44192.28335877863</v>
      </c>
      <c r="N159" s="49">
        <v>212653.3</v>
      </c>
      <c r="O159" s="49">
        <f>67270.2+143790</f>
        <v>211060.2</v>
      </c>
      <c r="P159" s="49">
        <f>69908+149541.7</f>
        <v>219449.7</v>
      </c>
      <c r="Q159" s="49">
        <f>P159*1.04-0.04</f>
        <v>228227.64800000002</v>
      </c>
      <c r="R159" s="49">
        <f t="shared" si="10"/>
        <v>237356.75392000002</v>
      </c>
    </row>
    <row r="160" spans="1:18" s="2" customFormat="1" ht="90" hidden="1">
      <c r="A160" s="1">
        <f t="shared" si="7"/>
        <v>34</v>
      </c>
      <c r="B160" s="33" t="s">
        <v>170</v>
      </c>
      <c r="C160" s="1" t="s">
        <v>154</v>
      </c>
      <c r="D160" s="49">
        <v>1685</v>
      </c>
      <c r="E160" s="49">
        <f>1693+353</f>
        <v>2046</v>
      </c>
      <c r="F160" s="49">
        <f>353+1693</f>
        <v>2046</v>
      </c>
      <c r="G160" s="49">
        <f>353+1693</f>
        <v>2046</v>
      </c>
      <c r="H160" s="49">
        <f>353+1693</f>
        <v>2046</v>
      </c>
      <c r="I160" s="49">
        <f t="shared" si="9"/>
        <v>39482.90801186943</v>
      </c>
      <c r="J160" s="49">
        <v>39790.58</v>
      </c>
      <c r="K160" s="49">
        <f t="shared" si="8"/>
        <v>36845.30791788856</v>
      </c>
      <c r="L160" s="49">
        <f t="shared" si="8"/>
        <v>38319.12023460411</v>
      </c>
      <c r="M160" s="49">
        <f t="shared" si="8"/>
        <v>39851.885043988266</v>
      </c>
      <c r="N160" s="49">
        <v>66528.7</v>
      </c>
      <c r="O160" s="49">
        <f>10108.2+68533.4</f>
        <v>78641.59999999999</v>
      </c>
      <c r="P160" s="49">
        <f>9200+66185.5</f>
        <v>75385.5</v>
      </c>
      <c r="Q160" s="49">
        <f t="shared" si="10"/>
        <v>78400.92</v>
      </c>
      <c r="R160" s="49">
        <f t="shared" si="10"/>
        <v>81536.9568</v>
      </c>
    </row>
    <row r="161" spans="1:18" s="2" customFormat="1" ht="75" hidden="1">
      <c r="A161" s="1">
        <f t="shared" si="7"/>
        <v>35</v>
      </c>
      <c r="B161" s="33" t="s">
        <v>171</v>
      </c>
      <c r="C161" s="1" t="s">
        <v>154</v>
      </c>
      <c r="D161" s="49">
        <v>6211</v>
      </c>
      <c r="E161" s="49">
        <v>6634</v>
      </c>
      <c r="F161" s="49">
        <v>6458</v>
      </c>
      <c r="G161" s="49">
        <v>6458</v>
      </c>
      <c r="H161" s="49">
        <v>6458</v>
      </c>
      <c r="I161" s="49">
        <f t="shared" si="9"/>
        <v>13853.48575108678</v>
      </c>
      <c r="J161" s="49">
        <v>13043.16</v>
      </c>
      <c r="K161" s="49">
        <f t="shared" si="8"/>
        <v>13469.200991018892</v>
      </c>
      <c r="L161" s="49">
        <f t="shared" si="8"/>
        <v>14007.969030659648</v>
      </c>
      <c r="M161" s="49">
        <f t="shared" si="8"/>
        <v>14568.287791886034</v>
      </c>
      <c r="N161" s="49">
        <v>86044</v>
      </c>
      <c r="O161" s="49">
        <v>87465.4</v>
      </c>
      <c r="P161" s="49">
        <v>86984.1</v>
      </c>
      <c r="Q161" s="49">
        <f>P161*1.04</f>
        <v>90463.464</v>
      </c>
      <c r="R161" s="49">
        <f>Q161*1.04</f>
        <v>94082.00256000001</v>
      </c>
    </row>
    <row r="162" spans="1:18" s="2" customFormat="1" ht="120" hidden="1">
      <c r="A162" s="1">
        <f t="shared" si="7"/>
        <v>36</v>
      </c>
      <c r="B162" s="33" t="s">
        <v>172</v>
      </c>
      <c r="C162" s="1" t="s">
        <v>154</v>
      </c>
      <c r="D162" s="49">
        <v>0</v>
      </c>
      <c r="E162" s="49">
        <v>235</v>
      </c>
      <c r="F162" s="49">
        <v>270</v>
      </c>
      <c r="G162" s="49">
        <v>270</v>
      </c>
      <c r="H162" s="49">
        <v>270</v>
      </c>
      <c r="I162" s="49" t="e">
        <f>N162/D162*1000</f>
        <v>#DIV/0!</v>
      </c>
      <c r="J162" s="49">
        <v>45870.3</v>
      </c>
      <c r="K162" s="49">
        <f t="shared" si="8"/>
        <v>78617.77777777778</v>
      </c>
      <c r="L162" s="49">
        <f t="shared" si="8"/>
        <v>81762.48888888888</v>
      </c>
      <c r="M162" s="49">
        <f t="shared" si="8"/>
        <v>85032.98844444445</v>
      </c>
      <c r="N162" s="49">
        <v>0</v>
      </c>
      <c r="O162" s="49">
        <v>10779.5</v>
      </c>
      <c r="P162" s="49">
        <v>21226.8</v>
      </c>
      <c r="Q162" s="49">
        <f>P162*1.04</f>
        <v>22075.872</v>
      </c>
      <c r="R162" s="49">
        <f>Q162*1.04</f>
        <v>22958.90688</v>
      </c>
    </row>
    <row r="163" spans="1:18" s="2" customFormat="1" ht="30" hidden="1">
      <c r="A163" s="1">
        <f t="shared" si="7"/>
        <v>37</v>
      </c>
      <c r="B163" s="33" t="s">
        <v>173</v>
      </c>
      <c r="C163" s="1" t="s">
        <v>174</v>
      </c>
      <c r="D163" s="49">
        <v>30035</v>
      </c>
      <c r="E163" s="49">
        <v>29750</v>
      </c>
      <c r="F163" s="49">
        <v>29750</v>
      </c>
      <c r="G163" s="49">
        <v>29750</v>
      </c>
      <c r="H163" s="49">
        <v>29750</v>
      </c>
      <c r="I163" s="49">
        <f t="shared" si="9"/>
        <v>2005.6667221574828</v>
      </c>
      <c r="J163" s="49">
        <v>2024.88</v>
      </c>
      <c r="K163" s="49">
        <f t="shared" si="8"/>
        <v>2107.4352941176467</v>
      </c>
      <c r="L163" s="49">
        <f t="shared" si="8"/>
        <v>2107.4352941176467</v>
      </c>
      <c r="M163" s="49">
        <f t="shared" si="8"/>
        <v>2107.4352941176467</v>
      </c>
      <c r="N163" s="49">
        <v>60240.2</v>
      </c>
      <c r="O163" s="49">
        <v>60284.9</v>
      </c>
      <c r="P163" s="49">
        <v>62696.2</v>
      </c>
      <c r="Q163" s="49">
        <v>62696.2</v>
      </c>
      <c r="R163" s="49">
        <v>62696.2</v>
      </c>
    </row>
    <row r="164" spans="1:18" s="2" customFormat="1" ht="30" hidden="1">
      <c r="A164" s="1">
        <f t="shared" si="7"/>
        <v>38</v>
      </c>
      <c r="B164" s="33" t="s">
        <v>175</v>
      </c>
      <c r="C164" s="1" t="s">
        <v>174</v>
      </c>
      <c r="D164" s="49">
        <v>171737</v>
      </c>
      <c r="E164" s="49">
        <v>170680</v>
      </c>
      <c r="F164" s="49">
        <v>170680</v>
      </c>
      <c r="G164" s="49">
        <v>170680</v>
      </c>
      <c r="H164" s="49">
        <v>170680</v>
      </c>
      <c r="I164" s="49">
        <f t="shared" si="9"/>
        <v>1930.1338674834196</v>
      </c>
      <c r="J164" s="49">
        <v>2378.6</v>
      </c>
      <c r="K164" s="49">
        <f t="shared" si="8"/>
        <v>2589.491445980783</v>
      </c>
      <c r="L164" s="49">
        <f t="shared" si="8"/>
        <v>2693.07122099836</v>
      </c>
      <c r="M164" s="49">
        <f t="shared" si="8"/>
        <v>2800.7938940707763</v>
      </c>
      <c r="N164" s="49">
        <f>356984.9-25509.5</f>
        <v>331475.4</v>
      </c>
      <c r="O164" s="49">
        <v>433516.7</v>
      </c>
      <c r="P164" s="49">
        <v>441974.4</v>
      </c>
      <c r="Q164" s="49">
        <f>P164*1.04+0.02</f>
        <v>459653.39600000007</v>
      </c>
      <c r="R164" s="49">
        <f>Q164*1.04-0.03</f>
        <v>478039.50184000004</v>
      </c>
    </row>
    <row r="165" spans="1:18" s="2" customFormat="1" ht="30" hidden="1">
      <c r="A165" s="1">
        <f t="shared" si="7"/>
        <v>39</v>
      </c>
      <c r="B165" s="33" t="s">
        <v>176</v>
      </c>
      <c r="C165" s="1" t="s">
        <v>177</v>
      </c>
      <c r="D165" s="49">
        <v>853</v>
      </c>
      <c r="E165" s="49">
        <v>850</v>
      </c>
      <c r="F165" s="49">
        <v>850</v>
      </c>
      <c r="G165" s="49">
        <v>850</v>
      </c>
      <c r="H165" s="49">
        <v>850</v>
      </c>
      <c r="I165" s="49">
        <f t="shared" si="9"/>
        <v>18107.268464243843</v>
      </c>
      <c r="J165" s="49">
        <v>18807.17</v>
      </c>
      <c r="K165" s="49">
        <f t="shared" si="8"/>
        <v>19559.529411764703</v>
      </c>
      <c r="L165" s="49">
        <f t="shared" si="8"/>
        <v>20341.910588235292</v>
      </c>
      <c r="M165" s="49">
        <f t="shared" si="8"/>
        <v>21155.587011764706</v>
      </c>
      <c r="N165" s="49">
        <v>15445.5</v>
      </c>
      <c r="O165" s="49">
        <v>15986.1</v>
      </c>
      <c r="P165" s="49">
        <v>16625.6</v>
      </c>
      <c r="Q165" s="49">
        <f>P165*1.04</f>
        <v>17290.624</v>
      </c>
      <c r="R165" s="49">
        <f>Q165*1.04</f>
        <v>17982.24896</v>
      </c>
    </row>
    <row r="166" spans="1:18" s="2" customFormat="1" ht="45" hidden="1">
      <c r="A166" s="1">
        <f t="shared" si="7"/>
        <v>40</v>
      </c>
      <c r="B166" s="33" t="s">
        <v>178</v>
      </c>
      <c r="C166" s="1" t="s">
        <v>179</v>
      </c>
      <c r="D166" s="49">
        <v>8</v>
      </c>
      <c r="E166" s="49">
        <v>11</v>
      </c>
      <c r="F166" s="49">
        <v>11</v>
      </c>
      <c r="G166" s="49">
        <v>11</v>
      </c>
      <c r="H166" s="49">
        <v>11</v>
      </c>
      <c r="I166" s="49">
        <f t="shared" si="9"/>
        <v>573300</v>
      </c>
      <c r="J166" s="49">
        <v>599526.67</v>
      </c>
      <c r="K166" s="49">
        <f t="shared" si="8"/>
        <v>607372.7272727273</v>
      </c>
      <c r="L166" s="49">
        <f t="shared" si="8"/>
        <v>607372.7272727273</v>
      </c>
      <c r="M166" s="49">
        <f t="shared" si="8"/>
        <v>607372.7272727273</v>
      </c>
      <c r="N166" s="49">
        <v>4586.4</v>
      </c>
      <c r="O166" s="49">
        <f>4586.4+2094.7</f>
        <v>6681.099999999999</v>
      </c>
      <c r="P166" s="49">
        <v>6681.1</v>
      </c>
      <c r="Q166" s="49">
        <v>6681.1</v>
      </c>
      <c r="R166" s="49">
        <v>6681.1</v>
      </c>
    </row>
    <row r="167" spans="1:18" s="2" customFormat="1" ht="75" hidden="1">
      <c r="A167" s="1">
        <f t="shared" si="7"/>
        <v>41</v>
      </c>
      <c r="B167" s="33" t="s">
        <v>180</v>
      </c>
      <c r="C167" s="1" t="s">
        <v>181</v>
      </c>
      <c r="D167" s="49">
        <v>1499</v>
      </c>
      <c r="E167" s="49">
        <v>1500</v>
      </c>
      <c r="F167" s="49">
        <v>1452</v>
      </c>
      <c r="G167" s="49">
        <v>1452</v>
      </c>
      <c r="H167" s="49">
        <v>1452</v>
      </c>
      <c r="I167" s="49">
        <f t="shared" si="9"/>
        <v>102851.03402268181</v>
      </c>
      <c r="J167" s="49">
        <v>114243.48</v>
      </c>
      <c r="K167" s="49">
        <f t="shared" si="8"/>
        <v>114708.26446280991</v>
      </c>
      <c r="L167" s="49">
        <f t="shared" si="8"/>
        <v>119296.5564738292</v>
      </c>
      <c r="M167" s="49">
        <f t="shared" si="8"/>
        <v>124068.38842975206</v>
      </c>
      <c r="N167" s="49">
        <v>154173.7</v>
      </c>
      <c r="O167" s="49">
        <v>160666.98</v>
      </c>
      <c r="P167" s="49">
        <v>166556.4</v>
      </c>
      <c r="Q167" s="49">
        <v>173218.6</v>
      </c>
      <c r="R167" s="49">
        <v>180147.3</v>
      </c>
    </row>
    <row r="168" spans="1:18" s="2" customFormat="1" ht="45" hidden="1">
      <c r="A168" s="1">
        <f t="shared" si="7"/>
        <v>42</v>
      </c>
      <c r="B168" s="33" t="s">
        <v>182</v>
      </c>
      <c r="C168" s="1" t="s">
        <v>181</v>
      </c>
      <c r="D168" s="49">
        <v>3336</v>
      </c>
      <c r="E168" s="49">
        <v>2790</v>
      </c>
      <c r="F168" s="49">
        <v>2473</v>
      </c>
      <c r="G168" s="49">
        <v>2473</v>
      </c>
      <c r="H168" s="49">
        <v>2473</v>
      </c>
      <c r="I168" s="49">
        <f t="shared" si="9"/>
        <v>9374.610311750599</v>
      </c>
      <c r="J168" s="49">
        <v>8636.02</v>
      </c>
      <c r="K168" s="49">
        <f t="shared" si="8"/>
        <v>11954.872624342905</v>
      </c>
      <c r="L168" s="49">
        <f t="shared" si="8"/>
        <v>12433.03679741205</v>
      </c>
      <c r="M168" s="49">
        <f t="shared" si="8"/>
        <v>12930.367974120501</v>
      </c>
      <c r="N168" s="49">
        <v>31273.7</v>
      </c>
      <c r="O168" s="49">
        <v>28819.2</v>
      </c>
      <c r="P168" s="49">
        <v>29564.4</v>
      </c>
      <c r="Q168" s="49">
        <v>30746.9</v>
      </c>
      <c r="R168" s="49">
        <v>31976.8</v>
      </c>
    </row>
    <row r="169" spans="1:18" s="2" customFormat="1" ht="15" hidden="1">
      <c r="A169" s="1">
        <f t="shared" si="7"/>
        <v>43</v>
      </c>
      <c r="B169" s="33" t="s">
        <v>183</v>
      </c>
      <c r="C169" s="1" t="s">
        <v>132</v>
      </c>
      <c r="D169" s="49"/>
      <c r="E169" s="49"/>
      <c r="F169" s="49">
        <v>25550</v>
      </c>
      <c r="G169" s="49">
        <v>25550</v>
      </c>
      <c r="H169" s="49">
        <v>25550</v>
      </c>
      <c r="I169" s="49"/>
      <c r="J169" s="49"/>
      <c r="K169" s="49">
        <f t="shared" si="8"/>
        <v>110.0587084148728</v>
      </c>
      <c r="L169" s="49">
        <f t="shared" si="8"/>
        <v>114.46105675146771</v>
      </c>
      <c r="M169" s="49">
        <f t="shared" si="8"/>
        <v>119.0402818003914</v>
      </c>
      <c r="N169" s="49"/>
      <c r="O169" s="49"/>
      <c r="P169" s="49">
        <v>2812</v>
      </c>
      <c r="Q169" s="49">
        <f>P169*1.04</f>
        <v>2924.48</v>
      </c>
      <c r="R169" s="49">
        <f>Q169*1.04+0.02</f>
        <v>3041.4792</v>
      </c>
    </row>
    <row r="170" spans="1:18" s="2" customFormat="1" ht="15" hidden="1">
      <c r="A170" s="1">
        <f t="shared" si="7"/>
        <v>44</v>
      </c>
      <c r="B170" s="33" t="s">
        <v>184</v>
      </c>
      <c r="C170" s="1" t="s">
        <v>132</v>
      </c>
      <c r="D170" s="49"/>
      <c r="E170" s="49"/>
      <c r="F170" s="49">
        <v>179000</v>
      </c>
      <c r="G170" s="49">
        <v>179000</v>
      </c>
      <c r="H170" s="49">
        <v>179000</v>
      </c>
      <c r="I170" s="49"/>
      <c r="J170" s="49"/>
      <c r="K170" s="49">
        <f t="shared" si="8"/>
        <v>158.60000000000002</v>
      </c>
      <c r="L170" s="49">
        <f t="shared" si="8"/>
        <v>164.94411173184358</v>
      </c>
      <c r="M170" s="49">
        <f t="shared" si="8"/>
        <v>171.54187620111733</v>
      </c>
      <c r="N170" s="49"/>
      <c r="O170" s="49"/>
      <c r="P170" s="49">
        <v>28389.4</v>
      </c>
      <c r="Q170" s="49">
        <f>P170*1.04+0.02</f>
        <v>29524.996000000003</v>
      </c>
      <c r="R170" s="49">
        <f>Q170*1.04</f>
        <v>30705.995840000003</v>
      </c>
    </row>
    <row r="171" spans="1:18" s="2" customFormat="1" ht="15" hidden="1">
      <c r="A171" s="1">
        <f t="shared" si="7"/>
        <v>45</v>
      </c>
      <c r="B171" s="33" t="s">
        <v>184</v>
      </c>
      <c r="C171" s="1" t="s">
        <v>132</v>
      </c>
      <c r="D171" s="49"/>
      <c r="E171" s="49"/>
      <c r="F171" s="49">
        <v>23500</v>
      </c>
      <c r="G171" s="49">
        <v>23500</v>
      </c>
      <c r="H171" s="49">
        <v>23500</v>
      </c>
      <c r="I171" s="49"/>
      <c r="J171" s="49"/>
      <c r="K171" s="49">
        <f t="shared" si="8"/>
        <v>737.2808510638297</v>
      </c>
      <c r="L171" s="49">
        <f t="shared" si="8"/>
        <v>766.7746382978725</v>
      </c>
      <c r="M171" s="49">
        <f t="shared" si="8"/>
        <v>797.4469004255319</v>
      </c>
      <c r="N171" s="49"/>
      <c r="O171" s="49"/>
      <c r="P171" s="49">
        <v>17326.1</v>
      </c>
      <c r="Q171" s="49">
        <f>P171*1.04+0.06</f>
        <v>18019.204</v>
      </c>
      <c r="R171" s="49">
        <f>Q171*1.04+0.03</f>
        <v>18740.00216</v>
      </c>
    </row>
    <row r="172" spans="1:18" s="2" customFormat="1" ht="15" hidden="1">
      <c r="A172" s="9"/>
      <c r="B172" s="10" t="s">
        <v>0</v>
      </c>
      <c r="C172" s="3"/>
      <c r="D172" s="11" t="s">
        <v>8</v>
      </c>
      <c r="E172" s="11" t="s">
        <v>8</v>
      </c>
      <c r="F172" s="11" t="s">
        <v>8</v>
      </c>
      <c r="G172" s="11" t="s">
        <v>8</v>
      </c>
      <c r="H172" s="11" t="s">
        <v>8</v>
      </c>
      <c r="I172" s="11" t="s">
        <v>8</v>
      </c>
      <c r="J172" s="11" t="s">
        <v>8</v>
      </c>
      <c r="K172" s="11" t="s">
        <v>8</v>
      </c>
      <c r="L172" s="11" t="s">
        <v>8</v>
      </c>
      <c r="M172" s="11" t="s">
        <v>8</v>
      </c>
      <c r="N172" s="50">
        <f>SUM(N126:N171)</f>
        <v>2314117.745</v>
      </c>
      <c r="O172" s="50">
        <f>SUM(O126:O171)</f>
        <v>2533172.5800000005</v>
      </c>
      <c r="P172" s="50">
        <f>SUM(P126:P171)</f>
        <v>2634249.4499999997</v>
      </c>
      <c r="Q172" s="50">
        <f>SUM(Q126:Q171)</f>
        <v>2736844.2039999994</v>
      </c>
      <c r="R172" s="50">
        <f>SUM(R126:R171)</f>
        <v>2843542.8001599996</v>
      </c>
    </row>
    <row r="173" spans="1:18" s="2" customFormat="1" ht="15" hidden="1">
      <c r="A173" s="138" t="s">
        <v>203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</row>
    <row r="174" spans="1:18" s="2" customFormat="1" ht="75" hidden="1">
      <c r="A174" s="1">
        <v>1</v>
      </c>
      <c r="B174" s="33" t="s">
        <v>204</v>
      </c>
      <c r="C174" s="1" t="s">
        <v>205</v>
      </c>
      <c r="D174" s="49">
        <v>5</v>
      </c>
      <c r="E174" s="49">
        <v>4</v>
      </c>
      <c r="F174" s="49">
        <v>4</v>
      </c>
      <c r="G174" s="49">
        <v>4</v>
      </c>
      <c r="H174" s="49">
        <v>4</v>
      </c>
      <c r="I174" s="49">
        <f>N174/D174</f>
        <v>1979.286</v>
      </c>
      <c r="J174" s="49">
        <f aca="true" t="shared" si="11" ref="J174:M177">O174/E174</f>
        <v>2497.5</v>
      </c>
      <c r="K174" s="49">
        <f t="shared" si="11"/>
        <v>2680.1325</v>
      </c>
      <c r="L174" s="49">
        <f t="shared" si="11"/>
        <v>2750.3825</v>
      </c>
      <c r="M174" s="49">
        <f t="shared" si="11"/>
        <v>2812.6125</v>
      </c>
      <c r="N174" s="49">
        <v>9896.43</v>
      </c>
      <c r="O174" s="49">
        <v>9990</v>
      </c>
      <c r="P174" s="49">
        <v>10720.53</v>
      </c>
      <c r="Q174" s="49">
        <v>11001.53</v>
      </c>
      <c r="R174" s="49">
        <v>11250.45</v>
      </c>
    </row>
    <row r="175" spans="1:18" s="2" customFormat="1" ht="75" hidden="1">
      <c r="A175" s="1">
        <v>2</v>
      </c>
      <c r="B175" s="33" t="s">
        <v>206</v>
      </c>
      <c r="C175" s="1" t="s">
        <v>205</v>
      </c>
      <c r="D175" s="49">
        <v>3</v>
      </c>
      <c r="E175" s="49">
        <v>3</v>
      </c>
      <c r="F175" s="49">
        <v>3</v>
      </c>
      <c r="G175" s="49">
        <v>3</v>
      </c>
      <c r="H175" s="49">
        <v>3</v>
      </c>
      <c r="I175" s="49">
        <f>N175/D175</f>
        <v>1965.6333333333332</v>
      </c>
      <c r="J175" s="49">
        <f t="shared" si="11"/>
        <v>2822.6666666666665</v>
      </c>
      <c r="K175" s="49">
        <f t="shared" si="11"/>
        <v>2891.6666666666665</v>
      </c>
      <c r="L175" s="49">
        <f t="shared" si="11"/>
        <v>2965</v>
      </c>
      <c r="M175" s="49">
        <f t="shared" si="11"/>
        <v>3065.6666666666665</v>
      </c>
      <c r="N175" s="49">
        <v>5896.9</v>
      </c>
      <c r="O175" s="49">
        <v>8468</v>
      </c>
      <c r="P175" s="49">
        <v>8675</v>
      </c>
      <c r="Q175" s="49">
        <v>8895</v>
      </c>
      <c r="R175" s="49">
        <v>9197</v>
      </c>
    </row>
    <row r="176" spans="1:18" s="2" customFormat="1" ht="15" hidden="1">
      <c r="A176" s="1">
        <v>3</v>
      </c>
      <c r="B176" s="33" t="s">
        <v>270</v>
      </c>
      <c r="C176" s="1" t="s">
        <v>205</v>
      </c>
      <c r="D176" s="49">
        <v>6</v>
      </c>
      <c r="E176" s="49">
        <v>4</v>
      </c>
      <c r="F176" s="49">
        <v>4</v>
      </c>
      <c r="G176" s="49">
        <v>4</v>
      </c>
      <c r="H176" s="49">
        <v>4</v>
      </c>
      <c r="I176" s="49">
        <f>N176/D176</f>
        <v>492.90000000000003</v>
      </c>
      <c r="J176" s="49">
        <f t="shared" si="11"/>
        <v>703.5</v>
      </c>
      <c r="K176" s="49">
        <f t="shared" si="11"/>
        <v>762.5675</v>
      </c>
      <c r="L176" s="49">
        <f t="shared" si="11"/>
        <v>820.0675</v>
      </c>
      <c r="M176" s="49">
        <f t="shared" si="11"/>
        <v>887.5675</v>
      </c>
      <c r="N176" s="49">
        <f>1058.65+1898.75</f>
        <v>2957.4</v>
      </c>
      <c r="O176" s="49">
        <v>2814</v>
      </c>
      <c r="P176" s="49">
        <v>3050.27</v>
      </c>
      <c r="Q176" s="49">
        <v>3280.27</v>
      </c>
      <c r="R176" s="49">
        <v>3550.27</v>
      </c>
    </row>
    <row r="177" spans="1:18" s="2" customFormat="1" ht="120" hidden="1">
      <c r="A177" s="1">
        <v>4</v>
      </c>
      <c r="B177" s="33" t="s">
        <v>207</v>
      </c>
      <c r="C177" s="1" t="s">
        <v>205</v>
      </c>
      <c r="D177" s="49">
        <v>2</v>
      </c>
      <c r="E177" s="49">
        <v>2</v>
      </c>
      <c r="F177" s="49">
        <v>2</v>
      </c>
      <c r="G177" s="49">
        <v>2</v>
      </c>
      <c r="H177" s="49">
        <v>2</v>
      </c>
      <c r="I177" s="49">
        <f>N177/D177</f>
        <v>1897.62</v>
      </c>
      <c r="J177" s="49">
        <f t="shared" si="11"/>
        <v>1899</v>
      </c>
      <c r="K177" s="49">
        <f t="shared" si="11"/>
        <v>2113.785</v>
      </c>
      <c r="L177" s="49">
        <f t="shared" si="11"/>
        <v>2193.785</v>
      </c>
      <c r="M177" s="49">
        <f t="shared" si="11"/>
        <v>2313.785</v>
      </c>
      <c r="N177" s="49">
        <v>3795.24</v>
      </c>
      <c r="O177" s="49">
        <v>3798</v>
      </c>
      <c r="P177" s="49">
        <v>4227.57</v>
      </c>
      <c r="Q177" s="49">
        <v>4387.57</v>
      </c>
      <c r="R177" s="49">
        <v>4627.57</v>
      </c>
    </row>
    <row r="178" spans="1:18" s="2" customFormat="1" ht="105" hidden="1">
      <c r="A178" s="1">
        <v>5</v>
      </c>
      <c r="B178" s="33" t="s">
        <v>271</v>
      </c>
      <c r="C178" s="1" t="s">
        <v>205</v>
      </c>
      <c r="D178" s="49">
        <v>2</v>
      </c>
      <c r="E178" s="49">
        <v>1</v>
      </c>
      <c r="F178" s="49">
        <v>1</v>
      </c>
      <c r="G178" s="49">
        <v>1</v>
      </c>
      <c r="H178" s="49">
        <v>1</v>
      </c>
      <c r="I178" s="49">
        <f>N178/D178</f>
        <v>3043.625</v>
      </c>
      <c r="J178" s="49">
        <f>O178/E178</f>
        <v>2835.23</v>
      </c>
      <c r="K178" s="49">
        <f>P178/F178</f>
        <v>1985.62</v>
      </c>
      <c r="L178" s="49">
        <f>Q178/G178</f>
        <v>2085.62</v>
      </c>
      <c r="M178" s="49">
        <f>R178/H178</f>
        <v>2208.7</v>
      </c>
      <c r="N178" s="49">
        <f>4795.44+1291.81</f>
        <v>6087.25</v>
      </c>
      <c r="O178" s="49">
        <v>2835.23</v>
      </c>
      <c r="P178" s="49">
        <v>1985.62</v>
      </c>
      <c r="Q178" s="49">
        <v>2085.62</v>
      </c>
      <c r="R178" s="49">
        <v>2208.7</v>
      </c>
    </row>
    <row r="179" spans="1:18" s="2" customFormat="1" ht="15" hidden="1">
      <c r="A179" s="9"/>
      <c r="B179" s="10" t="s">
        <v>0</v>
      </c>
      <c r="C179" s="26" t="s">
        <v>8</v>
      </c>
      <c r="D179" s="11" t="s">
        <v>8</v>
      </c>
      <c r="E179" s="11" t="s">
        <v>8</v>
      </c>
      <c r="F179" s="11" t="s">
        <v>8</v>
      </c>
      <c r="G179" s="11" t="s">
        <v>8</v>
      </c>
      <c r="H179" s="11" t="s">
        <v>8</v>
      </c>
      <c r="I179" s="11" t="s">
        <v>8</v>
      </c>
      <c r="J179" s="11" t="s">
        <v>8</v>
      </c>
      <c r="K179" s="11" t="s">
        <v>8</v>
      </c>
      <c r="L179" s="11" t="s">
        <v>8</v>
      </c>
      <c r="M179" s="11" t="s">
        <v>8</v>
      </c>
      <c r="N179" s="50">
        <f>SUM(N174:N178)</f>
        <v>28633.22</v>
      </c>
      <c r="O179" s="50">
        <f>O178+O177+O176+O175+O174</f>
        <v>27905.23</v>
      </c>
      <c r="P179" s="50">
        <f>P174+P175+P176+P177+P178</f>
        <v>28658.989999999998</v>
      </c>
      <c r="Q179" s="50">
        <f>Q174+Q175+Q176+Q177+Q178</f>
        <v>29649.989999999998</v>
      </c>
      <c r="R179" s="50">
        <f>R174+R175+R176+R177+R178</f>
        <v>30833.99</v>
      </c>
    </row>
    <row r="180" spans="1:18" s="2" customFormat="1" ht="15" hidden="1">
      <c r="A180" s="138" t="s">
        <v>267</v>
      </c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</row>
    <row r="181" spans="1:18" s="2" customFormat="1" ht="60" hidden="1">
      <c r="A181" s="1">
        <v>1</v>
      </c>
      <c r="B181" s="33" t="s">
        <v>254</v>
      </c>
      <c r="C181" s="1" t="s">
        <v>16</v>
      </c>
      <c r="D181" s="49">
        <v>252149</v>
      </c>
      <c r="E181" s="49">
        <v>255030</v>
      </c>
      <c r="F181" s="49">
        <v>257053</v>
      </c>
      <c r="G181" s="49">
        <v>257053</v>
      </c>
      <c r="H181" s="49">
        <v>257053</v>
      </c>
      <c r="I181" s="49">
        <v>123.409999</v>
      </c>
      <c r="J181" s="49">
        <v>128.346398</v>
      </c>
      <c r="K181" s="49">
        <f>J181*1.04</f>
        <v>133.48025392</v>
      </c>
      <c r="L181" s="49">
        <f>K181*1.04</f>
        <v>138.8194640768</v>
      </c>
      <c r="M181" s="49">
        <f>L181*1.04</f>
        <v>144.37224263987198</v>
      </c>
      <c r="N181" s="49">
        <f>D181*I181/1000</f>
        <v>31117.707837850998</v>
      </c>
      <c r="O181" s="49">
        <f>E181*J181/1000</f>
        <v>32732.18188194</v>
      </c>
      <c r="P181" s="49">
        <f aca="true" t="shared" si="12" ref="P181:R191">F181*K181/1000</f>
        <v>34311.499710897755</v>
      </c>
      <c r="Q181" s="49">
        <f t="shared" si="12"/>
        <v>35683.95969933367</v>
      </c>
      <c r="R181" s="49">
        <f t="shared" si="12"/>
        <v>37111.318087307016</v>
      </c>
    </row>
    <row r="182" spans="1:18" s="2" customFormat="1" ht="60" hidden="1">
      <c r="A182" s="1">
        <v>2</v>
      </c>
      <c r="B182" s="33" t="s">
        <v>255</v>
      </c>
      <c r="C182" s="1" t="s">
        <v>16</v>
      </c>
      <c r="D182" s="49">
        <v>357469</v>
      </c>
      <c r="E182" s="49">
        <v>380363</v>
      </c>
      <c r="F182" s="49">
        <v>371244</v>
      </c>
      <c r="G182" s="49">
        <v>371244</v>
      </c>
      <c r="H182" s="49">
        <v>371244</v>
      </c>
      <c r="I182" s="49">
        <v>184.33254</v>
      </c>
      <c r="J182" s="49">
        <f>I182*1.0377146</f>
        <v>191.28456801308397</v>
      </c>
      <c r="K182" s="49">
        <v>201.526988</v>
      </c>
      <c r="L182" s="49">
        <f aca="true" t="shared" si="13" ref="L182:M192">K182*1.04</f>
        <v>209.58806751999998</v>
      </c>
      <c r="M182" s="49">
        <f t="shared" si="13"/>
        <v>217.97159022079998</v>
      </c>
      <c r="N182" s="49">
        <f>D182*I182/1000</f>
        <v>65893.16874126</v>
      </c>
      <c r="O182" s="49">
        <f aca="true" t="shared" si="14" ref="O182:O191">E182*J182/1000</f>
        <v>72757.57214316065</v>
      </c>
      <c r="P182" s="49">
        <f t="shared" si="12"/>
        <v>74815.685133072</v>
      </c>
      <c r="Q182" s="49">
        <f t="shared" si="12"/>
        <v>77808.31253839486</v>
      </c>
      <c r="R182" s="49">
        <f t="shared" si="12"/>
        <v>80920.64503993068</v>
      </c>
    </row>
    <row r="183" spans="1:18" s="2" customFormat="1" ht="75" hidden="1">
      <c r="A183" s="1">
        <v>3</v>
      </c>
      <c r="B183" s="33" t="s">
        <v>256</v>
      </c>
      <c r="C183" s="1" t="s">
        <v>16</v>
      </c>
      <c r="D183" s="49">
        <v>621382</v>
      </c>
      <c r="E183" s="49">
        <v>688613</v>
      </c>
      <c r="F183" s="49">
        <v>710082</v>
      </c>
      <c r="G183" s="49">
        <v>710082</v>
      </c>
      <c r="H183" s="49">
        <v>710082</v>
      </c>
      <c r="I183" s="49">
        <v>179.205001</v>
      </c>
      <c r="J183" s="49">
        <f>179.835245</f>
        <v>179.835245</v>
      </c>
      <c r="K183" s="49">
        <v>194.641749</v>
      </c>
      <c r="L183" s="49">
        <f t="shared" si="13"/>
        <v>202.42741896</v>
      </c>
      <c r="M183" s="49">
        <f t="shared" si="13"/>
        <v>210.5245157184</v>
      </c>
      <c r="N183" s="49">
        <f>D183*I183/1000</f>
        <v>111354.761931382</v>
      </c>
      <c r="O183" s="49">
        <f t="shared" si="14"/>
        <v>123836.887565185</v>
      </c>
      <c r="P183" s="49">
        <f t="shared" si="12"/>
        <v>138211.602413418</v>
      </c>
      <c r="Q183" s="49">
        <f t="shared" si="12"/>
        <v>143740.06650995472</v>
      </c>
      <c r="R183" s="49">
        <f t="shared" si="12"/>
        <v>149489.6691703529</v>
      </c>
    </row>
    <row r="184" spans="1:18" s="2" customFormat="1" ht="90" hidden="1">
      <c r="A184" s="1">
        <v>4</v>
      </c>
      <c r="B184" s="33" t="s">
        <v>257</v>
      </c>
      <c r="C184" s="1" t="s">
        <v>16</v>
      </c>
      <c r="D184" s="49">
        <v>872984</v>
      </c>
      <c r="E184" s="49">
        <v>1292238</v>
      </c>
      <c r="F184" s="49">
        <v>1269562</v>
      </c>
      <c r="G184" s="49">
        <v>1269562</v>
      </c>
      <c r="H184" s="49">
        <v>1269562</v>
      </c>
      <c r="I184" s="49">
        <v>29.013407</v>
      </c>
      <c r="J184" s="49">
        <v>25.7846805</v>
      </c>
      <c r="K184" s="49">
        <v>25.05256616</v>
      </c>
      <c r="L184" s="49">
        <f t="shared" si="13"/>
        <v>26.054668806400002</v>
      </c>
      <c r="M184" s="49">
        <f t="shared" si="13"/>
        <v>27.096855558656003</v>
      </c>
      <c r="N184" s="49">
        <f aca="true" t="shared" si="15" ref="N184:N190">D184*I184/1000</f>
        <v>25328.240096488</v>
      </c>
      <c r="O184" s="49">
        <f t="shared" si="14"/>
        <v>33319.943959959</v>
      </c>
      <c r="P184" s="49">
        <f t="shared" si="12"/>
        <v>31805.78599922192</v>
      </c>
      <c r="Q184" s="49">
        <f t="shared" si="12"/>
        <v>33078.0174391908</v>
      </c>
      <c r="R184" s="49">
        <f t="shared" si="12"/>
        <v>34401.13813675843</v>
      </c>
    </row>
    <row r="185" spans="1:18" s="2" customFormat="1" ht="60" hidden="1">
      <c r="A185" s="1">
        <v>5</v>
      </c>
      <c r="B185" s="33" t="s">
        <v>258</v>
      </c>
      <c r="C185" s="1" t="s">
        <v>16</v>
      </c>
      <c r="D185" s="49">
        <v>1675</v>
      </c>
      <c r="E185" s="49">
        <v>1645</v>
      </c>
      <c r="F185" s="49">
        <v>1674</v>
      </c>
      <c r="G185" s="49">
        <v>1674</v>
      </c>
      <c r="H185" s="49">
        <v>1674</v>
      </c>
      <c r="I185" s="49">
        <v>13187.362388</v>
      </c>
      <c r="J185" s="49">
        <v>13599.101</v>
      </c>
      <c r="K185" s="49">
        <v>11886.1212664</v>
      </c>
      <c r="L185" s="49">
        <f t="shared" si="13"/>
        <v>12361.566117056</v>
      </c>
      <c r="M185" s="49">
        <f t="shared" si="13"/>
        <v>12856.02876173824</v>
      </c>
      <c r="N185" s="49">
        <f t="shared" si="15"/>
        <v>22088.831999899998</v>
      </c>
      <c r="O185" s="49">
        <f t="shared" si="14"/>
        <v>22370.521145</v>
      </c>
      <c r="P185" s="49">
        <f t="shared" si="12"/>
        <v>19897.3669999536</v>
      </c>
      <c r="Q185" s="49">
        <f t="shared" si="12"/>
        <v>20693.261679951742</v>
      </c>
      <c r="R185" s="49">
        <f t="shared" si="12"/>
        <v>21520.992147149813</v>
      </c>
    </row>
    <row r="186" spans="1:18" s="2" customFormat="1" ht="30" hidden="1">
      <c r="A186" s="1">
        <v>6</v>
      </c>
      <c r="B186" s="33" t="s">
        <v>208</v>
      </c>
      <c r="C186" s="1" t="s">
        <v>209</v>
      </c>
      <c r="D186" s="49">
        <v>1022644</v>
      </c>
      <c r="E186" s="49">
        <v>957496.1</v>
      </c>
      <c r="F186" s="49">
        <v>802955</v>
      </c>
      <c r="G186" s="49">
        <v>802955</v>
      </c>
      <c r="H186" s="49">
        <v>802955</v>
      </c>
      <c r="I186" s="49">
        <v>25.11</v>
      </c>
      <c r="J186" s="49">
        <f>I186*1.04</f>
        <v>26.1144</v>
      </c>
      <c r="K186" s="49">
        <f>I186*1.0816</f>
        <v>27.158975999999996</v>
      </c>
      <c r="L186" s="49">
        <f t="shared" si="13"/>
        <v>28.245335039999997</v>
      </c>
      <c r="M186" s="49">
        <f t="shared" si="13"/>
        <v>29.375148441599997</v>
      </c>
      <c r="N186" s="49">
        <f t="shared" si="15"/>
        <v>25678.59084</v>
      </c>
      <c r="O186" s="49">
        <f t="shared" si="14"/>
        <v>25004.436153839997</v>
      </c>
      <c r="P186" s="49">
        <f t="shared" si="12"/>
        <v>21807.43557408</v>
      </c>
      <c r="Q186" s="49">
        <f t="shared" si="12"/>
        <v>22679.732997043197</v>
      </c>
      <c r="R186" s="49">
        <f t="shared" si="12"/>
        <v>23586.922316924927</v>
      </c>
    </row>
    <row r="187" spans="1:18" s="2" customFormat="1" ht="60" hidden="1">
      <c r="A187" s="1">
        <v>7</v>
      </c>
      <c r="B187" s="33" t="s">
        <v>259</v>
      </c>
      <c r="C187" s="1" t="s">
        <v>16</v>
      </c>
      <c r="D187" s="49">
        <v>31931</v>
      </c>
      <c r="E187" s="49">
        <v>22565</v>
      </c>
      <c r="F187" s="49">
        <v>20871</v>
      </c>
      <c r="G187" s="49">
        <v>20871</v>
      </c>
      <c r="H187" s="49">
        <v>20871</v>
      </c>
      <c r="I187" s="49">
        <v>1926.89074</v>
      </c>
      <c r="J187" s="49">
        <v>2051.07</v>
      </c>
      <c r="K187" s="49">
        <v>2147.26877</v>
      </c>
      <c r="L187" s="49">
        <f t="shared" si="13"/>
        <v>2233.1595208000003</v>
      </c>
      <c r="M187" s="49">
        <f t="shared" si="13"/>
        <v>2322.4859016320006</v>
      </c>
      <c r="N187" s="49">
        <f t="shared" si="15"/>
        <v>61527.548218940006</v>
      </c>
      <c r="O187" s="49">
        <f t="shared" si="14"/>
        <v>46282.394550000005</v>
      </c>
      <c r="P187" s="49">
        <f t="shared" si="12"/>
        <v>44815.64649867</v>
      </c>
      <c r="Q187" s="49">
        <f t="shared" si="12"/>
        <v>46608.27235861681</v>
      </c>
      <c r="R187" s="49">
        <f t="shared" si="12"/>
        <v>48472.60325296149</v>
      </c>
    </row>
    <row r="188" spans="1:18" s="2" customFormat="1" ht="30" hidden="1">
      <c r="A188" s="1">
        <v>8</v>
      </c>
      <c r="B188" s="33" t="s">
        <v>210</v>
      </c>
      <c r="C188" s="1" t="s">
        <v>16</v>
      </c>
      <c r="D188" s="49">
        <v>2026544</v>
      </c>
      <c r="E188" s="49">
        <v>2186167</v>
      </c>
      <c r="F188" s="49">
        <v>2325032</v>
      </c>
      <c r="G188" s="49">
        <v>2325032</v>
      </c>
      <c r="H188" s="49">
        <v>2325032</v>
      </c>
      <c r="I188" s="49">
        <v>22.1</v>
      </c>
      <c r="J188" s="49">
        <f>I188*1.04</f>
        <v>22.984</v>
      </c>
      <c r="K188" s="49">
        <f>I188*1.0816</f>
        <v>23.90336</v>
      </c>
      <c r="L188" s="49">
        <f t="shared" si="13"/>
        <v>24.8594944</v>
      </c>
      <c r="M188" s="49">
        <f t="shared" si="13"/>
        <v>25.853874176</v>
      </c>
      <c r="N188" s="49">
        <f t="shared" si="15"/>
        <v>44786.62240000001</v>
      </c>
      <c r="O188" s="49">
        <f t="shared" si="14"/>
        <v>50246.862328</v>
      </c>
      <c r="P188" s="49">
        <f t="shared" si="12"/>
        <v>55576.07690751999</v>
      </c>
      <c r="Q188" s="49">
        <f t="shared" si="12"/>
        <v>57799.1199838208</v>
      </c>
      <c r="R188" s="49">
        <f t="shared" si="12"/>
        <v>60111.08478317364</v>
      </c>
    </row>
    <row r="189" spans="1:18" s="2" customFormat="1" ht="90" hidden="1">
      <c r="A189" s="1">
        <v>9</v>
      </c>
      <c r="B189" s="33" t="s">
        <v>260</v>
      </c>
      <c r="C189" s="1" t="s">
        <v>16</v>
      </c>
      <c r="D189" s="49">
        <v>6863</v>
      </c>
      <c r="E189" s="49">
        <v>7687</v>
      </c>
      <c r="F189" s="49">
        <v>8631</v>
      </c>
      <c r="G189" s="49">
        <v>8631</v>
      </c>
      <c r="H189" s="49">
        <v>8631</v>
      </c>
      <c r="I189" s="49">
        <v>4680.64</v>
      </c>
      <c r="J189" s="49">
        <v>4944.950956</v>
      </c>
      <c r="K189" s="49">
        <v>5161.673154</v>
      </c>
      <c r="L189" s="49">
        <f>K189*1.04</f>
        <v>5368.14008016</v>
      </c>
      <c r="M189" s="49">
        <f>L189*1.04</f>
        <v>5582.865683366401</v>
      </c>
      <c r="N189" s="49">
        <f t="shared" si="15"/>
        <v>32123.232320000003</v>
      </c>
      <c r="O189" s="49">
        <f t="shared" si="14"/>
        <v>38011.837998771996</v>
      </c>
      <c r="P189" s="49">
        <f t="shared" si="12"/>
        <v>44550.400992174</v>
      </c>
      <c r="Q189" s="49">
        <f t="shared" si="12"/>
        <v>46332.41703186096</v>
      </c>
      <c r="R189" s="49">
        <f t="shared" si="12"/>
        <v>48185.7137131354</v>
      </c>
    </row>
    <row r="190" spans="1:18" s="2" customFormat="1" ht="75" hidden="1">
      <c r="A190" s="1">
        <v>10</v>
      </c>
      <c r="B190" s="33" t="s">
        <v>261</v>
      </c>
      <c r="C190" s="1" t="s">
        <v>16</v>
      </c>
      <c r="D190" s="49">
        <v>6822</v>
      </c>
      <c r="E190" s="49">
        <v>7517</v>
      </c>
      <c r="F190" s="49">
        <v>8555</v>
      </c>
      <c r="G190" s="49">
        <v>8555</v>
      </c>
      <c r="H190" s="49">
        <v>8555</v>
      </c>
      <c r="I190" s="49">
        <v>477.673995</v>
      </c>
      <c r="J190" s="49">
        <v>445.3266</v>
      </c>
      <c r="K190" s="49">
        <v>458.1281122</v>
      </c>
      <c r="L190" s="49">
        <f t="shared" si="13"/>
        <v>476.453236688</v>
      </c>
      <c r="M190" s="49">
        <f t="shared" si="13"/>
        <v>495.51136615552</v>
      </c>
      <c r="N190" s="49">
        <f t="shared" si="15"/>
        <v>3258.69199389</v>
      </c>
      <c r="O190" s="49">
        <f>E190*J190/1000</f>
        <v>3347.5200522</v>
      </c>
      <c r="P190" s="49">
        <f t="shared" si="12"/>
        <v>3919.2859998709996</v>
      </c>
      <c r="Q190" s="49">
        <f t="shared" si="12"/>
        <v>4076.05743986584</v>
      </c>
      <c r="R190" s="49">
        <f t="shared" si="12"/>
        <v>4239.099737460474</v>
      </c>
    </row>
    <row r="191" spans="1:18" s="2" customFormat="1" ht="30" hidden="1">
      <c r="A191" s="1">
        <v>11</v>
      </c>
      <c r="B191" s="33" t="s">
        <v>211</v>
      </c>
      <c r="C191" s="1"/>
      <c r="D191" s="49"/>
      <c r="E191" s="49">
        <v>1</v>
      </c>
      <c r="F191" s="49">
        <v>1</v>
      </c>
      <c r="G191" s="49">
        <v>1</v>
      </c>
      <c r="H191" s="49">
        <v>1</v>
      </c>
      <c r="I191" s="49"/>
      <c r="J191" s="49">
        <v>3097485</v>
      </c>
      <c r="K191" s="49">
        <v>1081499</v>
      </c>
      <c r="L191" s="49">
        <f>K191*1.04+1</f>
        <v>1124759.96</v>
      </c>
      <c r="M191" s="49">
        <f t="shared" si="13"/>
        <v>1169750.3584</v>
      </c>
      <c r="N191" s="49">
        <f>D191*I191/1000</f>
        <v>0</v>
      </c>
      <c r="O191" s="49">
        <f t="shared" si="14"/>
        <v>3097.485</v>
      </c>
      <c r="P191" s="49">
        <f t="shared" si="12"/>
        <v>1081.499</v>
      </c>
      <c r="Q191" s="49">
        <f t="shared" si="12"/>
        <v>1124.7599599999999</v>
      </c>
      <c r="R191" s="49">
        <f t="shared" si="12"/>
        <v>1169.7503584</v>
      </c>
    </row>
    <row r="192" spans="1:18" s="2" customFormat="1" ht="75" hidden="1">
      <c r="A192" s="1">
        <v>12</v>
      </c>
      <c r="B192" s="33" t="s">
        <v>212</v>
      </c>
      <c r="C192" s="1" t="s">
        <v>16</v>
      </c>
      <c r="D192" s="49">
        <v>3000</v>
      </c>
      <c r="E192" s="49"/>
      <c r="F192" s="49"/>
      <c r="G192" s="49"/>
      <c r="H192" s="49"/>
      <c r="I192" s="49"/>
      <c r="J192" s="49"/>
      <c r="K192" s="49"/>
      <c r="L192" s="49">
        <f t="shared" si="13"/>
        <v>0</v>
      </c>
      <c r="M192" s="49">
        <f t="shared" si="13"/>
        <v>0</v>
      </c>
      <c r="N192" s="49">
        <v>6000.025</v>
      </c>
      <c r="O192" s="49">
        <v>6000</v>
      </c>
      <c r="P192" s="49">
        <v>4495.668</v>
      </c>
      <c r="Q192" s="49">
        <f>P192*1.04</f>
        <v>4675.49472</v>
      </c>
      <c r="R192" s="49">
        <f>Q192*1.04</f>
        <v>4862.5145088</v>
      </c>
    </row>
    <row r="193" spans="1:18" s="2" customFormat="1" ht="45" hidden="1">
      <c r="A193" s="1">
        <v>13</v>
      </c>
      <c r="B193" s="33" t="s">
        <v>213</v>
      </c>
      <c r="C193" s="1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>
        <v>3767.136</v>
      </c>
      <c r="O193" s="49">
        <v>4137.15553</v>
      </c>
      <c r="P193" s="49">
        <v>4335.047</v>
      </c>
      <c r="Q193" s="49">
        <v>4501.528</v>
      </c>
      <c r="R193" s="49">
        <v>4674.549</v>
      </c>
    </row>
    <row r="194" spans="1:18" s="2" customFormat="1" ht="15" hidden="1">
      <c r="A194" s="1"/>
      <c r="B194" s="10" t="s">
        <v>0</v>
      </c>
      <c r="C194" s="1"/>
      <c r="D194" s="23" t="s">
        <v>8</v>
      </c>
      <c r="E194" s="23" t="s">
        <v>8</v>
      </c>
      <c r="F194" s="23" t="s">
        <v>8</v>
      </c>
      <c r="G194" s="23" t="s">
        <v>8</v>
      </c>
      <c r="H194" s="23" t="s">
        <v>8</v>
      </c>
      <c r="I194" s="15"/>
      <c r="J194" s="15"/>
      <c r="K194" s="15"/>
      <c r="L194" s="15"/>
      <c r="M194" s="15"/>
      <c r="N194" s="50">
        <f>SUM(N181:N193)</f>
        <v>432924.55737971107</v>
      </c>
      <c r="O194" s="50">
        <f>SUM(O181:O193)</f>
        <v>461144.79830805666</v>
      </c>
      <c r="P194" s="50">
        <f>SUM(P181:P193)</f>
        <v>479623.0002288782</v>
      </c>
      <c r="Q194" s="50">
        <f>SUM(Q181:Q193)</f>
        <v>498801.0003580334</v>
      </c>
      <c r="R194" s="50">
        <f>SUM(R181:R193)</f>
        <v>518746.0002523547</v>
      </c>
    </row>
    <row r="195" spans="1:18" s="2" customFormat="1" ht="15" hidden="1">
      <c r="A195" s="138" t="s">
        <v>214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</row>
    <row r="196" spans="1:18" s="2" customFormat="1" ht="105" hidden="1">
      <c r="A196" s="1">
        <v>1</v>
      </c>
      <c r="B196" s="33" t="s">
        <v>215</v>
      </c>
      <c r="C196" s="12" t="s">
        <v>216</v>
      </c>
      <c r="D196" s="49">
        <v>53</v>
      </c>
      <c r="E196" s="49">
        <v>50</v>
      </c>
      <c r="F196" s="49">
        <v>50</v>
      </c>
      <c r="G196" s="49">
        <v>50</v>
      </c>
      <c r="H196" s="49">
        <v>50</v>
      </c>
      <c r="I196" s="49"/>
      <c r="J196" s="49">
        <f>41943.99</f>
        <v>41943.99</v>
      </c>
      <c r="K196" s="49">
        <v>43621.7496</v>
      </c>
      <c r="L196" s="49">
        <v>45366.619584</v>
      </c>
      <c r="M196" s="49">
        <v>47181.28436736</v>
      </c>
      <c r="N196" s="49"/>
      <c r="O196" s="49">
        <v>2097.2</v>
      </c>
      <c r="P196" s="49">
        <v>2181.1</v>
      </c>
      <c r="Q196" s="49">
        <v>2268.4</v>
      </c>
      <c r="R196" s="49">
        <v>2359.3</v>
      </c>
    </row>
    <row r="197" spans="1:18" s="2" customFormat="1" ht="90" hidden="1">
      <c r="A197" s="1">
        <v>2</v>
      </c>
      <c r="B197" s="33" t="s">
        <v>217</v>
      </c>
      <c r="C197" s="12" t="s">
        <v>218</v>
      </c>
      <c r="D197" s="49">
        <v>3</v>
      </c>
      <c r="E197" s="49">
        <v>4</v>
      </c>
      <c r="F197" s="49">
        <v>4</v>
      </c>
      <c r="G197" s="49">
        <v>4</v>
      </c>
      <c r="H197" s="49">
        <v>4</v>
      </c>
      <c r="I197" s="49"/>
      <c r="J197" s="49">
        <v>346642.81</v>
      </c>
      <c r="K197" s="49">
        <v>360508.5224</v>
      </c>
      <c r="L197" s="49">
        <v>374928.863296</v>
      </c>
      <c r="M197" s="49">
        <v>389926.01782784</v>
      </c>
      <c r="N197" s="49"/>
      <c r="O197" s="49">
        <v>1386.6</v>
      </c>
      <c r="P197" s="49">
        <v>1442</v>
      </c>
      <c r="Q197" s="49">
        <v>1499.7</v>
      </c>
      <c r="R197" s="49">
        <v>1559.7</v>
      </c>
    </row>
    <row r="198" spans="1:18" s="2" customFormat="1" ht="105" hidden="1">
      <c r="A198" s="12">
        <v>3</v>
      </c>
      <c r="B198" s="41" t="s">
        <v>219</v>
      </c>
      <c r="C198" s="12" t="s">
        <v>218</v>
      </c>
      <c r="D198" s="49"/>
      <c r="E198" s="49">
        <v>10</v>
      </c>
      <c r="F198" s="49">
        <v>10</v>
      </c>
      <c r="G198" s="49">
        <v>10</v>
      </c>
      <c r="H198" s="49">
        <v>10</v>
      </c>
      <c r="I198" s="49"/>
      <c r="J198" s="49">
        <v>41617.79</v>
      </c>
      <c r="K198" s="49">
        <v>43282.5016</v>
      </c>
      <c r="L198" s="49">
        <v>45013.801664</v>
      </c>
      <c r="M198" s="49">
        <v>46814.35373056</v>
      </c>
      <c r="N198" s="49"/>
      <c r="O198" s="49">
        <v>416.2</v>
      </c>
      <c r="P198" s="49">
        <v>432.8</v>
      </c>
      <c r="Q198" s="49">
        <v>450.1</v>
      </c>
      <c r="R198" s="49">
        <v>468.1</v>
      </c>
    </row>
    <row r="199" spans="1:18" s="2" customFormat="1" ht="105" hidden="1">
      <c r="A199" s="12">
        <v>4</v>
      </c>
      <c r="B199" s="41" t="s">
        <v>220</v>
      </c>
      <c r="C199" s="12" t="s">
        <v>218</v>
      </c>
      <c r="D199" s="49"/>
      <c r="E199" s="49">
        <v>10</v>
      </c>
      <c r="F199" s="49">
        <v>10</v>
      </c>
      <c r="G199" s="49">
        <v>10</v>
      </c>
      <c r="H199" s="49">
        <v>10</v>
      </c>
      <c r="I199" s="49"/>
      <c r="J199" s="49">
        <v>13872.63</v>
      </c>
      <c r="K199" s="49">
        <v>14427.5352</v>
      </c>
      <c r="L199" s="49">
        <v>15004.636608</v>
      </c>
      <c r="M199" s="49">
        <v>15604.82207232</v>
      </c>
      <c r="N199" s="49"/>
      <c r="O199" s="49">
        <v>138.7</v>
      </c>
      <c r="P199" s="49">
        <v>144.3</v>
      </c>
      <c r="Q199" s="49">
        <v>150</v>
      </c>
      <c r="R199" s="49">
        <v>156</v>
      </c>
    </row>
    <row r="200" spans="1:18" s="2" customFormat="1" ht="45" hidden="1">
      <c r="A200" s="12">
        <v>5</v>
      </c>
      <c r="B200" s="41" t="s">
        <v>221</v>
      </c>
      <c r="C200" s="12" t="s">
        <v>218</v>
      </c>
      <c r="D200" s="49"/>
      <c r="E200" s="49">
        <v>500</v>
      </c>
      <c r="F200" s="49">
        <v>500</v>
      </c>
      <c r="G200" s="49">
        <v>500</v>
      </c>
      <c r="H200" s="49">
        <v>500</v>
      </c>
      <c r="I200" s="49"/>
      <c r="J200" s="49">
        <v>2794.01</v>
      </c>
      <c r="K200" s="49">
        <v>2905.7704</v>
      </c>
      <c r="L200" s="49">
        <v>3022.001216</v>
      </c>
      <c r="M200" s="49">
        <v>3142.88126464</v>
      </c>
      <c r="N200" s="49"/>
      <c r="O200" s="49">
        <v>1397</v>
      </c>
      <c r="P200" s="49">
        <v>1452.9</v>
      </c>
      <c r="Q200" s="49">
        <v>1511</v>
      </c>
      <c r="R200" s="49">
        <v>1571.4</v>
      </c>
    </row>
    <row r="201" spans="1:18" s="2" customFormat="1" ht="45" hidden="1">
      <c r="A201" s="12">
        <v>6</v>
      </c>
      <c r="B201" s="41" t="s">
        <v>222</v>
      </c>
      <c r="C201" s="12" t="s">
        <v>218</v>
      </c>
      <c r="D201" s="49"/>
      <c r="E201" s="49">
        <v>1000</v>
      </c>
      <c r="F201" s="49">
        <v>1000</v>
      </c>
      <c r="G201" s="49">
        <v>1000</v>
      </c>
      <c r="H201" s="49">
        <v>1000</v>
      </c>
      <c r="I201" s="49"/>
      <c r="J201" s="49">
        <v>4190.9</v>
      </c>
      <c r="K201" s="49">
        <v>4358.5568</v>
      </c>
      <c r="L201" s="49">
        <v>4532.899072</v>
      </c>
      <c r="M201" s="49">
        <v>4714.21503488</v>
      </c>
      <c r="N201" s="49"/>
      <c r="O201" s="49">
        <v>4190.9</v>
      </c>
      <c r="P201" s="49">
        <v>4358.6</v>
      </c>
      <c r="Q201" s="49">
        <v>4532.9</v>
      </c>
      <c r="R201" s="49">
        <v>4714.2</v>
      </c>
    </row>
    <row r="202" spans="1:18" s="2" customFormat="1" ht="45" hidden="1">
      <c r="A202" s="12">
        <v>7</v>
      </c>
      <c r="B202" s="41" t="s">
        <v>223</v>
      </c>
      <c r="C202" s="12" t="s">
        <v>218</v>
      </c>
      <c r="D202" s="49"/>
      <c r="E202" s="49">
        <v>250</v>
      </c>
      <c r="F202" s="49">
        <v>250</v>
      </c>
      <c r="G202" s="49">
        <v>250</v>
      </c>
      <c r="H202" s="49">
        <v>250</v>
      </c>
      <c r="I202" s="49"/>
      <c r="J202" s="49">
        <v>4159.62</v>
      </c>
      <c r="K202" s="49">
        <v>4326.0048</v>
      </c>
      <c r="L202" s="49">
        <v>4499.044992</v>
      </c>
      <c r="M202" s="49">
        <v>4679.00679168</v>
      </c>
      <c r="N202" s="49"/>
      <c r="O202" s="49">
        <v>1039.9</v>
      </c>
      <c r="P202" s="49">
        <v>1081.5</v>
      </c>
      <c r="Q202" s="49">
        <v>1124.8</v>
      </c>
      <c r="R202" s="49">
        <v>1169.8</v>
      </c>
    </row>
    <row r="203" spans="1:18" s="2" customFormat="1" ht="45" hidden="1">
      <c r="A203" s="12">
        <v>8</v>
      </c>
      <c r="B203" s="41" t="s">
        <v>224</v>
      </c>
      <c r="C203" s="12" t="s">
        <v>218</v>
      </c>
      <c r="D203" s="49"/>
      <c r="E203" s="49">
        <v>500</v>
      </c>
      <c r="F203" s="49">
        <v>500</v>
      </c>
      <c r="G203" s="49">
        <v>500</v>
      </c>
      <c r="H203" s="49">
        <v>500</v>
      </c>
      <c r="I203" s="49"/>
      <c r="J203" s="49">
        <v>5546.25</v>
      </c>
      <c r="K203" s="49">
        <v>5768.1</v>
      </c>
      <c r="L203" s="49">
        <v>5998.824</v>
      </c>
      <c r="M203" s="49">
        <v>6238.77696</v>
      </c>
      <c r="N203" s="49"/>
      <c r="O203" s="49">
        <v>2773.1</v>
      </c>
      <c r="P203" s="49">
        <v>2884.1</v>
      </c>
      <c r="Q203" s="49">
        <v>2999.4</v>
      </c>
      <c r="R203" s="49">
        <v>3119.4</v>
      </c>
    </row>
    <row r="204" spans="1:18" s="2" customFormat="1" ht="45" hidden="1">
      <c r="A204" s="12">
        <v>9</v>
      </c>
      <c r="B204" s="41" t="s">
        <v>225</v>
      </c>
      <c r="C204" s="12" t="s">
        <v>218</v>
      </c>
      <c r="D204" s="49"/>
      <c r="E204" s="49">
        <v>200</v>
      </c>
      <c r="F204" s="49">
        <v>200</v>
      </c>
      <c r="G204" s="49">
        <v>200</v>
      </c>
      <c r="H204" s="49">
        <v>200</v>
      </c>
      <c r="I204" s="49"/>
      <c r="J204" s="49">
        <v>346.71</v>
      </c>
      <c r="K204" s="49">
        <v>360.5784</v>
      </c>
      <c r="L204" s="49">
        <v>375.001536</v>
      </c>
      <c r="M204" s="49">
        <v>390.00159744</v>
      </c>
      <c r="N204" s="49"/>
      <c r="O204" s="49">
        <v>69.3</v>
      </c>
      <c r="P204" s="49">
        <v>72.1</v>
      </c>
      <c r="Q204" s="49">
        <v>75</v>
      </c>
      <c r="R204" s="49">
        <v>78</v>
      </c>
    </row>
    <row r="205" spans="1:18" ht="45" hidden="1">
      <c r="A205" s="12">
        <v>10</v>
      </c>
      <c r="B205" s="41" t="s">
        <v>226</v>
      </c>
      <c r="C205" s="12" t="s">
        <v>227</v>
      </c>
      <c r="D205" s="49"/>
      <c r="E205" s="49">
        <v>50</v>
      </c>
      <c r="F205" s="49">
        <v>50</v>
      </c>
      <c r="G205" s="49">
        <v>50</v>
      </c>
      <c r="H205" s="49">
        <v>50</v>
      </c>
      <c r="I205" s="49"/>
      <c r="J205" s="49">
        <v>1386.82</v>
      </c>
      <c r="K205" s="49">
        <v>1442.2928</v>
      </c>
      <c r="L205" s="49">
        <v>1499.984512</v>
      </c>
      <c r="M205" s="49">
        <v>1559.98389248</v>
      </c>
      <c r="N205" s="49"/>
      <c r="O205" s="49">
        <v>69.3</v>
      </c>
      <c r="P205" s="49">
        <v>72.1</v>
      </c>
      <c r="Q205" s="49">
        <v>75</v>
      </c>
      <c r="R205" s="49">
        <v>78</v>
      </c>
    </row>
    <row r="206" spans="1:18" ht="45" hidden="1">
      <c r="A206" s="12">
        <v>11</v>
      </c>
      <c r="B206" s="41" t="s">
        <v>228</v>
      </c>
      <c r="C206" s="12" t="s">
        <v>227</v>
      </c>
      <c r="D206" s="49">
        <v>503</v>
      </c>
      <c r="E206" s="49">
        <v>50</v>
      </c>
      <c r="F206" s="49">
        <v>50</v>
      </c>
      <c r="G206" s="49">
        <v>50</v>
      </c>
      <c r="H206" s="49">
        <v>50</v>
      </c>
      <c r="I206" s="49"/>
      <c r="J206" s="49">
        <v>1385.66</v>
      </c>
      <c r="K206" s="49">
        <v>1441.0864</v>
      </c>
      <c r="L206" s="49">
        <v>1498.729856</v>
      </c>
      <c r="M206" s="49">
        <v>1558.67905024</v>
      </c>
      <c r="N206" s="49"/>
      <c r="O206" s="49">
        <v>69.3</v>
      </c>
      <c r="P206" s="49">
        <v>72.1</v>
      </c>
      <c r="Q206" s="49">
        <v>74.9</v>
      </c>
      <c r="R206" s="49">
        <v>77.9</v>
      </c>
    </row>
    <row r="207" spans="1:18" ht="45" hidden="1">
      <c r="A207" s="12">
        <v>12</v>
      </c>
      <c r="B207" s="41" t="s">
        <v>229</v>
      </c>
      <c r="C207" s="12" t="s">
        <v>230</v>
      </c>
      <c r="D207" s="49">
        <v>2058</v>
      </c>
      <c r="E207" s="49">
        <v>200</v>
      </c>
      <c r="F207" s="49">
        <v>200</v>
      </c>
      <c r="G207" s="49">
        <v>200</v>
      </c>
      <c r="H207" s="49">
        <v>200</v>
      </c>
      <c r="I207" s="49"/>
      <c r="J207" s="49">
        <v>346.36</v>
      </c>
      <c r="K207" s="49">
        <v>360.2144</v>
      </c>
      <c r="L207" s="49">
        <v>374.622976</v>
      </c>
      <c r="M207" s="49">
        <v>389.60789504</v>
      </c>
      <c r="N207" s="49"/>
      <c r="O207" s="49">
        <v>69.3</v>
      </c>
      <c r="P207" s="49">
        <v>72</v>
      </c>
      <c r="Q207" s="49">
        <v>74.9</v>
      </c>
      <c r="R207" s="49">
        <v>77.9</v>
      </c>
    </row>
    <row r="208" spans="1:18" s="2" customFormat="1" ht="75" hidden="1">
      <c r="A208" s="12">
        <v>13</v>
      </c>
      <c r="B208" s="41" t="s">
        <v>231</v>
      </c>
      <c r="C208" s="12" t="s">
        <v>218</v>
      </c>
      <c r="D208" s="49"/>
      <c r="E208" s="49">
        <v>1269766</v>
      </c>
      <c r="F208" s="49">
        <v>20290</v>
      </c>
      <c r="G208" s="49">
        <v>20290</v>
      </c>
      <c r="H208" s="49">
        <v>20290</v>
      </c>
      <c r="I208" s="49"/>
      <c r="J208" s="49">
        <v>11.61</v>
      </c>
      <c r="K208" s="49">
        <v>12.07220248</v>
      </c>
      <c r="L208" s="49">
        <v>12.5550905792</v>
      </c>
      <c r="M208" s="49">
        <v>13.057294202368</v>
      </c>
      <c r="N208" s="49"/>
      <c r="O208" s="49">
        <v>14739.3</v>
      </c>
      <c r="P208" s="49">
        <v>244.9</v>
      </c>
      <c r="Q208" s="49">
        <v>254.7</v>
      </c>
      <c r="R208" s="49">
        <v>264.9</v>
      </c>
    </row>
    <row r="209" spans="1:18" ht="75" hidden="1">
      <c r="A209" s="12">
        <v>14</v>
      </c>
      <c r="B209" s="41" t="s">
        <v>232</v>
      </c>
      <c r="C209" s="12" t="s">
        <v>218</v>
      </c>
      <c r="D209" s="49"/>
      <c r="E209" s="49">
        <v>1269766</v>
      </c>
      <c r="F209" s="49">
        <v>20290</v>
      </c>
      <c r="G209" s="49">
        <v>20290</v>
      </c>
      <c r="H209" s="49">
        <v>20290</v>
      </c>
      <c r="I209" s="49"/>
      <c r="J209" s="49">
        <v>11.61</v>
      </c>
      <c r="K209" s="49">
        <v>12.07220248</v>
      </c>
      <c r="L209" s="49">
        <v>12.5550905792</v>
      </c>
      <c r="M209" s="49">
        <v>13.057294202368</v>
      </c>
      <c r="N209" s="49"/>
      <c r="O209" s="49">
        <v>14739.3</v>
      </c>
      <c r="P209" s="49">
        <v>244.9</v>
      </c>
      <c r="Q209" s="49">
        <v>254.7</v>
      </c>
      <c r="R209" s="49">
        <v>264.9</v>
      </c>
    </row>
    <row r="210" spans="1:18" ht="45" hidden="1">
      <c r="A210" s="12">
        <v>15</v>
      </c>
      <c r="B210" s="41" t="s">
        <v>233</v>
      </c>
      <c r="C210" s="12" t="s">
        <v>218</v>
      </c>
      <c r="D210" s="49">
        <v>1372975</v>
      </c>
      <c r="E210" s="49">
        <v>20290</v>
      </c>
      <c r="F210" s="49">
        <v>1650000</v>
      </c>
      <c r="G210" s="49">
        <v>1650000</v>
      </c>
      <c r="H210" s="49">
        <v>1650000</v>
      </c>
      <c r="I210" s="49"/>
      <c r="J210" s="49">
        <v>2.45</v>
      </c>
      <c r="K210" s="49">
        <v>2.54714304</v>
      </c>
      <c r="L210" s="49">
        <v>2.6490287616</v>
      </c>
      <c r="M210" s="49">
        <v>2.754989912064</v>
      </c>
      <c r="N210" s="49"/>
      <c r="O210" s="49">
        <v>49.7</v>
      </c>
      <c r="P210" s="49">
        <v>4202.8</v>
      </c>
      <c r="Q210" s="49">
        <v>4370.9</v>
      </c>
      <c r="R210" s="49">
        <v>4545.7</v>
      </c>
    </row>
    <row r="211" spans="1:18" ht="45" hidden="1">
      <c r="A211" s="1">
        <v>16</v>
      </c>
      <c r="B211" s="33" t="s">
        <v>234</v>
      </c>
      <c r="C211" s="12" t="s">
        <v>227</v>
      </c>
      <c r="D211" s="49">
        <v>1024</v>
      </c>
      <c r="E211" s="49">
        <v>36.74</v>
      </c>
      <c r="F211" s="49">
        <v>35</v>
      </c>
      <c r="G211" s="49">
        <v>35</v>
      </c>
      <c r="H211" s="49">
        <v>35</v>
      </c>
      <c r="I211" s="49"/>
      <c r="J211" s="49">
        <v>111001.72</v>
      </c>
      <c r="K211" s="49">
        <v>115441.78464</v>
      </c>
      <c r="L211" s="49">
        <v>120059.4560256</v>
      </c>
      <c r="M211" s="49">
        <v>124861.834266624</v>
      </c>
      <c r="N211" s="49"/>
      <c r="O211" s="49">
        <v>4078.2</v>
      </c>
      <c r="P211" s="49">
        <v>4040.5</v>
      </c>
      <c r="Q211" s="49">
        <v>4202.2</v>
      </c>
      <c r="R211" s="49">
        <v>4370.3</v>
      </c>
    </row>
    <row r="212" spans="1:18" ht="75" hidden="1">
      <c r="A212" s="1">
        <v>17</v>
      </c>
      <c r="B212" s="33" t="s">
        <v>235</v>
      </c>
      <c r="C212" s="16"/>
      <c r="D212" s="49"/>
      <c r="E212" s="49"/>
      <c r="F212" s="49">
        <v>90000</v>
      </c>
      <c r="G212" s="49">
        <v>90000</v>
      </c>
      <c r="H212" s="49">
        <v>90000</v>
      </c>
      <c r="I212" s="49"/>
      <c r="J212" s="49"/>
      <c r="K212" s="49">
        <v>145.664</v>
      </c>
      <c r="L212" s="49">
        <v>151.49056</v>
      </c>
      <c r="M212" s="49">
        <v>157.5501824</v>
      </c>
      <c r="N212" s="49"/>
      <c r="O212" s="49"/>
      <c r="P212" s="49">
        <v>13109.8</v>
      </c>
      <c r="Q212" s="49">
        <v>13634.2</v>
      </c>
      <c r="R212" s="49">
        <v>14179.5</v>
      </c>
    </row>
    <row r="213" spans="1:18" ht="75" hidden="1">
      <c r="A213" s="1">
        <v>18</v>
      </c>
      <c r="B213" s="33" t="s">
        <v>236</v>
      </c>
      <c r="C213" s="16"/>
      <c r="D213" s="49"/>
      <c r="E213" s="49"/>
      <c r="F213" s="49">
        <v>90000</v>
      </c>
      <c r="G213" s="49">
        <v>90000</v>
      </c>
      <c r="H213" s="49">
        <v>90000</v>
      </c>
      <c r="I213" s="49"/>
      <c r="J213" s="49"/>
      <c r="K213" s="49">
        <v>145.664</v>
      </c>
      <c r="L213" s="49">
        <v>151.49056</v>
      </c>
      <c r="M213" s="49">
        <v>157.5501824</v>
      </c>
      <c r="N213" s="49"/>
      <c r="O213" s="49"/>
      <c r="P213" s="49">
        <v>13109.8</v>
      </c>
      <c r="Q213" s="49">
        <v>13634.2</v>
      </c>
      <c r="R213" s="49">
        <v>14179.5</v>
      </c>
    </row>
    <row r="214" spans="1:18" ht="45" hidden="1">
      <c r="A214" s="1">
        <v>19</v>
      </c>
      <c r="B214" s="33" t="s">
        <v>237</v>
      </c>
      <c r="C214" s="12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>
        <v>50.5</v>
      </c>
      <c r="P214" s="49">
        <v>50.5</v>
      </c>
      <c r="Q214" s="49">
        <v>50.5</v>
      </c>
      <c r="R214" s="49">
        <v>50.5</v>
      </c>
    </row>
    <row r="215" spans="1:18" ht="15" hidden="1">
      <c r="A215" s="9"/>
      <c r="B215" s="10" t="s">
        <v>0</v>
      </c>
      <c r="C215" s="3"/>
      <c r="D215" s="17" t="s">
        <v>8</v>
      </c>
      <c r="E215" s="17" t="s">
        <v>8</v>
      </c>
      <c r="F215" s="17" t="s">
        <v>8</v>
      </c>
      <c r="G215" s="17" t="s">
        <v>8</v>
      </c>
      <c r="H215" s="17" t="s">
        <v>8</v>
      </c>
      <c r="I215" s="17" t="s">
        <v>8</v>
      </c>
      <c r="J215" s="17" t="s">
        <v>8</v>
      </c>
      <c r="K215" s="17" t="s">
        <v>8</v>
      </c>
      <c r="L215" s="17" t="s">
        <v>8</v>
      </c>
      <c r="M215" s="17" t="s">
        <v>8</v>
      </c>
      <c r="N215" s="50">
        <v>38189</v>
      </c>
      <c r="O215" s="50">
        <v>47373.8</v>
      </c>
      <c r="P215" s="50">
        <v>49268.8</v>
      </c>
      <c r="Q215" s="50">
        <v>51237.5</v>
      </c>
      <c r="R215" s="50">
        <v>53285</v>
      </c>
    </row>
    <row r="216" spans="1:18" ht="15" hidden="1">
      <c r="A216" s="138" t="s">
        <v>238</v>
      </c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</row>
    <row r="217" spans="1:18" ht="90" hidden="1">
      <c r="A217" s="40"/>
      <c r="B217" s="33" t="s">
        <v>239</v>
      </c>
      <c r="C217" s="3"/>
      <c r="D217" s="49"/>
      <c r="E217" s="49"/>
      <c r="F217" s="49"/>
      <c r="G217" s="49"/>
      <c r="H217" s="49"/>
      <c r="I217" s="49" t="s">
        <v>58</v>
      </c>
      <c r="J217" s="49" t="s">
        <v>58</v>
      </c>
      <c r="K217" s="49" t="s">
        <v>58</v>
      </c>
      <c r="L217" s="49" t="s">
        <v>58</v>
      </c>
      <c r="M217" s="49" t="s">
        <v>58</v>
      </c>
      <c r="N217" s="49">
        <v>27047.4</v>
      </c>
      <c r="O217" s="49">
        <v>40554.9</v>
      </c>
      <c r="P217" s="49">
        <v>46303</v>
      </c>
      <c r="Q217" s="49">
        <v>48198.8</v>
      </c>
      <c r="R217" s="49">
        <v>50169</v>
      </c>
    </row>
    <row r="218" spans="1:18" ht="15" hidden="1">
      <c r="A218" s="1">
        <v>1</v>
      </c>
      <c r="B218" s="39" t="s">
        <v>240</v>
      </c>
      <c r="C218" s="1" t="s">
        <v>57</v>
      </c>
      <c r="D218" s="49">
        <v>41109</v>
      </c>
      <c r="E218" s="49">
        <v>30000</v>
      </c>
      <c r="F218" s="49">
        <v>30000</v>
      </c>
      <c r="G218" s="49">
        <v>30000</v>
      </c>
      <c r="H218" s="49">
        <v>30000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5" hidden="1">
      <c r="A219" s="1">
        <v>2</v>
      </c>
      <c r="B219" s="39" t="s">
        <v>241</v>
      </c>
      <c r="C219" s="1" t="s">
        <v>57</v>
      </c>
      <c r="D219" s="49">
        <v>8</v>
      </c>
      <c r="E219" s="49">
        <v>8</v>
      </c>
      <c r="F219" s="49">
        <v>8</v>
      </c>
      <c r="G219" s="49">
        <v>8</v>
      </c>
      <c r="H219" s="49">
        <v>8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s="2" customFormat="1" ht="15" hidden="1">
      <c r="A220" s="1">
        <v>3</v>
      </c>
      <c r="B220" s="39" t="s">
        <v>242</v>
      </c>
      <c r="C220" s="1" t="s">
        <v>57</v>
      </c>
      <c r="D220" s="49">
        <v>5</v>
      </c>
      <c r="E220" s="49">
        <v>5</v>
      </c>
      <c r="F220" s="49">
        <v>5</v>
      </c>
      <c r="G220" s="49">
        <v>5</v>
      </c>
      <c r="H220" s="49">
        <v>5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5" hidden="1">
      <c r="A221" s="9"/>
      <c r="B221" s="10" t="s">
        <v>0</v>
      </c>
      <c r="C221" s="3"/>
      <c r="D221" s="18" t="s">
        <v>8</v>
      </c>
      <c r="E221" s="18" t="s">
        <v>8</v>
      </c>
      <c r="F221" s="18" t="s">
        <v>8</v>
      </c>
      <c r="G221" s="18" t="s">
        <v>8</v>
      </c>
      <c r="H221" s="18" t="s">
        <v>8</v>
      </c>
      <c r="I221" s="18" t="s">
        <v>8</v>
      </c>
      <c r="J221" s="18" t="s">
        <v>8</v>
      </c>
      <c r="K221" s="18" t="s">
        <v>8</v>
      </c>
      <c r="L221" s="18" t="s">
        <v>8</v>
      </c>
      <c r="M221" s="18" t="s">
        <v>8</v>
      </c>
      <c r="N221" s="50">
        <v>27047.4</v>
      </c>
      <c r="O221" s="50">
        <v>40554.9</v>
      </c>
      <c r="P221" s="50">
        <v>46303</v>
      </c>
      <c r="Q221" s="50">
        <v>48198.8</v>
      </c>
      <c r="R221" s="50">
        <v>50169</v>
      </c>
    </row>
    <row r="222" spans="1:18" ht="15" hidden="1">
      <c r="A222" s="138" t="s">
        <v>268</v>
      </c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7"/>
    </row>
    <row r="223" spans="1:18" ht="45" hidden="1">
      <c r="A223" s="1">
        <v>1</v>
      </c>
      <c r="B223" s="34" t="s">
        <v>185</v>
      </c>
      <c r="C223" s="1" t="s">
        <v>14</v>
      </c>
      <c r="D223" s="49">
        <v>1311</v>
      </c>
      <c r="E223" s="49">
        <v>1357</v>
      </c>
      <c r="F223" s="49">
        <v>1244</v>
      </c>
      <c r="G223" s="49">
        <v>1244</v>
      </c>
      <c r="H223" s="49">
        <v>1244</v>
      </c>
      <c r="I223" s="49">
        <v>16394.69</v>
      </c>
      <c r="J223" s="49">
        <v>17252.67</v>
      </c>
      <c r="K223" s="49">
        <v>18459.34</v>
      </c>
      <c r="L223" s="49">
        <v>18459.34</v>
      </c>
      <c r="M223" s="49">
        <v>18459.34</v>
      </c>
      <c r="N223" s="49">
        <v>21436.487</v>
      </c>
      <c r="O223" s="49">
        <f>23412.3+56</f>
        <v>23468.3</v>
      </c>
      <c r="P223" s="49">
        <v>22960.83</v>
      </c>
      <c r="Q223" s="49">
        <v>22960.83</v>
      </c>
      <c r="R223" s="49">
        <v>22960.83</v>
      </c>
    </row>
    <row r="224" spans="1:18" ht="45" hidden="1">
      <c r="A224" s="1">
        <v>2</v>
      </c>
      <c r="B224" s="35" t="s">
        <v>186</v>
      </c>
      <c r="C224" s="1" t="s">
        <v>14</v>
      </c>
      <c r="D224" s="49">
        <v>190</v>
      </c>
      <c r="E224" s="49">
        <v>190</v>
      </c>
      <c r="F224" s="49">
        <v>214</v>
      </c>
      <c r="G224" s="49">
        <v>214</v>
      </c>
      <c r="H224" s="49">
        <v>214</v>
      </c>
      <c r="I224" s="49">
        <v>3696.04</v>
      </c>
      <c r="J224" s="49">
        <v>3696.04</v>
      </c>
      <c r="K224" s="49">
        <v>3281.66</v>
      </c>
      <c r="L224" s="49">
        <v>3281.66</v>
      </c>
      <c r="M224" s="49">
        <v>3281.66</v>
      </c>
      <c r="N224" s="49">
        <v>703.18</v>
      </c>
      <c r="O224" s="49">
        <v>703.18</v>
      </c>
      <c r="P224" s="49">
        <v>703.32</v>
      </c>
      <c r="Q224" s="49">
        <v>703.32</v>
      </c>
      <c r="R224" s="49">
        <v>703.32</v>
      </c>
    </row>
    <row r="225" spans="1:18" ht="60" hidden="1">
      <c r="A225" s="1">
        <v>3</v>
      </c>
      <c r="B225" s="35" t="s">
        <v>187</v>
      </c>
      <c r="C225" s="1" t="s">
        <v>14</v>
      </c>
      <c r="D225" s="49" t="s">
        <v>58</v>
      </c>
      <c r="E225" s="49">
        <v>488</v>
      </c>
      <c r="F225" s="49">
        <v>413</v>
      </c>
      <c r="G225" s="49">
        <v>413</v>
      </c>
      <c r="H225" s="49">
        <v>413</v>
      </c>
      <c r="I225" s="49" t="s">
        <v>58</v>
      </c>
      <c r="J225" s="49">
        <v>41278.71</v>
      </c>
      <c r="K225" s="49">
        <v>43325.65</v>
      </c>
      <c r="L225" s="49">
        <v>43325.65</v>
      </c>
      <c r="M225" s="49">
        <v>43325.65</v>
      </c>
      <c r="N225" s="49" t="s">
        <v>58</v>
      </c>
      <c r="O225" s="49">
        <v>20154.07</v>
      </c>
      <c r="P225" s="49">
        <v>17890.52</v>
      </c>
      <c r="Q225" s="49">
        <v>17890.52</v>
      </c>
      <c r="R225" s="49">
        <v>17890.52</v>
      </c>
    </row>
    <row r="226" spans="1:18" ht="30" hidden="1">
      <c r="A226" s="1">
        <v>4</v>
      </c>
      <c r="B226" s="35" t="s">
        <v>188</v>
      </c>
      <c r="C226" s="1" t="s">
        <v>189</v>
      </c>
      <c r="D226" s="49">
        <v>46289</v>
      </c>
      <c r="E226" s="49">
        <v>85240</v>
      </c>
      <c r="F226" s="49">
        <v>82707</v>
      </c>
      <c r="G226" s="49">
        <v>82707</v>
      </c>
      <c r="H226" s="49">
        <v>82707</v>
      </c>
      <c r="I226" s="49">
        <v>64.68</v>
      </c>
      <c r="J226" s="49">
        <v>68.07</v>
      </c>
      <c r="K226" s="49">
        <v>73.84</v>
      </c>
      <c r="L226" s="49">
        <v>73.84</v>
      </c>
      <c r="M226" s="49">
        <v>73.84</v>
      </c>
      <c r="N226" s="49">
        <v>1656.4</v>
      </c>
      <c r="O226" s="49">
        <v>5807.69</v>
      </c>
      <c r="P226" s="49">
        <v>6107.13</v>
      </c>
      <c r="Q226" s="49">
        <v>6107.13</v>
      </c>
      <c r="R226" s="49">
        <v>6107.13</v>
      </c>
    </row>
    <row r="227" spans="1:18" ht="120" hidden="1">
      <c r="A227" s="1">
        <v>5</v>
      </c>
      <c r="B227" s="35" t="s">
        <v>190</v>
      </c>
      <c r="C227" s="1" t="s">
        <v>14</v>
      </c>
      <c r="D227" s="49">
        <v>14510</v>
      </c>
      <c r="E227" s="49">
        <v>13530</v>
      </c>
      <c r="F227" s="49">
        <v>13784</v>
      </c>
      <c r="G227" s="49">
        <v>13784</v>
      </c>
      <c r="H227" s="49">
        <v>13784</v>
      </c>
      <c r="I227" s="49">
        <v>1080</v>
      </c>
      <c r="J227" s="49">
        <v>1080</v>
      </c>
      <c r="K227" s="49">
        <v>1085.61</v>
      </c>
      <c r="L227" s="49">
        <v>1085.61</v>
      </c>
      <c r="M227" s="49">
        <v>1085.61</v>
      </c>
      <c r="N227" s="49">
        <v>15670</v>
      </c>
      <c r="O227" s="49">
        <v>14612.4</v>
      </c>
      <c r="P227" s="49">
        <v>14963.64</v>
      </c>
      <c r="Q227" s="49">
        <v>14963.64</v>
      </c>
      <c r="R227" s="49">
        <v>14963.64</v>
      </c>
    </row>
    <row r="228" spans="1:18" ht="105" hidden="1">
      <c r="A228" s="1">
        <v>6</v>
      </c>
      <c r="B228" s="35" t="s">
        <v>191</v>
      </c>
      <c r="C228" s="1" t="s">
        <v>14</v>
      </c>
      <c r="D228" s="49">
        <v>670</v>
      </c>
      <c r="E228" s="49">
        <v>420</v>
      </c>
      <c r="F228" s="49">
        <v>685</v>
      </c>
      <c r="G228" s="49">
        <v>685</v>
      </c>
      <c r="H228" s="49">
        <v>685</v>
      </c>
      <c r="I228" s="49">
        <v>17333.33</v>
      </c>
      <c r="J228" s="49">
        <v>17333.33</v>
      </c>
      <c r="K228" s="49">
        <v>18459.34</v>
      </c>
      <c r="L228" s="49">
        <v>18459.34</v>
      </c>
      <c r="M228" s="49">
        <v>18459.34</v>
      </c>
      <c r="N228" s="49">
        <v>11613.331</v>
      </c>
      <c r="O228" s="49">
        <v>7293.644</v>
      </c>
      <c r="P228" s="49">
        <v>12641.31</v>
      </c>
      <c r="Q228" s="49">
        <v>12641.31</v>
      </c>
      <c r="R228" s="49">
        <v>12641.31</v>
      </c>
    </row>
    <row r="229" spans="1:18" ht="30" hidden="1">
      <c r="A229" s="1">
        <v>7</v>
      </c>
      <c r="B229" s="35" t="s">
        <v>192</v>
      </c>
      <c r="C229" s="1" t="s">
        <v>14</v>
      </c>
      <c r="D229" s="49">
        <v>260</v>
      </c>
      <c r="E229" s="49">
        <v>180</v>
      </c>
      <c r="F229" s="49">
        <v>195</v>
      </c>
      <c r="G229" s="49">
        <v>195</v>
      </c>
      <c r="H229" s="49">
        <v>195</v>
      </c>
      <c r="I229" s="49">
        <v>5000</v>
      </c>
      <c r="J229" s="49">
        <v>5000</v>
      </c>
      <c r="K229" s="49">
        <v>5260.47</v>
      </c>
      <c r="L229" s="49">
        <v>5260.47</v>
      </c>
      <c r="M229" s="49">
        <v>5260.47</v>
      </c>
      <c r="N229" s="49">
        <v>1300</v>
      </c>
      <c r="O229" s="49">
        <v>900</v>
      </c>
      <c r="P229" s="49">
        <v>1026.44</v>
      </c>
      <c r="Q229" s="49">
        <v>1026.44</v>
      </c>
      <c r="R229" s="49">
        <v>1026.44</v>
      </c>
    </row>
    <row r="230" spans="1:18" ht="15" hidden="1">
      <c r="A230" s="1">
        <v>8</v>
      </c>
      <c r="B230" s="36" t="s">
        <v>249</v>
      </c>
      <c r="C230" s="1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60" hidden="1">
      <c r="A231" s="24" t="s">
        <v>243</v>
      </c>
      <c r="B231" s="35" t="s">
        <v>193</v>
      </c>
      <c r="C231" s="1" t="s">
        <v>57</v>
      </c>
      <c r="D231" s="49">
        <v>24</v>
      </c>
      <c r="E231" s="49">
        <v>24</v>
      </c>
      <c r="F231" s="49">
        <v>24</v>
      </c>
      <c r="G231" s="49">
        <v>24</v>
      </c>
      <c r="H231" s="49">
        <v>24</v>
      </c>
      <c r="I231" s="49"/>
      <c r="J231" s="49"/>
      <c r="K231" s="49"/>
      <c r="L231" s="49"/>
      <c r="M231" s="49"/>
      <c r="N231" s="49">
        <v>1090.14</v>
      </c>
      <c r="O231" s="49">
        <v>1090</v>
      </c>
      <c r="P231" s="49">
        <v>1090</v>
      </c>
      <c r="Q231" s="49">
        <v>1090</v>
      </c>
      <c r="R231" s="49">
        <v>1090</v>
      </c>
    </row>
    <row r="232" spans="1:18" ht="30" hidden="1">
      <c r="A232" s="13" t="s">
        <v>244</v>
      </c>
      <c r="B232" s="35" t="s">
        <v>194</v>
      </c>
      <c r="C232" s="1" t="s">
        <v>57</v>
      </c>
      <c r="D232" s="49">
        <v>1</v>
      </c>
      <c r="E232" s="49">
        <v>1</v>
      </c>
      <c r="F232" s="49">
        <v>1</v>
      </c>
      <c r="G232" s="49">
        <v>1</v>
      </c>
      <c r="H232" s="49">
        <v>1</v>
      </c>
      <c r="I232" s="49"/>
      <c r="J232" s="49"/>
      <c r="K232" s="49"/>
      <c r="L232" s="49"/>
      <c r="M232" s="49"/>
      <c r="N232" s="49">
        <v>800</v>
      </c>
      <c r="O232" s="49">
        <f>800+155.8</f>
        <v>955.8</v>
      </c>
      <c r="P232" s="49">
        <v>800</v>
      </c>
      <c r="Q232" s="49">
        <v>800</v>
      </c>
      <c r="R232" s="49">
        <v>800</v>
      </c>
    </row>
    <row r="233" spans="1:18" ht="90" hidden="1">
      <c r="A233" s="13" t="s">
        <v>245</v>
      </c>
      <c r="B233" s="37" t="s">
        <v>195</v>
      </c>
      <c r="C233" s="1" t="s">
        <v>57</v>
      </c>
      <c r="D233" s="49">
        <v>18</v>
      </c>
      <c r="E233" s="49">
        <v>18</v>
      </c>
      <c r="F233" s="49">
        <v>18</v>
      </c>
      <c r="G233" s="49">
        <v>18</v>
      </c>
      <c r="H233" s="49">
        <v>18</v>
      </c>
      <c r="I233" s="49"/>
      <c r="J233" s="49"/>
      <c r="K233" s="49"/>
      <c r="L233" s="49"/>
      <c r="M233" s="49"/>
      <c r="N233" s="49">
        <v>1000</v>
      </c>
      <c r="O233" s="49">
        <v>1000</v>
      </c>
      <c r="P233" s="49">
        <v>1000</v>
      </c>
      <c r="Q233" s="49">
        <v>1000</v>
      </c>
      <c r="R233" s="49">
        <v>1000</v>
      </c>
    </row>
    <row r="234" spans="1:18" ht="60" hidden="1">
      <c r="A234" s="13" t="s">
        <v>246</v>
      </c>
      <c r="B234" s="35" t="s">
        <v>196</v>
      </c>
      <c r="C234" s="1" t="s">
        <v>57</v>
      </c>
      <c r="D234" s="49">
        <v>1</v>
      </c>
      <c r="E234" s="49">
        <v>1</v>
      </c>
      <c r="F234" s="49">
        <v>1</v>
      </c>
      <c r="G234" s="49">
        <v>1</v>
      </c>
      <c r="H234" s="49">
        <v>1</v>
      </c>
      <c r="I234" s="49"/>
      <c r="J234" s="49"/>
      <c r="K234" s="49"/>
      <c r="L234" s="49"/>
      <c r="M234" s="49"/>
      <c r="N234" s="49">
        <v>100</v>
      </c>
      <c r="O234" s="49">
        <v>200</v>
      </c>
      <c r="P234" s="49">
        <v>200</v>
      </c>
      <c r="Q234" s="49">
        <v>200</v>
      </c>
      <c r="R234" s="49">
        <v>200</v>
      </c>
    </row>
    <row r="235" spans="1:18" ht="45" hidden="1">
      <c r="A235" s="13" t="s">
        <v>247</v>
      </c>
      <c r="B235" s="35" t="s">
        <v>197</v>
      </c>
      <c r="C235" s="1" t="s">
        <v>57</v>
      </c>
      <c r="D235" s="49">
        <v>1</v>
      </c>
      <c r="E235" s="49">
        <v>1</v>
      </c>
      <c r="F235" s="49">
        <v>1</v>
      </c>
      <c r="G235" s="49">
        <v>1</v>
      </c>
      <c r="H235" s="49">
        <v>1</v>
      </c>
      <c r="I235" s="49"/>
      <c r="J235" s="49"/>
      <c r="K235" s="49"/>
      <c r="L235" s="49"/>
      <c r="M235" s="49"/>
      <c r="N235" s="49">
        <v>200</v>
      </c>
      <c r="O235" s="49">
        <v>200</v>
      </c>
      <c r="P235" s="49">
        <v>200</v>
      </c>
      <c r="Q235" s="49">
        <v>200</v>
      </c>
      <c r="R235" s="49">
        <v>200</v>
      </c>
    </row>
    <row r="236" spans="1:18" ht="30" hidden="1">
      <c r="A236" s="13" t="s">
        <v>248</v>
      </c>
      <c r="B236" s="38" t="s">
        <v>198</v>
      </c>
      <c r="C236" s="1" t="s">
        <v>57</v>
      </c>
      <c r="D236" s="49">
        <v>1</v>
      </c>
      <c r="E236" s="49">
        <v>1</v>
      </c>
      <c r="F236" s="49">
        <v>1</v>
      </c>
      <c r="G236" s="49">
        <v>1</v>
      </c>
      <c r="H236" s="49">
        <v>1</v>
      </c>
      <c r="I236" s="49"/>
      <c r="J236" s="49"/>
      <c r="K236" s="49"/>
      <c r="L236" s="49"/>
      <c r="M236" s="49"/>
      <c r="N236" s="49">
        <v>200</v>
      </c>
      <c r="O236" s="49">
        <v>200</v>
      </c>
      <c r="P236" s="49">
        <v>200</v>
      </c>
      <c r="Q236" s="49">
        <v>200</v>
      </c>
      <c r="R236" s="49">
        <v>200</v>
      </c>
    </row>
    <row r="237" spans="1:18" ht="45" hidden="1">
      <c r="A237" s="1">
        <v>9</v>
      </c>
      <c r="B237" s="35" t="s">
        <v>199</v>
      </c>
      <c r="C237" s="1" t="s">
        <v>200</v>
      </c>
      <c r="D237" s="49">
        <v>82</v>
      </c>
      <c r="E237" s="49">
        <v>1122</v>
      </c>
      <c r="F237" s="49">
        <v>2604</v>
      </c>
      <c r="G237" s="49">
        <v>2601</v>
      </c>
      <c r="H237" s="49">
        <v>2597</v>
      </c>
      <c r="I237" s="49"/>
      <c r="J237" s="49"/>
      <c r="K237" s="49"/>
      <c r="L237" s="49"/>
      <c r="M237" s="49"/>
      <c r="N237" s="49">
        <v>45.1</v>
      </c>
      <c r="O237" s="49">
        <f>1260+190</f>
        <v>1450</v>
      </c>
      <c r="P237" s="49">
        <f>3906+197</f>
        <v>4103</v>
      </c>
      <c r="Q237" s="49">
        <f>3901+202</f>
        <v>4103</v>
      </c>
      <c r="R237" s="49">
        <f>3896+207</f>
        <v>4103</v>
      </c>
    </row>
    <row r="238" spans="1:18" ht="60" hidden="1">
      <c r="A238" s="1">
        <v>10</v>
      </c>
      <c r="B238" s="35" t="s">
        <v>201</v>
      </c>
      <c r="C238" s="1" t="s">
        <v>202</v>
      </c>
      <c r="D238" s="49">
        <v>17</v>
      </c>
      <c r="E238" s="49">
        <v>20</v>
      </c>
      <c r="F238" s="49">
        <v>270</v>
      </c>
      <c r="G238" s="49">
        <v>270</v>
      </c>
      <c r="H238" s="49">
        <v>270</v>
      </c>
      <c r="I238" s="49"/>
      <c r="J238" s="49"/>
      <c r="K238" s="49"/>
      <c r="L238" s="49"/>
      <c r="M238" s="49"/>
      <c r="N238" s="49">
        <v>54.4</v>
      </c>
      <c r="O238" s="49">
        <v>70</v>
      </c>
      <c r="P238" s="49">
        <v>945</v>
      </c>
      <c r="Q238" s="49">
        <v>945</v>
      </c>
      <c r="R238" s="49">
        <v>945</v>
      </c>
    </row>
    <row r="239" spans="1:18" s="2" customFormat="1" ht="15" hidden="1">
      <c r="A239" s="9"/>
      <c r="B239" s="10" t="s">
        <v>0</v>
      </c>
      <c r="C239" s="3"/>
      <c r="D239" s="11" t="s">
        <v>8</v>
      </c>
      <c r="E239" s="11" t="s">
        <v>8</v>
      </c>
      <c r="F239" s="11" t="s">
        <v>8</v>
      </c>
      <c r="G239" s="11" t="s">
        <v>8</v>
      </c>
      <c r="H239" s="11" t="s">
        <v>8</v>
      </c>
      <c r="I239" s="11" t="s">
        <v>8</v>
      </c>
      <c r="J239" s="11" t="s">
        <v>8</v>
      </c>
      <c r="K239" s="11" t="s">
        <v>8</v>
      </c>
      <c r="L239" s="11" t="s">
        <v>8</v>
      </c>
      <c r="M239" s="11" t="s">
        <v>8</v>
      </c>
      <c r="N239" s="50">
        <f>SUM(N223:N238)</f>
        <v>55869.038</v>
      </c>
      <c r="O239" s="50">
        <f>SUM(O223:O238)</f>
        <v>78105.08400000002</v>
      </c>
      <c r="P239" s="50">
        <f>SUM(P223:P238)</f>
        <v>84831.19</v>
      </c>
      <c r="Q239" s="50">
        <f>SUM(Q223:Q238)</f>
        <v>84831.19</v>
      </c>
      <c r="R239" s="50">
        <f>SUM(R223:R238)</f>
        <v>84831.19</v>
      </c>
    </row>
    <row r="240" spans="1:18" s="2" customFormat="1" ht="15" customHeight="1">
      <c r="A240" s="138" t="s">
        <v>250</v>
      </c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</row>
    <row r="241" spans="1:18" s="2" customFormat="1" ht="60">
      <c r="A241" s="1">
        <v>1</v>
      </c>
      <c r="B241" s="32" t="s">
        <v>251</v>
      </c>
      <c r="C241" s="3" t="s">
        <v>14</v>
      </c>
      <c r="D241" s="49">
        <v>3804</v>
      </c>
      <c r="E241" s="49">
        <v>3735</v>
      </c>
      <c r="F241" s="49">
        <v>3725</v>
      </c>
      <c r="G241" s="49">
        <v>3745</v>
      </c>
      <c r="H241" s="49">
        <v>3745</v>
      </c>
      <c r="I241" s="49">
        <v>477251.91</v>
      </c>
      <c r="J241" s="49">
        <v>496341.99</v>
      </c>
      <c r="K241" s="49"/>
      <c r="L241" s="49"/>
      <c r="M241" s="49"/>
      <c r="N241" s="49">
        <v>1670437.08</v>
      </c>
      <c r="O241" s="49">
        <v>1747725.58</v>
      </c>
      <c r="P241" s="49">
        <v>1796815.69</v>
      </c>
      <c r="Q241" s="49">
        <v>1856367.49</v>
      </c>
      <c r="R241" s="49">
        <v>1909640.79</v>
      </c>
    </row>
    <row r="242" spans="1:18" s="2" customFormat="1" ht="105">
      <c r="A242" s="1">
        <v>2</v>
      </c>
      <c r="B242" s="32" t="s">
        <v>252</v>
      </c>
      <c r="C242" s="1" t="s">
        <v>14</v>
      </c>
      <c r="D242" s="49">
        <v>11606</v>
      </c>
      <c r="E242" s="49">
        <v>9824</v>
      </c>
      <c r="F242" s="49">
        <v>9939</v>
      </c>
      <c r="G242" s="49">
        <v>9956</v>
      </c>
      <c r="H242" s="49">
        <v>9976</v>
      </c>
      <c r="I242" s="49">
        <v>778606.57</v>
      </c>
      <c r="J242" s="49">
        <v>814861.63</v>
      </c>
      <c r="K242" s="49"/>
      <c r="L242" s="49"/>
      <c r="M242" s="49"/>
      <c r="N242" s="49">
        <v>675699.31</v>
      </c>
      <c r="O242" s="49">
        <v>1279004.54</v>
      </c>
      <c r="P242" s="49">
        <v>1430170.75</v>
      </c>
      <c r="Q242" s="49">
        <v>1543026.67</v>
      </c>
      <c r="R242" s="49">
        <v>1624176.19</v>
      </c>
    </row>
    <row r="243" spans="1:18" s="2" customFormat="1" ht="15" customHeight="1">
      <c r="A243" s="31"/>
      <c r="B243" s="31" t="s">
        <v>0</v>
      </c>
      <c r="C243" s="29" t="s">
        <v>8</v>
      </c>
      <c r="D243" s="29" t="s">
        <v>8</v>
      </c>
      <c r="E243" s="29" t="s">
        <v>8</v>
      </c>
      <c r="F243" s="29" t="s">
        <v>8</v>
      </c>
      <c r="G243" s="29" t="s">
        <v>8</v>
      </c>
      <c r="H243" s="29" t="s">
        <v>8</v>
      </c>
      <c r="I243" s="29" t="s">
        <v>8</v>
      </c>
      <c r="J243" s="29" t="s">
        <v>8</v>
      </c>
      <c r="K243" s="29" t="s">
        <v>8</v>
      </c>
      <c r="L243" s="29" t="s">
        <v>8</v>
      </c>
      <c r="M243" s="29" t="s">
        <v>8</v>
      </c>
      <c r="N243" s="50">
        <f>SUM(N241:N242)</f>
        <v>2346136.39</v>
      </c>
      <c r="O243" s="50">
        <f>SUM(O241:O242)</f>
        <v>3026730.12</v>
      </c>
      <c r="P243" s="50">
        <f>SUM(P241:P242)</f>
        <v>3226986.44</v>
      </c>
      <c r="Q243" s="50">
        <f>SUM(Q241:Q242)</f>
        <v>3399394.16</v>
      </c>
      <c r="R243" s="50">
        <f>SUM(R241:R242)</f>
        <v>3533816.98</v>
      </c>
    </row>
  </sheetData>
  <sheetProtection/>
  <mergeCells count="23">
    <mergeCell ref="D2:H2"/>
    <mergeCell ref="A106:R106"/>
    <mergeCell ref="N2:R2"/>
    <mergeCell ref="A5:R5"/>
    <mergeCell ref="A49:R49"/>
    <mergeCell ref="A55:R55"/>
    <mergeCell ref="A173:R173"/>
    <mergeCell ref="A180:R180"/>
    <mergeCell ref="A222:R222"/>
    <mergeCell ref="A195:R195"/>
    <mergeCell ref="A118:R118"/>
    <mergeCell ref="B44:B45"/>
    <mergeCell ref="A44:A45"/>
    <mergeCell ref="A240:R240"/>
    <mergeCell ref="A1:R1"/>
    <mergeCell ref="A2:A3"/>
    <mergeCell ref="B2:B3"/>
    <mergeCell ref="C2:C3"/>
    <mergeCell ref="I2:M2"/>
    <mergeCell ref="A89:R89"/>
    <mergeCell ref="A216:R216"/>
    <mergeCell ref="A123:R123"/>
    <mergeCell ref="A126:R12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9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1" sqref="S11"/>
    </sheetView>
  </sheetViews>
  <sheetFormatPr defaultColWidth="9.140625" defaultRowHeight="15"/>
  <cols>
    <col min="1" max="1" width="7.7109375" style="27" customWidth="1"/>
    <col min="2" max="2" width="46.140625" style="55" customWidth="1"/>
    <col min="3" max="3" width="19.00390625" style="27" bestFit="1" customWidth="1"/>
    <col min="4" max="4" width="16.421875" style="4" customWidth="1"/>
    <col min="5" max="5" width="15.57421875" style="4" customWidth="1"/>
    <col min="6" max="6" width="14.7109375" style="4" customWidth="1"/>
    <col min="7" max="7" width="14.00390625" style="4" customWidth="1"/>
    <col min="8" max="8" width="14.28125" style="4" customWidth="1"/>
    <col min="9" max="9" width="14.140625" style="4" hidden="1" customWidth="1"/>
    <col min="10" max="10" width="15.140625" style="4" hidden="1" customWidth="1"/>
    <col min="11" max="12" width="15.57421875" style="4" hidden="1" customWidth="1"/>
    <col min="13" max="13" width="15.140625" style="4" hidden="1" customWidth="1"/>
    <col min="14" max="14" width="19.7109375" style="4" customWidth="1"/>
    <col min="15" max="15" width="18.28125" style="4" customWidth="1"/>
    <col min="16" max="18" width="18.00390625" style="4" bestFit="1" customWidth="1"/>
    <col min="19" max="19" width="14.00390625" style="4" customWidth="1"/>
    <col min="20" max="20" width="28.140625" style="4" customWidth="1"/>
    <col min="21" max="21" width="19.00390625" style="4" customWidth="1"/>
    <col min="22" max="22" width="17.28125" style="4" customWidth="1"/>
    <col min="23" max="23" width="11.8515625" style="4" customWidth="1"/>
    <col min="24" max="24" width="12.28125" style="4" customWidth="1"/>
    <col min="25" max="25" width="12.7109375" style="4" customWidth="1"/>
    <col min="26" max="16384" width="9.140625" style="4" customWidth="1"/>
  </cols>
  <sheetData>
    <row r="1" spans="15:18" ht="18.75" customHeight="1">
      <c r="O1" s="163" t="s">
        <v>402</v>
      </c>
      <c r="P1" s="163"/>
      <c r="Q1" s="163"/>
      <c r="R1" s="163"/>
    </row>
    <row r="2" spans="1:18" s="2" customFormat="1" ht="60.75" customHeight="1">
      <c r="A2" s="139" t="s">
        <v>338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18" s="2" customFormat="1" ht="54" customHeight="1">
      <c r="A3" s="140" t="s">
        <v>1</v>
      </c>
      <c r="B3" s="153" t="s">
        <v>2</v>
      </c>
      <c r="C3" s="140" t="s">
        <v>3</v>
      </c>
      <c r="D3" s="140" t="s">
        <v>4</v>
      </c>
      <c r="E3" s="140"/>
      <c r="F3" s="140"/>
      <c r="G3" s="140"/>
      <c r="H3" s="140"/>
      <c r="I3" s="143" t="s">
        <v>59</v>
      </c>
      <c r="J3" s="144"/>
      <c r="K3" s="144"/>
      <c r="L3" s="144"/>
      <c r="M3" s="145"/>
      <c r="N3" s="140" t="s">
        <v>5</v>
      </c>
      <c r="O3" s="140"/>
      <c r="P3" s="140"/>
      <c r="Q3" s="140"/>
      <c r="R3" s="140"/>
    </row>
    <row r="4" spans="1:18" s="2" customFormat="1" ht="45">
      <c r="A4" s="140"/>
      <c r="B4" s="154"/>
      <c r="C4" s="140"/>
      <c r="D4" s="59" t="s">
        <v>339</v>
      </c>
      <c r="E4" s="59" t="s">
        <v>340</v>
      </c>
      <c r="F4" s="59" t="s">
        <v>11</v>
      </c>
      <c r="G4" s="59" t="s">
        <v>277</v>
      </c>
      <c r="H4" s="59" t="s">
        <v>341</v>
      </c>
      <c r="I4" s="59" t="s">
        <v>9</v>
      </c>
      <c r="J4" s="59" t="s">
        <v>10</v>
      </c>
      <c r="K4" s="59" t="s">
        <v>6</v>
      </c>
      <c r="L4" s="59" t="s">
        <v>7</v>
      </c>
      <c r="M4" s="59" t="s">
        <v>11</v>
      </c>
      <c r="N4" s="59" t="s">
        <v>339</v>
      </c>
      <c r="O4" s="59" t="s">
        <v>340</v>
      </c>
      <c r="P4" s="59" t="s">
        <v>11</v>
      </c>
      <c r="Q4" s="59" t="s">
        <v>277</v>
      </c>
      <c r="R4" s="59" t="s">
        <v>341</v>
      </c>
    </row>
    <row r="5" spans="1:18" s="2" customFormat="1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59">
        <v>14</v>
      </c>
      <c r="O5" s="59">
        <v>15</v>
      </c>
      <c r="P5" s="59">
        <v>16</v>
      </c>
      <c r="Q5" s="59">
        <v>17</v>
      </c>
      <c r="R5" s="59">
        <v>18</v>
      </c>
    </row>
    <row r="6" spans="1:18" s="2" customFormat="1" ht="15" customHeight="1">
      <c r="A6" s="138" t="s">
        <v>250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60">
      <c r="A7" s="1">
        <v>1</v>
      </c>
      <c r="B7" s="61" t="s">
        <v>251</v>
      </c>
      <c r="C7" s="1" t="s">
        <v>14</v>
      </c>
      <c r="D7" s="53">
        <v>3566</v>
      </c>
      <c r="E7" s="53">
        <v>3326</v>
      </c>
      <c r="F7" s="53">
        <v>3714</v>
      </c>
      <c r="G7" s="53">
        <v>3714</v>
      </c>
      <c r="H7" s="53">
        <v>3714</v>
      </c>
      <c r="I7" s="49"/>
      <c r="J7" s="49"/>
      <c r="K7" s="49"/>
      <c r="L7" s="49"/>
      <c r="M7" s="49"/>
      <c r="N7" s="62">
        <v>1910316.5</v>
      </c>
      <c r="O7" s="62">
        <v>2095226.64</v>
      </c>
      <c r="P7" s="62">
        <v>2164369</v>
      </c>
      <c r="Q7" s="62">
        <v>2225130.6</v>
      </c>
      <c r="R7" s="62">
        <v>2292052.9</v>
      </c>
    </row>
    <row r="8" spans="1:18" s="2" customFormat="1" ht="105">
      <c r="A8" s="1">
        <v>2</v>
      </c>
      <c r="B8" s="61" t="s">
        <v>252</v>
      </c>
      <c r="C8" s="1" t="s">
        <v>14</v>
      </c>
      <c r="D8" s="53">
        <v>8779</v>
      </c>
      <c r="E8" s="53">
        <v>8419</v>
      </c>
      <c r="F8" s="53">
        <v>9974</v>
      </c>
      <c r="G8" s="53">
        <v>10013</v>
      </c>
      <c r="H8" s="53">
        <v>10015</v>
      </c>
      <c r="I8" s="49"/>
      <c r="J8" s="49"/>
      <c r="K8" s="49"/>
      <c r="L8" s="49"/>
      <c r="M8" s="49"/>
      <c r="N8" s="62">
        <v>1381508.7</v>
      </c>
      <c r="O8" s="62">
        <v>1403561.04</v>
      </c>
      <c r="P8" s="62">
        <v>1447086</v>
      </c>
      <c r="Q8" s="62">
        <v>1489773.2</v>
      </c>
      <c r="R8" s="62">
        <v>1534466.4</v>
      </c>
    </row>
    <row r="9" spans="1:18" s="2" customFormat="1" ht="15" customHeight="1">
      <c r="A9" s="63"/>
      <c r="B9" s="64" t="s">
        <v>0</v>
      </c>
      <c r="C9" s="29" t="s">
        <v>8</v>
      </c>
      <c r="D9" s="29" t="s">
        <v>8</v>
      </c>
      <c r="E9" s="29" t="s">
        <v>8</v>
      </c>
      <c r="F9" s="29" t="s">
        <v>8</v>
      </c>
      <c r="G9" s="29" t="s">
        <v>8</v>
      </c>
      <c r="H9" s="29" t="s">
        <v>8</v>
      </c>
      <c r="I9" s="29" t="s">
        <v>8</v>
      </c>
      <c r="J9" s="29" t="s">
        <v>8</v>
      </c>
      <c r="K9" s="29" t="s">
        <v>8</v>
      </c>
      <c r="L9" s="29" t="s">
        <v>8</v>
      </c>
      <c r="M9" s="29" t="s">
        <v>8</v>
      </c>
      <c r="N9" s="65">
        <f>SUM(N7:N8)</f>
        <v>3291825.2</v>
      </c>
      <c r="O9" s="65">
        <f>SUM(O7:O8)</f>
        <v>3498787.6799999997</v>
      </c>
      <c r="P9" s="65">
        <f>SUM(P7:P8)</f>
        <v>3611455</v>
      </c>
      <c r="Q9" s="65">
        <f>SUM(Q7:Q8)</f>
        <v>3714903.8</v>
      </c>
      <c r="R9" s="65">
        <f>SUM(R7:R8)</f>
        <v>3826519.3</v>
      </c>
    </row>
    <row r="10" spans="1:18" ht="15">
      <c r="A10" s="138" t="s">
        <v>268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</row>
    <row r="11" spans="1:18" ht="45">
      <c r="A11" s="1" t="s">
        <v>278</v>
      </c>
      <c r="B11" s="66" t="s">
        <v>185</v>
      </c>
      <c r="C11" s="1" t="s">
        <v>14</v>
      </c>
      <c r="D11" s="67">
        <v>1214</v>
      </c>
      <c r="E11" s="67">
        <v>1325</v>
      </c>
      <c r="F11" s="67">
        <v>1018</v>
      </c>
      <c r="G11" s="67">
        <v>1018</v>
      </c>
      <c r="H11" s="67">
        <v>1018</v>
      </c>
      <c r="I11" s="53"/>
      <c r="J11" s="53"/>
      <c r="K11" s="53"/>
      <c r="L11" s="53"/>
      <c r="M11" s="53"/>
      <c r="N11" s="68">
        <v>22544.16206</v>
      </c>
      <c r="O11" s="69">
        <f>25409.283+200</f>
        <v>25609.283</v>
      </c>
      <c r="P11" s="69">
        <v>17456.705</v>
      </c>
      <c r="Q11" s="69">
        <v>17456.705</v>
      </c>
      <c r="R11" s="69">
        <v>17456.705</v>
      </c>
    </row>
    <row r="12" spans="1:18" ht="45">
      <c r="A12" s="1" t="s">
        <v>279</v>
      </c>
      <c r="B12" s="70" t="s">
        <v>186</v>
      </c>
      <c r="C12" s="1" t="s">
        <v>14</v>
      </c>
      <c r="D12" s="67">
        <v>215</v>
      </c>
      <c r="E12" s="67">
        <v>206.30301892548312</v>
      </c>
      <c r="F12" s="14" t="s">
        <v>58</v>
      </c>
      <c r="G12" s="14" t="s">
        <v>58</v>
      </c>
      <c r="H12" s="14" t="s">
        <v>58</v>
      </c>
      <c r="I12" s="53"/>
      <c r="J12" s="53"/>
      <c r="K12" s="53"/>
      <c r="L12" s="53"/>
      <c r="M12" s="53"/>
      <c r="N12" s="68">
        <v>703.328</v>
      </c>
      <c r="O12" s="68">
        <v>703.328</v>
      </c>
      <c r="P12" s="68" t="s">
        <v>58</v>
      </c>
      <c r="Q12" s="68" t="s">
        <v>58</v>
      </c>
      <c r="R12" s="68" t="s">
        <v>58</v>
      </c>
    </row>
    <row r="13" spans="1:18" ht="120">
      <c r="A13" s="1" t="s">
        <v>280</v>
      </c>
      <c r="B13" s="70" t="s">
        <v>281</v>
      </c>
      <c r="C13" s="1" t="s">
        <v>14</v>
      </c>
      <c r="D13" s="67">
        <v>305</v>
      </c>
      <c r="E13" s="14" t="s">
        <v>58</v>
      </c>
      <c r="F13" s="14" t="s">
        <v>58</v>
      </c>
      <c r="G13" s="14" t="s">
        <v>58</v>
      </c>
      <c r="H13" s="14" t="s">
        <v>58</v>
      </c>
      <c r="I13" s="53"/>
      <c r="J13" s="53"/>
      <c r="K13" s="53"/>
      <c r="L13" s="53"/>
      <c r="M13" s="53"/>
      <c r="N13" s="68">
        <v>10022.475</v>
      </c>
      <c r="O13" s="68" t="s">
        <v>58</v>
      </c>
      <c r="P13" s="68" t="s">
        <v>58</v>
      </c>
      <c r="Q13" s="68" t="s">
        <v>58</v>
      </c>
      <c r="R13" s="68" t="s">
        <v>58</v>
      </c>
    </row>
    <row r="14" spans="1:18" ht="150">
      <c r="A14" s="1" t="s">
        <v>282</v>
      </c>
      <c r="B14" s="70" t="s">
        <v>283</v>
      </c>
      <c r="C14" s="1" t="s">
        <v>14</v>
      </c>
      <c r="D14" s="67">
        <v>330</v>
      </c>
      <c r="E14" s="14" t="s">
        <v>58</v>
      </c>
      <c r="F14" s="14" t="s">
        <v>58</v>
      </c>
      <c r="G14" s="14" t="s">
        <v>58</v>
      </c>
      <c r="H14" s="14" t="s">
        <v>58</v>
      </c>
      <c r="I14" s="53"/>
      <c r="J14" s="53"/>
      <c r="K14" s="53"/>
      <c r="L14" s="53"/>
      <c r="M14" s="53"/>
      <c r="N14" s="68">
        <v>8395.44455</v>
      </c>
      <c r="O14" s="68" t="s">
        <v>58</v>
      </c>
      <c r="P14" s="68" t="s">
        <v>58</v>
      </c>
      <c r="Q14" s="68" t="s">
        <v>58</v>
      </c>
      <c r="R14" s="68" t="s">
        <v>58</v>
      </c>
    </row>
    <row r="15" spans="1:18" ht="90">
      <c r="A15" s="1" t="s">
        <v>284</v>
      </c>
      <c r="B15" s="70" t="s">
        <v>285</v>
      </c>
      <c r="C15" s="1" t="s">
        <v>14</v>
      </c>
      <c r="D15" s="67">
        <v>107</v>
      </c>
      <c r="E15" s="14" t="s">
        <v>58</v>
      </c>
      <c r="F15" s="14" t="s">
        <v>58</v>
      </c>
      <c r="G15" s="14" t="s">
        <v>58</v>
      </c>
      <c r="H15" s="14" t="s">
        <v>58</v>
      </c>
      <c r="I15" s="53"/>
      <c r="J15" s="53"/>
      <c r="K15" s="53"/>
      <c r="L15" s="53"/>
      <c r="M15" s="53"/>
      <c r="N15" s="68">
        <v>4253.2</v>
      </c>
      <c r="O15" s="68" t="s">
        <v>58</v>
      </c>
      <c r="P15" s="68" t="s">
        <v>58</v>
      </c>
      <c r="Q15" s="68" t="s">
        <v>58</v>
      </c>
      <c r="R15" s="68" t="s">
        <v>58</v>
      </c>
    </row>
    <row r="16" spans="1:18" ht="60">
      <c r="A16" s="1" t="s">
        <v>286</v>
      </c>
      <c r="B16" s="70" t="s">
        <v>287</v>
      </c>
      <c r="C16" s="1" t="s">
        <v>14</v>
      </c>
      <c r="D16" s="71" t="s">
        <v>58</v>
      </c>
      <c r="E16" s="53" t="s">
        <v>58</v>
      </c>
      <c r="F16" s="53" t="s">
        <v>58</v>
      </c>
      <c r="G16" s="53" t="s">
        <v>58</v>
      </c>
      <c r="H16" s="53" t="s">
        <v>58</v>
      </c>
      <c r="I16" s="53"/>
      <c r="J16" s="53"/>
      <c r="K16" s="53"/>
      <c r="L16" s="53"/>
      <c r="M16" s="53"/>
      <c r="N16" s="72" t="s">
        <v>58</v>
      </c>
      <c r="O16" s="72" t="s">
        <v>58</v>
      </c>
      <c r="P16" s="72" t="s">
        <v>58</v>
      </c>
      <c r="Q16" s="72" t="s">
        <v>58</v>
      </c>
      <c r="R16" s="72" t="s">
        <v>58</v>
      </c>
    </row>
    <row r="17" spans="1:18" ht="30">
      <c r="A17" s="1">
        <v>2</v>
      </c>
      <c r="B17" s="70" t="s">
        <v>188</v>
      </c>
      <c r="C17" s="1" t="s">
        <v>189</v>
      </c>
      <c r="D17" s="67">
        <v>47584</v>
      </c>
      <c r="E17" s="14">
        <v>18902</v>
      </c>
      <c r="F17" s="14">
        <v>36173</v>
      </c>
      <c r="G17" s="14">
        <v>36173</v>
      </c>
      <c r="H17" s="14">
        <v>36173</v>
      </c>
      <c r="I17" s="53"/>
      <c r="J17" s="53"/>
      <c r="K17" s="53"/>
      <c r="L17" s="53"/>
      <c r="M17" s="53"/>
      <c r="N17" s="68">
        <v>3511.045</v>
      </c>
      <c r="O17" s="69">
        <v>1450</v>
      </c>
      <c r="P17" s="69">
        <v>3100.01</v>
      </c>
      <c r="Q17" s="69">
        <v>3360.01</v>
      </c>
      <c r="R17" s="72" t="s">
        <v>58</v>
      </c>
    </row>
    <row r="18" spans="1:18" ht="120">
      <c r="A18" s="1">
        <v>3</v>
      </c>
      <c r="B18" s="70" t="s">
        <v>190</v>
      </c>
      <c r="C18" s="1" t="s">
        <v>14</v>
      </c>
      <c r="D18" s="67">
        <v>13784</v>
      </c>
      <c r="E18" s="14">
        <v>13785</v>
      </c>
      <c r="F18" s="14">
        <v>13780</v>
      </c>
      <c r="G18" s="14">
        <v>13780</v>
      </c>
      <c r="H18" s="14">
        <v>13780</v>
      </c>
      <c r="I18" s="53"/>
      <c r="J18" s="53"/>
      <c r="K18" s="53"/>
      <c r="L18" s="53"/>
      <c r="M18" s="53"/>
      <c r="N18" s="68">
        <v>14963.639</v>
      </c>
      <c r="O18" s="69">
        <v>15546.586</v>
      </c>
      <c r="P18" s="69">
        <v>16232.84</v>
      </c>
      <c r="Q18" s="69">
        <v>16232.84</v>
      </c>
      <c r="R18" s="69">
        <v>16232.84</v>
      </c>
    </row>
    <row r="19" spans="1:18" ht="105">
      <c r="A19" s="1">
        <v>4</v>
      </c>
      <c r="B19" s="70" t="s">
        <v>191</v>
      </c>
      <c r="C19" s="1" t="s">
        <v>14</v>
      </c>
      <c r="D19" s="67">
        <v>1208</v>
      </c>
      <c r="E19" s="14">
        <v>685</v>
      </c>
      <c r="F19" s="14">
        <v>684</v>
      </c>
      <c r="G19" s="14">
        <v>684</v>
      </c>
      <c r="H19" s="14">
        <v>684</v>
      </c>
      <c r="I19" s="53"/>
      <c r="J19" s="53"/>
      <c r="K19" s="53"/>
      <c r="L19" s="53"/>
      <c r="M19" s="53"/>
      <c r="N19" s="68">
        <v>21914.34107</v>
      </c>
      <c r="O19" s="69">
        <v>13135.93</v>
      </c>
      <c r="P19" s="69">
        <v>14660.514</v>
      </c>
      <c r="Q19" s="69">
        <v>14660.514</v>
      </c>
      <c r="R19" s="69">
        <v>14660.514</v>
      </c>
    </row>
    <row r="20" spans="1:18" ht="30">
      <c r="A20" s="1">
        <v>5</v>
      </c>
      <c r="B20" s="70" t="s">
        <v>192</v>
      </c>
      <c r="C20" s="1" t="s">
        <v>14</v>
      </c>
      <c r="D20" s="67">
        <v>956</v>
      </c>
      <c r="E20" s="14">
        <v>22</v>
      </c>
      <c r="F20" s="14" t="s">
        <v>58</v>
      </c>
      <c r="G20" s="14" t="s">
        <v>58</v>
      </c>
      <c r="H20" s="14" t="s">
        <v>58</v>
      </c>
      <c r="I20" s="53"/>
      <c r="J20" s="53"/>
      <c r="K20" s="53"/>
      <c r="L20" s="53"/>
      <c r="M20" s="53"/>
      <c r="N20" s="68">
        <v>5029.659</v>
      </c>
      <c r="O20" s="69">
        <v>122.1</v>
      </c>
      <c r="P20" s="68" t="s">
        <v>58</v>
      </c>
      <c r="Q20" s="68" t="s">
        <v>58</v>
      </c>
      <c r="R20" s="68" t="s">
        <v>58</v>
      </c>
    </row>
    <row r="21" spans="1:18" ht="30">
      <c r="A21" s="1">
        <v>6</v>
      </c>
      <c r="B21" s="66" t="s">
        <v>75</v>
      </c>
      <c r="C21" s="1" t="s">
        <v>189</v>
      </c>
      <c r="D21" s="67">
        <v>9170</v>
      </c>
      <c r="E21" s="14" t="s">
        <v>58</v>
      </c>
      <c r="F21" s="14" t="s">
        <v>58</v>
      </c>
      <c r="G21" s="14" t="s">
        <v>58</v>
      </c>
      <c r="H21" s="14" t="s">
        <v>58</v>
      </c>
      <c r="I21" s="53"/>
      <c r="J21" s="53"/>
      <c r="K21" s="53"/>
      <c r="L21" s="53"/>
      <c r="M21" s="53"/>
      <c r="N21" s="68">
        <v>677.113</v>
      </c>
      <c r="O21" s="68" t="s">
        <v>58</v>
      </c>
      <c r="P21" s="68" t="s">
        <v>58</v>
      </c>
      <c r="Q21" s="68" t="s">
        <v>58</v>
      </c>
      <c r="R21" s="68" t="s">
        <v>58</v>
      </c>
    </row>
    <row r="22" spans="1:18" ht="15">
      <c r="A22" s="1">
        <v>8</v>
      </c>
      <c r="B22" s="73" t="s">
        <v>249</v>
      </c>
      <c r="C22" s="1"/>
      <c r="D22" s="71"/>
      <c r="E22" s="53"/>
      <c r="F22" s="53"/>
      <c r="G22" s="53"/>
      <c r="H22" s="53"/>
      <c r="I22" s="53"/>
      <c r="J22" s="53"/>
      <c r="K22" s="53"/>
      <c r="L22" s="53"/>
      <c r="M22" s="53"/>
      <c r="N22" s="72"/>
      <c r="O22" s="72"/>
      <c r="P22" s="72"/>
      <c r="Q22" s="72"/>
      <c r="R22" s="72"/>
    </row>
    <row r="23" spans="1:18" ht="60">
      <c r="A23" s="1" t="s">
        <v>243</v>
      </c>
      <c r="B23" s="70" t="s">
        <v>193</v>
      </c>
      <c r="C23" s="1" t="s">
        <v>57</v>
      </c>
      <c r="D23" s="67">
        <v>20</v>
      </c>
      <c r="E23" s="14">
        <v>24</v>
      </c>
      <c r="F23" s="14" t="s">
        <v>58</v>
      </c>
      <c r="G23" s="14" t="s">
        <v>58</v>
      </c>
      <c r="H23" s="14" t="s">
        <v>58</v>
      </c>
      <c r="I23" s="53"/>
      <c r="J23" s="53"/>
      <c r="K23" s="53"/>
      <c r="L23" s="53"/>
      <c r="M23" s="53"/>
      <c r="N23" s="68">
        <v>908.452</v>
      </c>
      <c r="O23" s="68">
        <v>1090.14</v>
      </c>
      <c r="P23" s="68" t="s">
        <v>58</v>
      </c>
      <c r="Q23" s="68" t="s">
        <v>58</v>
      </c>
      <c r="R23" s="68" t="s">
        <v>58</v>
      </c>
    </row>
    <row r="24" spans="1:18" ht="30">
      <c r="A24" s="1" t="s">
        <v>244</v>
      </c>
      <c r="B24" s="70" t="s">
        <v>194</v>
      </c>
      <c r="C24" s="1" t="s">
        <v>57</v>
      </c>
      <c r="D24" s="67">
        <v>1</v>
      </c>
      <c r="E24" s="14" t="s">
        <v>58</v>
      </c>
      <c r="F24" s="14" t="s">
        <v>58</v>
      </c>
      <c r="G24" s="14" t="s">
        <v>58</v>
      </c>
      <c r="H24" s="14" t="s">
        <v>58</v>
      </c>
      <c r="I24" s="53"/>
      <c r="J24" s="53"/>
      <c r="K24" s="53"/>
      <c r="L24" s="53"/>
      <c r="M24" s="53"/>
      <c r="N24" s="68">
        <v>981.688</v>
      </c>
      <c r="O24" s="68" t="s">
        <v>58</v>
      </c>
      <c r="P24" s="68" t="s">
        <v>58</v>
      </c>
      <c r="Q24" s="68" t="s">
        <v>58</v>
      </c>
      <c r="R24" s="68" t="s">
        <v>58</v>
      </c>
    </row>
    <row r="25" spans="1:18" ht="90">
      <c r="A25" s="1" t="s">
        <v>245</v>
      </c>
      <c r="B25" s="74" t="s">
        <v>195</v>
      </c>
      <c r="C25" s="1" t="s">
        <v>57</v>
      </c>
      <c r="D25" s="67">
        <v>18</v>
      </c>
      <c r="E25" s="14">
        <v>9</v>
      </c>
      <c r="F25" s="14">
        <v>7</v>
      </c>
      <c r="G25" s="14">
        <v>7</v>
      </c>
      <c r="H25" s="14">
        <v>7</v>
      </c>
      <c r="I25" s="53"/>
      <c r="J25" s="53"/>
      <c r="K25" s="53"/>
      <c r="L25" s="53"/>
      <c r="M25" s="53"/>
      <c r="N25" s="68">
        <v>1000</v>
      </c>
      <c r="O25" s="68">
        <v>500</v>
      </c>
      <c r="P25" s="68">
        <v>469</v>
      </c>
      <c r="Q25" s="68">
        <v>469</v>
      </c>
      <c r="R25" s="68">
        <v>469</v>
      </c>
    </row>
    <row r="26" spans="1:18" ht="60">
      <c r="A26" s="1" t="s">
        <v>246</v>
      </c>
      <c r="B26" s="70" t="s">
        <v>196</v>
      </c>
      <c r="C26" s="1" t="s">
        <v>57</v>
      </c>
      <c r="D26" s="67">
        <v>1</v>
      </c>
      <c r="E26" s="14">
        <v>1</v>
      </c>
      <c r="F26" s="14">
        <v>1</v>
      </c>
      <c r="G26" s="14">
        <v>1</v>
      </c>
      <c r="H26" s="14">
        <v>1</v>
      </c>
      <c r="I26" s="53"/>
      <c r="J26" s="53"/>
      <c r="K26" s="53"/>
      <c r="L26" s="53"/>
      <c r="M26" s="53"/>
      <c r="N26" s="68">
        <v>0</v>
      </c>
      <c r="O26" s="68">
        <v>200</v>
      </c>
      <c r="P26" s="68">
        <v>200</v>
      </c>
      <c r="Q26" s="68">
        <v>200</v>
      </c>
      <c r="R26" s="68">
        <v>200</v>
      </c>
    </row>
    <row r="27" spans="1:18" ht="45">
      <c r="A27" s="1" t="s">
        <v>247</v>
      </c>
      <c r="B27" s="70" t="s">
        <v>197</v>
      </c>
      <c r="C27" s="1" t="s">
        <v>57</v>
      </c>
      <c r="D27" s="67">
        <v>1</v>
      </c>
      <c r="E27" s="14" t="s">
        <v>58</v>
      </c>
      <c r="F27" s="14" t="s">
        <v>58</v>
      </c>
      <c r="G27" s="14" t="s">
        <v>58</v>
      </c>
      <c r="H27" s="14" t="s">
        <v>58</v>
      </c>
      <c r="I27" s="53"/>
      <c r="J27" s="53"/>
      <c r="K27" s="53"/>
      <c r="L27" s="53"/>
      <c r="M27" s="53"/>
      <c r="N27" s="68">
        <v>200</v>
      </c>
      <c r="O27" s="68" t="s">
        <v>58</v>
      </c>
      <c r="P27" s="68" t="s">
        <v>58</v>
      </c>
      <c r="Q27" s="68" t="s">
        <v>58</v>
      </c>
      <c r="R27" s="68" t="s">
        <v>58</v>
      </c>
    </row>
    <row r="28" spans="1:18" ht="30">
      <c r="A28" s="1" t="s">
        <v>248</v>
      </c>
      <c r="B28" s="70" t="s">
        <v>198</v>
      </c>
      <c r="C28" s="1" t="s">
        <v>57</v>
      </c>
      <c r="D28" s="67">
        <v>1</v>
      </c>
      <c r="E28" s="14" t="s">
        <v>58</v>
      </c>
      <c r="F28" s="14" t="s">
        <v>58</v>
      </c>
      <c r="G28" s="14" t="s">
        <v>58</v>
      </c>
      <c r="H28" s="14" t="s">
        <v>58</v>
      </c>
      <c r="I28" s="53"/>
      <c r="J28" s="53"/>
      <c r="K28" s="53"/>
      <c r="L28" s="53"/>
      <c r="M28" s="53"/>
      <c r="N28" s="68">
        <v>200</v>
      </c>
      <c r="O28" s="68" t="s">
        <v>58</v>
      </c>
      <c r="P28" s="68" t="s">
        <v>58</v>
      </c>
      <c r="Q28" s="68" t="s">
        <v>58</v>
      </c>
      <c r="R28" s="68" t="s">
        <v>58</v>
      </c>
    </row>
    <row r="29" spans="1:18" ht="45">
      <c r="A29" s="1">
        <v>9</v>
      </c>
      <c r="B29" s="70" t="s">
        <v>199</v>
      </c>
      <c r="C29" s="1" t="s">
        <v>200</v>
      </c>
      <c r="D29" s="67">
        <v>478</v>
      </c>
      <c r="E29" s="14" t="s">
        <v>58</v>
      </c>
      <c r="F29" s="14" t="s">
        <v>58</v>
      </c>
      <c r="G29" s="14" t="s">
        <v>58</v>
      </c>
      <c r="H29" s="14" t="s">
        <v>58</v>
      </c>
      <c r="I29" s="53"/>
      <c r="J29" s="53"/>
      <c r="K29" s="53"/>
      <c r="L29" s="53"/>
      <c r="M29" s="53"/>
      <c r="N29" s="68">
        <v>626.18</v>
      </c>
      <c r="O29" s="68" t="s">
        <v>58</v>
      </c>
      <c r="P29" s="68" t="s">
        <v>58</v>
      </c>
      <c r="Q29" s="68" t="s">
        <v>58</v>
      </c>
      <c r="R29" s="68" t="s">
        <v>58</v>
      </c>
    </row>
    <row r="30" spans="1:18" ht="60">
      <c r="A30" s="1">
        <v>10</v>
      </c>
      <c r="B30" s="70" t="s">
        <v>201</v>
      </c>
      <c r="C30" s="1" t="s">
        <v>202</v>
      </c>
      <c r="D30" s="67">
        <v>10</v>
      </c>
      <c r="E30" s="14" t="s">
        <v>58</v>
      </c>
      <c r="F30" s="14" t="s">
        <v>58</v>
      </c>
      <c r="G30" s="14" t="s">
        <v>58</v>
      </c>
      <c r="H30" s="14" t="s">
        <v>58</v>
      </c>
      <c r="I30" s="53"/>
      <c r="J30" s="53"/>
      <c r="K30" s="53"/>
      <c r="L30" s="53"/>
      <c r="M30" s="53"/>
      <c r="N30" s="68">
        <v>35.655</v>
      </c>
      <c r="O30" s="68" t="s">
        <v>58</v>
      </c>
      <c r="P30" s="68" t="s">
        <v>58</v>
      </c>
      <c r="Q30" s="68" t="s">
        <v>58</v>
      </c>
      <c r="R30" s="68" t="s">
        <v>58</v>
      </c>
    </row>
    <row r="31" spans="1:18" ht="15">
      <c r="A31" s="3"/>
      <c r="B31" s="40" t="s">
        <v>0</v>
      </c>
      <c r="C31" s="3"/>
      <c r="D31" s="17" t="s">
        <v>8</v>
      </c>
      <c r="E31" s="17" t="s">
        <v>8</v>
      </c>
      <c r="F31" s="17" t="s">
        <v>8</v>
      </c>
      <c r="G31" s="17" t="s">
        <v>8</v>
      </c>
      <c r="H31" s="17" t="s">
        <v>8</v>
      </c>
      <c r="I31" s="17" t="s">
        <v>8</v>
      </c>
      <c r="J31" s="17" t="s">
        <v>8</v>
      </c>
      <c r="K31" s="17" t="s">
        <v>8</v>
      </c>
      <c r="L31" s="17" t="s">
        <v>8</v>
      </c>
      <c r="M31" s="17" t="s">
        <v>8</v>
      </c>
      <c r="N31" s="65">
        <f>SUM(N11:N30)</f>
        <v>95966.38167999998</v>
      </c>
      <c r="O31" s="65">
        <f>SUM(O11:O30)</f>
        <v>58357.367</v>
      </c>
      <c r="P31" s="65">
        <f>SUM(P11:P30)</f>
        <v>52119.069</v>
      </c>
      <c r="Q31" s="65">
        <f>SUM(Q11:Q30)</f>
        <v>52379.069</v>
      </c>
      <c r="R31" s="65">
        <f>SUM(R11:R30)</f>
        <v>49019.058999999994</v>
      </c>
    </row>
    <row r="32" spans="2:14" ht="15">
      <c r="B32" s="55" t="s">
        <v>288</v>
      </c>
      <c r="N32" s="54"/>
    </row>
    <row r="33" spans="1:18" ht="15">
      <c r="A33" s="138" t="s">
        <v>265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</row>
    <row r="34" spans="1:18" ht="45">
      <c r="A34" s="1">
        <v>1</v>
      </c>
      <c r="B34" s="75" t="s">
        <v>262</v>
      </c>
      <c r="C34" s="22" t="s">
        <v>128</v>
      </c>
      <c r="D34" s="53">
        <v>83900</v>
      </c>
      <c r="E34" s="53">
        <v>131584</v>
      </c>
      <c r="F34" s="53">
        <v>141510</v>
      </c>
      <c r="G34" s="53">
        <v>141510</v>
      </c>
      <c r="H34" s="53">
        <v>141510</v>
      </c>
      <c r="I34" s="53"/>
      <c r="J34" s="53"/>
      <c r="K34" s="53"/>
      <c r="L34" s="53"/>
      <c r="M34" s="53"/>
      <c r="N34" s="53">
        <v>14889.44</v>
      </c>
      <c r="O34" s="53">
        <v>17865</v>
      </c>
      <c r="P34" s="53">
        <v>19565</v>
      </c>
      <c r="Q34" s="53">
        <v>19565</v>
      </c>
      <c r="R34" s="53">
        <v>19565</v>
      </c>
    </row>
    <row r="35" spans="1:18" ht="45">
      <c r="A35" s="1">
        <v>2</v>
      </c>
      <c r="B35" s="75" t="s">
        <v>130</v>
      </c>
      <c r="C35" s="22" t="s">
        <v>128</v>
      </c>
      <c r="D35" s="53">
        <v>18302</v>
      </c>
      <c r="E35" s="53">
        <v>8006</v>
      </c>
      <c r="F35" s="53">
        <v>4390</v>
      </c>
      <c r="G35" s="53">
        <v>4390</v>
      </c>
      <c r="H35" s="53">
        <v>4390</v>
      </c>
      <c r="I35" s="53"/>
      <c r="J35" s="53"/>
      <c r="K35" s="53"/>
      <c r="L35" s="53"/>
      <c r="M35" s="53"/>
      <c r="N35" s="53">
        <v>3622.03</v>
      </c>
      <c r="O35" s="53">
        <v>1094</v>
      </c>
      <c r="P35" s="53">
        <v>740</v>
      </c>
      <c r="Q35" s="53">
        <v>740</v>
      </c>
      <c r="R35" s="53">
        <v>740</v>
      </c>
    </row>
    <row r="36" spans="1:18" ht="75">
      <c r="A36" s="1">
        <v>3</v>
      </c>
      <c r="B36" s="75" t="s">
        <v>263</v>
      </c>
      <c r="C36" s="22" t="s">
        <v>128</v>
      </c>
      <c r="D36" s="53">
        <v>1400</v>
      </c>
      <c r="E36" s="53">
        <v>768</v>
      </c>
      <c r="F36" s="53">
        <v>1012</v>
      </c>
      <c r="G36" s="53">
        <v>1012</v>
      </c>
      <c r="H36" s="53">
        <v>1012</v>
      </c>
      <c r="I36" s="53"/>
      <c r="J36" s="53"/>
      <c r="K36" s="53"/>
      <c r="L36" s="53"/>
      <c r="M36" s="53"/>
      <c r="N36" s="53">
        <v>245.73</v>
      </c>
      <c r="O36" s="53">
        <v>107</v>
      </c>
      <c r="P36" s="53">
        <v>114</v>
      </c>
      <c r="Q36" s="53">
        <v>114</v>
      </c>
      <c r="R36" s="53">
        <v>114</v>
      </c>
    </row>
    <row r="37" spans="1:18" ht="45">
      <c r="A37" s="1">
        <v>4</v>
      </c>
      <c r="B37" s="75" t="s">
        <v>380</v>
      </c>
      <c r="C37" s="2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>
        <v>3058</v>
      </c>
      <c r="O37" s="53">
        <v>3083.9</v>
      </c>
      <c r="P37" s="53">
        <v>3090.7</v>
      </c>
      <c r="Q37" s="53">
        <v>3090.7</v>
      </c>
      <c r="R37" s="53">
        <v>3090.7</v>
      </c>
    </row>
    <row r="38" spans="1:18" ht="15">
      <c r="A38" s="3"/>
      <c r="B38" s="40" t="s">
        <v>0</v>
      </c>
      <c r="C38" s="3"/>
      <c r="D38" s="11" t="s">
        <v>8</v>
      </c>
      <c r="E38" s="11" t="s">
        <v>8</v>
      </c>
      <c r="F38" s="11" t="s">
        <v>8</v>
      </c>
      <c r="G38" s="11" t="s">
        <v>8</v>
      </c>
      <c r="H38" s="11" t="s">
        <v>8</v>
      </c>
      <c r="I38" s="11" t="s">
        <v>8</v>
      </c>
      <c r="J38" s="11" t="s">
        <v>8</v>
      </c>
      <c r="K38" s="11" t="s">
        <v>8</v>
      </c>
      <c r="L38" s="11" t="s">
        <v>8</v>
      </c>
      <c r="M38" s="11" t="s">
        <v>8</v>
      </c>
      <c r="N38" s="65">
        <f>SUM(N34:N37)</f>
        <v>21815.2</v>
      </c>
      <c r="O38" s="65">
        <f>SUM(O34:O37)</f>
        <v>22149.9</v>
      </c>
      <c r="P38" s="65">
        <f>SUM(P34:P37)</f>
        <v>23509.7</v>
      </c>
      <c r="Q38" s="65">
        <f>SUM(Q34:Q37)</f>
        <v>23509.7</v>
      </c>
      <c r="R38" s="65">
        <f>SUM(R34:R37)</f>
        <v>23509.7</v>
      </c>
    </row>
    <row r="39" spans="1:18" ht="15">
      <c r="A39" s="138" t="s">
        <v>60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ht="120">
      <c r="A40" s="1">
        <v>1</v>
      </c>
      <c r="B40" s="70" t="s">
        <v>275</v>
      </c>
      <c r="C40" s="1" t="s">
        <v>61</v>
      </c>
      <c r="D40" s="53">
        <v>15</v>
      </c>
      <c r="E40" s="53">
        <v>21</v>
      </c>
      <c r="F40" s="53">
        <v>32</v>
      </c>
      <c r="G40" s="53">
        <v>32</v>
      </c>
      <c r="H40" s="53">
        <v>32</v>
      </c>
      <c r="I40" s="53"/>
      <c r="J40" s="53"/>
      <c r="K40" s="53"/>
      <c r="L40" s="53"/>
      <c r="M40" s="53"/>
      <c r="N40" s="53">
        <v>8600</v>
      </c>
      <c r="O40" s="53">
        <v>13080</v>
      </c>
      <c r="P40" s="53">
        <v>21798.1</v>
      </c>
      <c r="Q40" s="53">
        <v>21798.1</v>
      </c>
      <c r="R40" s="53">
        <v>21885.5</v>
      </c>
    </row>
    <row r="41" spans="1:18" ht="105">
      <c r="A41" s="1">
        <v>2</v>
      </c>
      <c r="B41" s="70" t="s">
        <v>274</v>
      </c>
      <c r="C41" s="1" t="s">
        <v>61</v>
      </c>
      <c r="D41" s="53">
        <v>93</v>
      </c>
      <c r="E41" s="53">
        <v>93</v>
      </c>
      <c r="F41" s="53">
        <v>79</v>
      </c>
      <c r="G41" s="53">
        <v>79</v>
      </c>
      <c r="H41" s="53">
        <v>79</v>
      </c>
      <c r="I41" s="53"/>
      <c r="J41" s="53"/>
      <c r="K41" s="53"/>
      <c r="L41" s="53"/>
      <c r="M41" s="53"/>
      <c r="N41" s="53">
        <v>29318.79682</v>
      </c>
      <c r="O41" s="53">
        <v>42775.27</v>
      </c>
      <c r="P41" s="53">
        <v>26400</v>
      </c>
      <c r="Q41" s="53">
        <v>26400</v>
      </c>
      <c r="R41" s="53">
        <v>26600</v>
      </c>
    </row>
    <row r="42" spans="1:18" ht="90">
      <c r="A42" s="1">
        <v>3</v>
      </c>
      <c r="B42" s="70" t="s">
        <v>273</v>
      </c>
      <c r="C42" s="1" t="s">
        <v>61</v>
      </c>
      <c r="D42" s="53">
        <v>32</v>
      </c>
      <c r="E42" s="53">
        <v>33</v>
      </c>
      <c r="F42" s="53">
        <v>20</v>
      </c>
      <c r="G42" s="53">
        <v>20</v>
      </c>
      <c r="H42" s="53">
        <v>20</v>
      </c>
      <c r="I42" s="53"/>
      <c r="J42" s="53"/>
      <c r="K42" s="53"/>
      <c r="L42" s="53"/>
      <c r="M42" s="53"/>
      <c r="N42" s="53">
        <v>23300</v>
      </c>
      <c r="O42" s="53">
        <v>24565.2</v>
      </c>
      <c r="P42" s="53">
        <v>22625.9</v>
      </c>
      <c r="Q42" s="53">
        <v>22625.9</v>
      </c>
      <c r="R42" s="53">
        <v>23325.9</v>
      </c>
    </row>
    <row r="43" spans="1:18" ht="75">
      <c r="A43" s="1">
        <v>4</v>
      </c>
      <c r="B43" s="70" t="s">
        <v>272</v>
      </c>
      <c r="C43" s="1" t="s">
        <v>61</v>
      </c>
      <c r="D43" s="53">
        <v>8</v>
      </c>
      <c r="E43" s="53">
        <v>8</v>
      </c>
      <c r="F43" s="53">
        <v>5</v>
      </c>
      <c r="G43" s="53">
        <v>5</v>
      </c>
      <c r="H43" s="53">
        <v>5</v>
      </c>
      <c r="I43" s="53"/>
      <c r="J43" s="53"/>
      <c r="K43" s="53"/>
      <c r="L43" s="53"/>
      <c r="M43" s="53"/>
      <c r="N43" s="53">
        <v>21500</v>
      </c>
      <c r="O43" s="53">
        <v>15600</v>
      </c>
      <c r="P43" s="53">
        <v>21080</v>
      </c>
      <c r="Q43" s="53">
        <v>21080</v>
      </c>
      <c r="R43" s="53">
        <v>21080</v>
      </c>
    </row>
    <row r="44" spans="1:18" ht="15">
      <c r="A44" s="3"/>
      <c r="B44" s="40" t="s">
        <v>0</v>
      </c>
      <c r="C44" s="3"/>
      <c r="D44" s="11" t="s">
        <v>8</v>
      </c>
      <c r="E44" s="11" t="s">
        <v>8</v>
      </c>
      <c r="F44" s="11" t="s">
        <v>8</v>
      </c>
      <c r="G44" s="11" t="s">
        <v>8</v>
      </c>
      <c r="H44" s="11" t="s">
        <v>8</v>
      </c>
      <c r="I44" s="11" t="s">
        <v>8</v>
      </c>
      <c r="J44" s="11" t="s">
        <v>8</v>
      </c>
      <c r="K44" s="11" t="s">
        <v>8</v>
      </c>
      <c r="L44" s="11" t="s">
        <v>8</v>
      </c>
      <c r="M44" s="11" t="s">
        <v>8</v>
      </c>
      <c r="N44" s="65">
        <f>SUM(N40:N43)</f>
        <v>82718.79682</v>
      </c>
      <c r="O44" s="65">
        <f>SUM(O40:O43)</f>
        <v>96020.47</v>
      </c>
      <c r="P44" s="65">
        <f>SUM(P40:P43)</f>
        <v>91904</v>
      </c>
      <c r="Q44" s="65">
        <f>SUM(Q40:Q43)</f>
        <v>91904</v>
      </c>
      <c r="R44" s="65">
        <f>SUM(R40:R43)</f>
        <v>92891.4</v>
      </c>
    </row>
    <row r="45" spans="1:18" ht="15">
      <c r="A45" s="152" t="s">
        <v>62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ht="60">
      <c r="A46" s="59">
        <v>1</v>
      </c>
      <c r="B46" s="76" t="s">
        <v>63</v>
      </c>
      <c r="C46" s="59" t="s">
        <v>14</v>
      </c>
      <c r="D46" s="53">
        <v>3780</v>
      </c>
      <c r="E46" s="53">
        <f>4045+24</f>
        <v>4069</v>
      </c>
      <c r="F46" s="53">
        <v>4263</v>
      </c>
      <c r="G46" s="53">
        <v>4263</v>
      </c>
      <c r="H46" s="53">
        <v>4263</v>
      </c>
      <c r="I46" s="53"/>
      <c r="J46" s="53"/>
      <c r="K46" s="53"/>
      <c r="L46" s="53"/>
      <c r="M46" s="53"/>
      <c r="N46" s="53">
        <v>451250.7</v>
      </c>
      <c r="O46" s="53">
        <v>485838.6</v>
      </c>
      <c r="P46" s="53">
        <v>482614.2</v>
      </c>
      <c r="Q46" s="53">
        <v>484145.08</v>
      </c>
      <c r="R46" s="53">
        <v>484145.08</v>
      </c>
    </row>
    <row r="47" spans="1:18" ht="60">
      <c r="A47" s="59">
        <v>2</v>
      </c>
      <c r="B47" s="76" t="s">
        <v>64</v>
      </c>
      <c r="C47" s="59" t="s">
        <v>14</v>
      </c>
      <c r="D47" s="53">
        <v>10221</v>
      </c>
      <c r="E47" s="53">
        <f>9010+37+1826</f>
        <v>10873</v>
      </c>
      <c r="F47" s="53">
        <f>9358+1826</f>
        <v>11184</v>
      </c>
      <c r="G47" s="53">
        <f>9058+1964</f>
        <v>11022</v>
      </c>
      <c r="H47" s="53">
        <f>9058+1964</f>
        <v>11022</v>
      </c>
      <c r="I47" s="53"/>
      <c r="J47" s="53"/>
      <c r="K47" s="53"/>
      <c r="L47" s="53"/>
      <c r="M47" s="53"/>
      <c r="N47" s="53">
        <f>1438301.58</f>
        <v>1438301.58</v>
      </c>
      <c r="O47" s="53">
        <v>1467885.49692398</v>
      </c>
      <c r="P47" s="53">
        <f>1407885.49692398+106530.43</f>
        <v>1514415.92692398</v>
      </c>
      <c r="Q47" s="53">
        <f>1395257.42462208+106530.42</f>
        <v>1501787.84462208</v>
      </c>
      <c r="R47" s="53">
        <f>1395257.42462208+106530.42</f>
        <v>1501787.84462208</v>
      </c>
    </row>
    <row r="48" spans="1:18" ht="60">
      <c r="A48" s="59">
        <v>3</v>
      </c>
      <c r="B48" s="76" t="s">
        <v>65</v>
      </c>
      <c r="C48" s="59" t="s">
        <v>14</v>
      </c>
      <c r="D48" s="53">
        <v>1027</v>
      </c>
      <c r="E48" s="53">
        <v>895</v>
      </c>
      <c r="F48" s="53">
        <v>836</v>
      </c>
      <c r="G48" s="53">
        <v>836</v>
      </c>
      <c r="H48" s="53">
        <v>836</v>
      </c>
      <c r="I48" s="53"/>
      <c r="J48" s="53"/>
      <c r="K48" s="53"/>
      <c r="L48" s="53"/>
      <c r="M48" s="53"/>
      <c r="N48" s="53">
        <v>44410</v>
      </c>
      <c r="O48" s="53">
        <v>38702</v>
      </c>
      <c r="P48" s="53">
        <v>36150.3</v>
      </c>
      <c r="Q48" s="53">
        <v>36150.3</v>
      </c>
      <c r="R48" s="53">
        <v>36150.3</v>
      </c>
    </row>
    <row r="49" spans="1:18" ht="75">
      <c r="A49" s="59">
        <v>4</v>
      </c>
      <c r="B49" s="76" t="s">
        <v>66</v>
      </c>
      <c r="C49" s="59" t="s">
        <v>67</v>
      </c>
      <c r="D49" s="53">
        <v>292500</v>
      </c>
      <c r="E49" s="53">
        <f>291600+15300</f>
        <v>306900</v>
      </c>
      <c r="F49" s="53">
        <v>296100</v>
      </c>
      <c r="G49" s="53">
        <v>296100</v>
      </c>
      <c r="H49" s="53">
        <v>296100</v>
      </c>
      <c r="I49" s="53"/>
      <c r="J49" s="53"/>
      <c r="K49" s="53"/>
      <c r="L49" s="53"/>
      <c r="M49" s="53"/>
      <c r="N49" s="53">
        <v>69312.6999999999</v>
      </c>
      <c r="O49" s="53">
        <v>72735.3</v>
      </c>
      <c r="P49" s="53">
        <v>70175.7</v>
      </c>
      <c r="Q49" s="53">
        <v>70175.7</v>
      </c>
      <c r="R49" s="53">
        <v>70175.7</v>
      </c>
    </row>
    <row r="50" spans="1:18" ht="45">
      <c r="A50" s="59">
        <v>5</v>
      </c>
      <c r="B50" s="76" t="s">
        <v>68</v>
      </c>
      <c r="C50" s="59" t="s">
        <v>14</v>
      </c>
      <c r="D50" s="53">
        <v>2493</v>
      </c>
      <c r="E50" s="53">
        <f>851+1854</f>
        <v>2705</v>
      </c>
      <c r="F50" s="53">
        <v>2703</v>
      </c>
      <c r="G50" s="53">
        <f>899+1988</f>
        <v>2887</v>
      </c>
      <c r="H50" s="53">
        <f>899+1988</f>
        <v>2887</v>
      </c>
      <c r="I50" s="53"/>
      <c r="J50" s="53"/>
      <c r="K50" s="53"/>
      <c r="L50" s="53"/>
      <c r="M50" s="53"/>
      <c r="N50" s="53">
        <f>492306.1</f>
        <v>492306.1</v>
      </c>
      <c r="O50" s="53">
        <v>500681.2525070197</v>
      </c>
      <c r="P50" s="53">
        <v>500565.7996864419</v>
      </c>
      <c r="Q50" s="53">
        <v>582999.186470116</v>
      </c>
      <c r="R50" s="53">
        <v>582999.186470116</v>
      </c>
    </row>
    <row r="51" spans="1:18" ht="45">
      <c r="A51" s="59">
        <v>6</v>
      </c>
      <c r="B51" s="76" t="s">
        <v>69</v>
      </c>
      <c r="C51" s="59" t="s">
        <v>14</v>
      </c>
      <c r="D51" s="53">
        <v>38</v>
      </c>
      <c r="E51" s="53">
        <v>72</v>
      </c>
      <c r="F51" s="53">
        <v>72</v>
      </c>
      <c r="G51" s="53">
        <v>72</v>
      </c>
      <c r="H51" s="53">
        <v>72</v>
      </c>
      <c r="I51" s="53"/>
      <c r="J51" s="53"/>
      <c r="K51" s="53"/>
      <c r="L51" s="53"/>
      <c r="M51" s="53"/>
      <c r="N51" s="53">
        <v>3833</v>
      </c>
      <c r="O51" s="53">
        <v>11138.4</v>
      </c>
      <c r="P51" s="53">
        <v>11138.4</v>
      </c>
      <c r="Q51" s="53">
        <v>11138.4</v>
      </c>
      <c r="R51" s="53">
        <v>11138.4</v>
      </c>
    </row>
    <row r="52" spans="1:18" ht="45">
      <c r="A52" s="59">
        <v>7</v>
      </c>
      <c r="B52" s="76" t="s">
        <v>70</v>
      </c>
      <c r="C52" s="59" t="s">
        <v>14</v>
      </c>
      <c r="D52" s="53">
        <v>1072</v>
      </c>
      <c r="E52" s="53">
        <f>242+887</f>
        <v>1129</v>
      </c>
      <c r="F52" s="53">
        <v>1131</v>
      </c>
      <c r="G52" s="53">
        <v>1326</v>
      </c>
      <c r="H52" s="53">
        <v>1326</v>
      </c>
      <c r="I52" s="53"/>
      <c r="J52" s="53"/>
      <c r="K52" s="53"/>
      <c r="L52" s="53"/>
      <c r="M52" s="53"/>
      <c r="N52" s="53">
        <v>122737.9</v>
      </c>
      <c r="O52" s="53">
        <v>126572.84207089552</v>
      </c>
      <c r="P52" s="53">
        <v>126686.79286323587</v>
      </c>
      <c r="Q52" s="53">
        <v>144253.40811567166</v>
      </c>
      <c r="R52" s="53">
        <v>144253.40811567166</v>
      </c>
    </row>
    <row r="53" spans="1:18" ht="45">
      <c r="A53" s="59">
        <v>8</v>
      </c>
      <c r="B53" s="76" t="s">
        <v>71</v>
      </c>
      <c r="C53" s="59" t="s">
        <v>14</v>
      </c>
      <c r="D53" s="53">
        <v>374</v>
      </c>
      <c r="E53" s="53">
        <f>118+283</f>
        <v>401</v>
      </c>
      <c r="F53" s="53">
        <f>116+283</f>
        <v>399</v>
      </c>
      <c r="G53" s="53">
        <f>116+283</f>
        <v>399</v>
      </c>
      <c r="H53" s="53">
        <f>116+283</f>
        <v>399</v>
      </c>
      <c r="I53" s="53"/>
      <c r="J53" s="53"/>
      <c r="K53" s="53"/>
      <c r="L53" s="53"/>
      <c r="M53" s="53"/>
      <c r="N53" s="53">
        <v>79363.7</v>
      </c>
      <c r="O53" s="53">
        <f>N53/D53*E53</f>
        <v>85093.16497326203</v>
      </c>
      <c r="P53" s="53">
        <v>85093.16497326203</v>
      </c>
      <c r="Q53" s="53">
        <v>85093.16497326203</v>
      </c>
      <c r="R53" s="53">
        <v>85093.16497326203</v>
      </c>
    </row>
    <row r="54" spans="1:18" ht="45">
      <c r="A54" s="59">
        <v>9</v>
      </c>
      <c r="B54" s="77" t="s">
        <v>72</v>
      </c>
      <c r="C54" s="59" t="s">
        <v>14</v>
      </c>
      <c r="D54" s="53">
        <v>13</v>
      </c>
      <c r="E54" s="53">
        <v>189</v>
      </c>
      <c r="F54" s="53">
        <v>189</v>
      </c>
      <c r="G54" s="53">
        <v>189</v>
      </c>
      <c r="H54" s="53">
        <v>189</v>
      </c>
      <c r="I54" s="53"/>
      <c r="J54" s="53"/>
      <c r="K54" s="53"/>
      <c r="L54" s="53"/>
      <c r="M54" s="53"/>
      <c r="N54" s="53">
        <v>1311</v>
      </c>
      <c r="O54" s="53">
        <f>N54/D54*E54</f>
        <v>19059.923076923074</v>
      </c>
      <c r="P54" s="53">
        <f>O54/E54*F54</f>
        <v>19059.923076923074</v>
      </c>
      <c r="Q54" s="53">
        <v>19059.923076923074</v>
      </c>
      <c r="R54" s="53">
        <v>19059.923076923074</v>
      </c>
    </row>
    <row r="55" spans="1:18" ht="60">
      <c r="A55" s="59">
        <v>10</v>
      </c>
      <c r="B55" s="76" t="s">
        <v>73</v>
      </c>
      <c r="C55" s="59" t="s">
        <v>14</v>
      </c>
      <c r="D55" s="53">
        <v>206</v>
      </c>
      <c r="E55" s="53">
        <f>9+29</f>
        <v>38</v>
      </c>
      <c r="F55" s="53">
        <f>9+29</f>
        <v>38</v>
      </c>
      <c r="G55" s="53">
        <f>9+29</f>
        <v>38</v>
      </c>
      <c r="H55" s="53">
        <f>9+29</f>
        <v>38</v>
      </c>
      <c r="I55" s="53"/>
      <c r="J55" s="53"/>
      <c r="K55" s="53"/>
      <c r="L55" s="53"/>
      <c r="M55" s="53"/>
      <c r="N55" s="53">
        <v>26578.2</v>
      </c>
      <c r="O55" s="53">
        <v>1937.1</v>
      </c>
      <c r="P55" s="53">
        <v>1938.6</v>
      </c>
      <c r="Q55" s="53">
        <v>1938.6</v>
      </c>
      <c r="R55" s="53">
        <v>1938.6</v>
      </c>
    </row>
    <row r="56" spans="1:18" ht="60">
      <c r="A56" s="59">
        <v>11</v>
      </c>
      <c r="B56" s="77" t="s">
        <v>74</v>
      </c>
      <c r="C56" s="59" t="s">
        <v>14</v>
      </c>
      <c r="D56" s="53">
        <v>39</v>
      </c>
      <c r="E56" s="53">
        <v>128</v>
      </c>
      <c r="F56" s="53">
        <v>128</v>
      </c>
      <c r="G56" s="53">
        <v>128</v>
      </c>
      <c r="H56" s="53">
        <v>128</v>
      </c>
      <c r="I56" s="53"/>
      <c r="J56" s="53"/>
      <c r="K56" s="53"/>
      <c r="L56" s="53"/>
      <c r="M56" s="53"/>
      <c r="N56" s="53">
        <v>7950.4</v>
      </c>
      <c r="O56" s="53">
        <f>N56/D56*E56</f>
        <v>26093.62051282051</v>
      </c>
      <c r="P56" s="53">
        <f>O56/E56*F56</f>
        <v>26093.62051282051</v>
      </c>
      <c r="Q56" s="53">
        <f>P56/F56*G56</f>
        <v>26093.62051282051</v>
      </c>
      <c r="R56" s="53">
        <f>Q56/G56*H56</f>
        <v>26093.62051282051</v>
      </c>
    </row>
    <row r="57" spans="1:18" ht="30">
      <c r="A57" s="59">
        <v>12</v>
      </c>
      <c r="B57" s="76" t="s">
        <v>75</v>
      </c>
      <c r="C57" s="59" t="s">
        <v>67</v>
      </c>
      <c r="D57" s="53">
        <f>64325+323544+303100</f>
        <v>690969</v>
      </c>
      <c r="E57" s="53">
        <f>64325+323544+303100</f>
        <v>690969</v>
      </c>
      <c r="F57" s="53">
        <f>59150+323544+303100</f>
        <v>685794</v>
      </c>
      <c r="G57" s="53">
        <f>59150+323544+303100</f>
        <v>685794</v>
      </c>
      <c r="H57" s="53">
        <f>59150+323544+303100</f>
        <v>685794</v>
      </c>
      <c r="I57" s="53"/>
      <c r="J57" s="53"/>
      <c r="K57" s="53"/>
      <c r="L57" s="53"/>
      <c r="M57" s="53"/>
      <c r="N57" s="53">
        <v>88144.40106238784</v>
      </c>
      <c r="O57" s="53">
        <v>88144.40106238784</v>
      </c>
      <c r="P57" s="53">
        <v>88011.39522210504</v>
      </c>
      <c r="Q57" s="53">
        <v>88011.39522210504</v>
      </c>
      <c r="R57" s="53">
        <v>88011.39522210504</v>
      </c>
    </row>
    <row r="58" spans="1:18" ht="45">
      <c r="A58" s="59">
        <v>13</v>
      </c>
      <c r="B58" s="78" t="s">
        <v>76</v>
      </c>
      <c r="C58" s="59" t="s">
        <v>67</v>
      </c>
      <c r="D58" s="53">
        <v>653411</v>
      </c>
      <c r="E58" s="53">
        <f>180608+782525</f>
        <v>963133</v>
      </c>
      <c r="F58" s="53">
        <f>180608+782525</f>
        <v>963133</v>
      </c>
      <c r="G58" s="53">
        <f>180608+782525</f>
        <v>963133</v>
      </c>
      <c r="H58" s="53">
        <f>180608+782525</f>
        <v>963133</v>
      </c>
      <c r="I58" s="53"/>
      <c r="J58" s="53"/>
      <c r="K58" s="53"/>
      <c r="L58" s="53"/>
      <c r="M58" s="53"/>
      <c r="N58" s="53">
        <f>100051.912943364-10997.31</f>
        <v>89054.602943364</v>
      </c>
      <c r="O58" s="53">
        <v>123790.49893761215</v>
      </c>
      <c r="P58" s="53">
        <v>123603.70477789496</v>
      </c>
      <c r="Q58" s="53">
        <v>123603.70477789496</v>
      </c>
      <c r="R58" s="53">
        <v>123603.70477789496</v>
      </c>
    </row>
    <row r="59" spans="1:18" ht="165">
      <c r="A59" s="59">
        <v>14</v>
      </c>
      <c r="B59" s="76" t="s">
        <v>77</v>
      </c>
      <c r="C59" s="59" t="s">
        <v>381</v>
      </c>
      <c r="D59" s="53">
        <v>51</v>
      </c>
      <c r="E59" s="53">
        <v>0</v>
      </c>
      <c r="F59" s="53">
        <v>0</v>
      </c>
      <c r="G59" s="53">
        <v>0</v>
      </c>
      <c r="H59" s="53">
        <v>0</v>
      </c>
      <c r="I59" s="53"/>
      <c r="J59" s="53"/>
      <c r="K59" s="53"/>
      <c r="L59" s="53"/>
      <c r="M59" s="53"/>
      <c r="N59" s="53">
        <v>28407</v>
      </c>
      <c r="O59" s="53">
        <v>0</v>
      </c>
      <c r="P59" s="53">
        <v>0</v>
      </c>
      <c r="Q59" s="53">
        <v>0</v>
      </c>
      <c r="R59" s="53">
        <v>0</v>
      </c>
    </row>
    <row r="60" spans="1:18" ht="45">
      <c r="A60" s="59">
        <v>15</v>
      </c>
      <c r="B60" s="76" t="s">
        <v>79</v>
      </c>
      <c r="C60" s="59" t="s">
        <v>14</v>
      </c>
      <c r="D60" s="79">
        <v>402</v>
      </c>
      <c r="E60" s="53">
        <v>384</v>
      </c>
      <c r="F60" s="53">
        <v>404</v>
      </c>
      <c r="G60" s="53">
        <v>404</v>
      </c>
      <c r="H60" s="53">
        <v>404</v>
      </c>
      <c r="I60" s="53"/>
      <c r="J60" s="53"/>
      <c r="K60" s="53"/>
      <c r="L60" s="53"/>
      <c r="M60" s="53"/>
      <c r="N60" s="53">
        <v>406962</v>
      </c>
      <c r="O60" s="53">
        <f>431418.1-O61-O62-O63</f>
        <v>393333.69999999995</v>
      </c>
      <c r="P60" s="53">
        <f>455998.1-P61-P62-P63</f>
        <v>402222.69999999995</v>
      </c>
      <c r="Q60" s="53">
        <f>455998.1-Q61-Q62-Q63</f>
        <v>402222.69999999995</v>
      </c>
      <c r="R60" s="53">
        <f>455998.1-R61-R62-R63</f>
        <v>402222.69999999995</v>
      </c>
    </row>
    <row r="61" spans="1:18" ht="60">
      <c r="A61" s="59">
        <v>16</v>
      </c>
      <c r="B61" s="80" t="s">
        <v>80</v>
      </c>
      <c r="C61" s="59" t="s">
        <v>14</v>
      </c>
      <c r="D61" s="79">
        <v>10</v>
      </c>
      <c r="E61" s="53">
        <v>8</v>
      </c>
      <c r="F61" s="53">
        <v>17</v>
      </c>
      <c r="G61" s="53">
        <v>17</v>
      </c>
      <c r="H61" s="53">
        <v>17</v>
      </c>
      <c r="I61" s="53"/>
      <c r="J61" s="53"/>
      <c r="K61" s="53"/>
      <c r="L61" s="53"/>
      <c r="M61" s="53"/>
      <c r="N61" s="53">
        <v>10449</v>
      </c>
      <c r="O61" s="53">
        <v>7240</v>
      </c>
      <c r="P61" s="53">
        <v>14599.2</v>
      </c>
      <c r="Q61" s="53">
        <v>14599.2</v>
      </c>
      <c r="R61" s="53">
        <v>14599.2</v>
      </c>
    </row>
    <row r="62" spans="1:18" ht="75">
      <c r="A62" s="59">
        <v>17</v>
      </c>
      <c r="B62" s="80" t="s">
        <v>81</v>
      </c>
      <c r="C62" s="59" t="s">
        <v>14</v>
      </c>
      <c r="D62" s="79">
        <v>292</v>
      </c>
      <c r="E62" s="53">
        <v>255</v>
      </c>
      <c r="F62" s="53">
        <v>309</v>
      </c>
      <c r="G62" s="53">
        <v>309</v>
      </c>
      <c r="H62" s="53">
        <v>309</v>
      </c>
      <c r="I62" s="53"/>
      <c r="J62" s="53"/>
      <c r="K62" s="53"/>
      <c r="L62" s="53"/>
      <c r="M62" s="53"/>
      <c r="N62" s="53">
        <v>18279.2</v>
      </c>
      <c r="O62" s="53">
        <v>15963</v>
      </c>
      <c r="P62" s="53">
        <v>19714.2</v>
      </c>
      <c r="Q62" s="53">
        <v>19714.2</v>
      </c>
      <c r="R62" s="53">
        <v>19714.2</v>
      </c>
    </row>
    <row r="63" spans="1:18" ht="75">
      <c r="A63" s="59">
        <v>18</v>
      </c>
      <c r="B63" s="81" t="s">
        <v>82</v>
      </c>
      <c r="C63" s="59" t="s">
        <v>14</v>
      </c>
      <c r="D63" s="79">
        <v>160</v>
      </c>
      <c r="E63" s="53">
        <v>140</v>
      </c>
      <c r="F63" s="53">
        <v>185</v>
      </c>
      <c r="G63" s="53">
        <v>185</v>
      </c>
      <c r="H63" s="53">
        <v>185</v>
      </c>
      <c r="I63" s="53"/>
      <c r="J63" s="53"/>
      <c r="K63" s="53"/>
      <c r="L63" s="53"/>
      <c r="M63" s="53"/>
      <c r="N63" s="53">
        <v>16512</v>
      </c>
      <c r="O63" s="53">
        <v>14881.4</v>
      </c>
      <c r="P63" s="53">
        <v>19462</v>
      </c>
      <c r="Q63" s="53">
        <v>19462</v>
      </c>
      <c r="R63" s="53">
        <v>19462</v>
      </c>
    </row>
    <row r="64" spans="1:18" ht="45">
      <c r="A64" s="59">
        <v>19</v>
      </c>
      <c r="B64" s="76" t="s">
        <v>83</v>
      </c>
      <c r="C64" s="59" t="s">
        <v>14</v>
      </c>
      <c r="D64" s="79">
        <v>4660</v>
      </c>
      <c r="E64" s="79">
        <v>4660</v>
      </c>
      <c r="F64" s="53">
        <v>4660</v>
      </c>
      <c r="G64" s="53">
        <v>4660</v>
      </c>
      <c r="H64" s="53">
        <v>4660</v>
      </c>
      <c r="I64" s="53"/>
      <c r="J64" s="53"/>
      <c r="K64" s="53"/>
      <c r="L64" s="53"/>
      <c r="M64" s="53"/>
      <c r="N64" s="53">
        <v>4208</v>
      </c>
      <c r="O64" s="53">
        <v>4208</v>
      </c>
      <c r="P64" s="53">
        <v>4248.1</v>
      </c>
      <c r="Q64" s="53">
        <v>4248.1</v>
      </c>
      <c r="R64" s="53">
        <v>4248.1</v>
      </c>
    </row>
    <row r="65" spans="1:18" ht="30">
      <c r="A65" s="59">
        <v>20</v>
      </c>
      <c r="B65" s="76" t="s">
        <v>84</v>
      </c>
      <c r="C65" s="59" t="s">
        <v>14</v>
      </c>
      <c r="D65" s="79">
        <v>1250</v>
      </c>
      <c r="E65" s="79">
        <v>1260</v>
      </c>
      <c r="F65" s="53">
        <v>1335</v>
      </c>
      <c r="G65" s="53">
        <v>1335</v>
      </c>
      <c r="H65" s="53">
        <v>1335</v>
      </c>
      <c r="I65" s="53"/>
      <c r="J65" s="53"/>
      <c r="K65" s="53"/>
      <c r="L65" s="53"/>
      <c r="M65" s="53"/>
      <c r="N65" s="53">
        <v>10312.5</v>
      </c>
      <c r="O65" s="53">
        <v>10387.5</v>
      </c>
      <c r="P65" s="53">
        <v>11204.7</v>
      </c>
      <c r="Q65" s="53">
        <v>11204.7</v>
      </c>
      <c r="R65" s="53">
        <v>11204.7</v>
      </c>
    </row>
    <row r="66" spans="1:18" ht="30">
      <c r="A66" s="59">
        <v>21</v>
      </c>
      <c r="B66" s="76" t="s">
        <v>85</v>
      </c>
      <c r="C66" s="59" t="s">
        <v>14</v>
      </c>
      <c r="D66" s="79">
        <v>25</v>
      </c>
      <c r="E66" s="79">
        <v>25</v>
      </c>
      <c r="F66" s="53">
        <v>30</v>
      </c>
      <c r="G66" s="53">
        <v>30</v>
      </c>
      <c r="H66" s="53">
        <v>30</v>
      </c>
      <c r="I66" s="53"/>
      <c r="J66" s="53"/>
      <c r="K66" s="53"/>
      <c r="L66" s="53"/>
      <c r="M66" s="53"/>
      <c r="N66" s="53">
        <v>1944</v>
      </c>
      <c r="O66" s="53">
        <v>1961.5</v>
      </c>
      <c r="P66" s="53">
        <v>2377.4</v>
      </c>
      <c r="Q66" s="53">
        <v>2377.4</v>
      </c>
      <c r="R66" s="53">
        <v>2377.4</v>
      </c>
    </row>
    <row r="67" spans="1:18" ht="45">
      <c r="A67" s="59">
        <v>22</v>
      </c>
      <c r="B67" s="76" t="s">
        <v>86</v>
      </c>
      <c r="C67" s="59" t="s">
        <v>67</v>
      </c>
      <c r="D67" s="79">
        <v>714372</v>
      </c>
      <c r="E67" s="79">
        <v>791594</v>
      </c>
      <c r="F67" s="79">
        <v>791594</v>
      </c>
      <c r="G67" s="79">
        <v>791594</v>
      </c>
      <c r="H67" s="79">
        <v>791594</v>
      </c>
      <c r="I67" s="53"/>
      <c r="J67" s="53"/>
      <c r="K67" s="53"/>
      <c r="L67" s="53"/>
      <c r="M67" s="53"/>
      <c r="N67" s="53">
        <v>134659.541160509</v>
      </c>
      <c r="O67" s="53">
        <f>230180.77-O73</f>
        <v>150891.865</v>
      </c>
      <c r="P67" s="53">
        <f>230180.77-P73</f>
        <v>150891.865</v>
      </c>
      <c r="Q67" s="53">
        <f>230180.77-Q73</f>
        <v>150891.865</v>
      </c>
      <c r="R67" s="53">
        <f>230180.77-R73</f>
        <v>150891.865</v>
      </c>
    </row>
    <row r="68" spans="1:18" ht="30">
      <c r="A68" s="59">
        <v>23</v>
      </c>
      <c r="B68" s="76" t="s">
        <v>90</v>
      </c>
      <c r="C68" s="59" t="s">
        <v>88</v>
      </c>
      <c r="D68" s="79">
        <v>120</v>
      </c>
      <c r="E68" s="79">
        <v>120</v>
      </c>
      <c r="F68" s="79">
        <v>120</v>
      </c>
      <c r="G68" s="79">
        <v>120</v>
      </c>
      <c r="H68" s="79">
        <v>120</v>
      </c>
      <c r="I68" s="53"/>
      <c r="J68" s="53"/>
      <c r="K68" s="53"/>
      <c r="L68" s="53"/>
      <c r="M68" s="53"/>
      <c r="N68" s="53">
        <v>3931.2</v>
      </c>
      <c r="O68" s="53">
        <v>3972</v>
      </c>
      <c r="P68" s="53">
        <v>3972</v>
      </c>
      <c r="Q68" s="53">
        <v>3972</v>
      </c>
      <c r="R68" s="53">
        <v>3972</v>
      </c>
    </row>
    <row r="69" spans="1:18" ht="15">
      <c r="A69" s="59">
        <v>24</v>
      </c>
      <c r="B69" s="76" t="s">
        <v>91</v>
      </c>
      <c r="C69" s="59" t="s">
        <v>92</v>
      </c>
      <c r="D69" s="62">
        <v>76741</v>
      </c>
      <c r="E69" s="53">
        <v>80845</v>
      </c>
      <c r="F69" s="53">
        <v>94423</v>
      </c>
      <c r="G69" s="53">
        <v>94423</v>
      </c>
      <c r="H69" s="53">
        <v>94423</v>
      </c>
      <c r="I69" s="53"/>
      <c r="J69" s="53"/>
      <c r="K69" s="53"/>
      <c r="L69" s="53"/>
      <c r="M69" s="53"/>
      <c r="N69" s="53">
        <v>202563.7</v>
      </c>
      <c r="O69" s="53">
        <f>224715.9-O68</f>
        <v>220743.9</v>
      </c>
      <c r="P69" s="53">
        <v>258857.3</v>
      </c>
      <c r="Q69" s="53">
        <v>258857.3</v>
      </c>
      <c r="R69" s="53">
        <v>258857.3</v>
      </c>
    </row>
    <row r="70" spans="1:18" ht="30">
      <c r="A70" s="59">
        <v>25</v>
      </c>
      <c r="B70" s="76" t="s">
        <v>93</v>
      </c>
      <c r="C70" s="59" t="s">
        <v>14</v>
      </c>
      <c r="D70" s="62">
        <v>295</v>
      </c>
      <c r="E70" s="53">
        <f>294+1505</f>
        <v>1799</v>
      </c>
      <c r="F70" s="53">
        <f>295+1507</f>
        <v>1802</v>
      </c>
      <c r="G70" s="53">
        <v>1802</v>
      </c>
      <c r="H70" s="53">
        <f>295+1507</f>
        <v>1802</v>
      </c>
      <c r="I70" s="53"/>
      <c r="J70" s="53"/>
      <c r="K70" s="53"/>
      <c r="L70" s="53"/>
      <c r="M70" s="53"/>
      <c r="N70" s="53">
        <v>29722.9</v>
      </c>
      <c r="O70" s="53">
        <f>818319.18</f>
        <v>818319.18</v>
      </c>
      <c r="P70" s="53">
        <f>821054.92</f>
        <v>821054.92</v>
      </c>
      <c r="Q70" s="53">
        <f>871077.05</f>
        <v>871077.05</v>
      </c>
      <c r="R70" s="53">
        <f>869025.08</f>
        <v>869025.08</v>
      </c>
    </row>
    <row r="71" spans="1:18" ht="120">
      <c r="A71" s="59">
        <v>26</v>
      </c>
      <c r="B71" s="76" t="s">
        <v>94</v>
      </c>
      <c r="C71" s="59" t="s">
        <v>14</v>
      </c>
      <c r="D71" s="62">
        <v>95473</v>
      </c>
      <c r="E71" s="53">
        <v>117645</v>
      </c>
      <c r="F71" s="53">
        <v>145046</v>
      </c>
      <c r="G71" s="53">
        <v>145046</v>
      </c>
      <c r="H71" s="53">
        <v>145046</v>
      </c>
      <c r="I71" s="53"/>
      <c r="J71" s="53"/>
      <c r="K71" s="53"/>
      <c r="L71" s="53"/>
      <c r="M71" s="53"/>
      <c r="N71" s="53">
        <v>74890.4</v>
      </c>
      <c r="O71" s="53">
        <v>92790.7</v>
      </c>
      <c r="P71" s="53">
        <v>113425.9</v>
      </c>
      <c r="Q71" s="53">
        <v>113425.9</v>
      </c>
      <c r="R71" s="53">
        <v>113425.9</v>
      </c>
    </row>
    <row r="72" spans="1:18" ht="30">
      <c r="A72" s="59">
        <v>27</v>
      </c>
      <c r="B72" s="76" t="s">
        <v>95</v>
      </c>
      <c r="C72" s="59" t="s">
        <v>14</v>
      </c>
      <c r="D72" s="62">
        <v>6500</v>
      </c>
      <c r="E72" s="53">
        <v>10700</v>
      </c>
      <c r="F72" s="53">
        <v>11000</v>
      </c>
      <c r="G72" s="53">
        <v>11000</v>
      </c>
      <c r="H72" s="53">
        <v>11000</v>
      </c>
      <c r="I72" s="53"/>
      <c r="J72" s="53"/>
      <c r="K72" s="53"/>
      <c r="L72" s="53"/>
      <c r="M72" s="53"/>
      <c r="N72" s="53">
        <v>845</v>
      </c>
      <c r="O72" s="53">
        <v>1391</v>
      </c>
      <c r="P72" s="53">
        <v>1430</v>
      </c>
      <c r="Q72" s="53">
        <v>1430</v>
      </c>
      <c r="R72" s="53">
        <v>1430</v>
      </c>
    </row>
    <row r="73" spans="1:18" ht="120">
      <c r="A73" s="59">
        <v>28</v>
      </c>
      <c r="B73" s="76" t="s">
        <v>96</v>
      </c>
      <c r="C73" s="59" t="s">
        <v>14</v>
      </c>
      <c r="D73" s="79">
        <v>89080</v>
      </c>
      <c r="E73" s="53">
        <v>97287</v>
      </c>
      <c r="F73" s="53">
        <v>97287</v>
      </c>
      <c r="G73" s="53">
        <v>97287</v>
      </c>
      <c r="H73" s="53">
        <v>97287</v>
      </c>
      <c r="I73" s="53"/>
      <c r="J73" s="53"/>
      <c r="K73" s="53"/>
      <c r="L73" s="53"/>
      <c r="M73" s="53"/>
      <c r="N73" s="53">
        <v>70521.2288394912</v>
      </c>
      <c r="O73" s="53">
        <v>79288.905</v>
      </c>
      <c r="P73" s="53">
        <v>79288.905</v>
      </c>
      <c r="Q73" s="53">
        <v>79288.905</v>
      </c>
      <c r="R73" s="53">
        <v>79288.905</v>
      </c>
    </row>
    <row r="74" spans="1:18" ht="30">
      <c r="A74" s="59">
        <v>29</v>
      </c>
      <c r="B74" s="76" t="s">
        <v>297</v>
      </c>
      <c r="C74" s="59" t="s">
        <v>14</v>
      </c>
      <c r="D74" s="79">
        <v>83696</v>
      </c>
      <c r="E74" s="53">
        <v>83696</v>
      </c>
      <c r="F74" s="53">
        <v>83696</v>
      </c>
      <c r="G74" s="53">
        <v>83696</v>
      </c>
      <c r="H74" s="53">
        <v>83696</v>
      </c>
      <c r="I74" s="53"/>
      <c r="J74" s="53"/>
      <c r="K74" s="53"/>
      <c r="L74" s="53"/>
      <c r="M74" s="53"/>
      <c r="N74" s="53">
        <v>77693</v>
      </c>
      <c r="O74" s="53">
        <f>112335.7-O78</f>
        <v>77727.1</v>
      </c>
      <c r="P74" s="53">
        <f>112335.7-P78</f>
        <v>77727.1</v>
      </c>
      <c r="Q74" s="53">
        <f>112335.7-Q78</f>
        <v>77727.1</v>
      </c>
      <c r="R74" s="53">
        <f>112335.7-R78</f>
        <v>77727.1</v>
      </c>
    </row>
    <row r="75" spans="1:18" ht="30">
      <c r="A75" s="59">
        <v>30</v>
      </c>
      <c r="B75" s="76" t="s">
        <v>298</v>
      </c>
      <c r="C75" s="59" t="s">
        <v>14</v>
      </c>
      <c r="D75" s="79">
        <v>18</v>
      </c>
      <c r="E75" s="53">
        <f>20+44</f>
        <v>64</v>
      </c>
      <c r="F75" s="53">
        <f>18+66</f>
        <v>84</v>
      </c>
      <c r="G75" s="53">
        <f>18+66</f>
        <v>84</v>
      </c>
      <c r="H75" s="53">
        <f>18+66</f>
        <v>84</v>
      </c>
      <c r="I75" s="53"/>
      <c r="J75" s="53"/>
      <c r="K75" s="53"/>
      <c r="L75" s="53"/>
      <c r="M75" s="53"/>
      <c r="N75" s="53">
        <v>3797.1</v>
      </c>
      <c r="O75" s="53">
        <f>15118.3+40357.98</f>
        <v>55476.28</v>
      </c>
      <c r="P75" s="53">
        <f>17000+46411.7</f>
        <v>63411.7</v>
      </c>
      <c r="Q75" s="53">
        <f>17000+46411.7</f>
        <v>63411.7</v>
      </c>
      <c r="R75" s="53">
        <f>17000+46411.7</f>
        <v>63411.7</v>
      </c>
    </row>
    <row r="76" spans="1:18" ht="60">
      <c r="A76" s="59">
        <v>31</v>
      </c>
      <c r="B76" s="76" t="s">
        <v>382</v>
      </c>
      <c r="C76" s="59" t="s">
        <v>14</v>
      </c>
      <c r="D76" s="79">
        <v>0</v>
      </c>
      <c r="E76" s="53">
        <v>110</v>
      </c>
      <c r="F76" s="53">
        <v>110</v>
      </c>
      <c r="G76" s="53">
        <v>110</v>
      </c>
      <c r="H76" s="53">
        <v>110</v>
      </c>
      <c r="I76" s="53"/>
      <c r="J76" s="53"/>
      <c r="K76" s="53"/>
      <c r="L76" s="53"/>
      <c r="M76" s="53"/>
      <c r="N76" s="53">
        <v>0</v>
      </c>
      <c r="O76" s="53">
        <v>4004</v>
      </c>
      <c r="P76" s="53">
        <v>4004</v>
      </c>
      <c r="Q76" s="53">
        <v>4004</v>
      </c>
      <c r="R76" s="53">
        <v>4004</v>
      </c>
    </row>
    <row r="77" spans="1:18" ht="75">
      <c r="A77" s="59">
        <v>32</v>
      </c>
      <c r="B77" s="76" t="s">
        <v>383</v>
      </c>
      <c r="C77" s="59" t="s">
        <v>384</v>
      </c>
      <c r="D77" s="79">
        <v>0</v>
      </c>
      <c r="E77" s="53">
        <v>9689</v>
      </c>
      <c r="F77" s="53">
        <v>17885</v>
      </c>
      <c r="G77" s="53">
        <v>17885</v>
      </c>
      <c r="H77" s="53">
        <v>17885</v>
      </c>
      <c r="I77" s="53"/>
      <c r="J77" s="53"/>
      <c r="K77" s="53"/>
      <c r="L77" s="53"/>
      <c r="M77" s="53"/>
      <c r="N77" s="53">
        <v>0</v>
      </c>
      <c r="O77" s="53">
        <v>9379.8</v>
      </c>
      <c r="P77" s="53">
        <v>15659.4</v>
      </c>
      <c r="Q77" s="53">
        <v>15659.4</v>
      </c>
      <c r="R77" s="53">
        <v>15659.4</v>
      </c>
    </row>
    <row r="78" spans="1:18" ht="45">
      <c r="A78" s="59">
        <v>33</v>
      </c>
      <c r="B78" s="76" t="s">
        <v>385</v>
      </c>
      <c r="C78" s="59" t="s">
        <v>384</v>
      </c>
      <c r="D78" s="79">
        <v>0</v>
      </c>
      <c r="E78" s="53">
        <v>17748</v>
      </c>
      <c r="F78" s="53">
        <v>17748</v>
      </c>
      <c r="G78" s="53">
        <v>17748</v>
      </c>
      <c r="H78" s="53">
        <v>17748</v>
      </c>
      <c r="I78" s="53"/>
      <c r="J78" s="53"/>
      <c r="K78" s="53"/>
      <c r="L78" s="53"/>
      <c r="M78" s="53"/>
      <c r="N78" s="53">
        <v>0</v>
      </c>
      <c r="O78" s="53">
        <v>34608.6</v>
      </c>
      <c r="P78" s="53">
        <v>34608.6</v>
      </c>
      <c r="Q78" s="53">
        <v>34608.6</v>
      </c>
      <c r="R78" s="53">
        <v>34608.6</v>
      </c>
    </row>
    <row r="79" spans="1:18" ht="45">
      <c r="A79" s="59">
        <v>34</v>
      </c>
      <c r="B79" s="76" t="s">
        <v>386</v>
      </c>
      <c r="C79" s="59" t="s">
        <v>14</v>
      </c>
      <c r="D79" s="79">
        <v>0</v>
      </c>
      <c r="E79" s="53">
        <v>1643</v>
      </c>
      <c r="F79" s="53">
        <v>1736</v>
      </c>
      <c r="G79" s="53">
        <v>1787</v>
      </c>
      <c r="H79" s="53">
        <v>1781</v>
      </c>
      <c r="I79" s="53"/>
      <c r="J79" s="53"/>
      <c r="K79" s="53"/>
      <c r="L79" s="53"/>
      <c r="M79" s="53"/>
      <c r="N79" s="53">
        <v>0</v>
      </c>
      <c r="O79" s="53">
        <f>893354.42-18301.98</f>
        <v>875052.4400000001</v>
      </c>
      <c r="P79" s="53">
        <v>929475.58</v>
      </c>
      <c r="Q79" s="53">
        <v>986103.15</v>
      </c>
      <c r="R79" s="53">
        <v>983780.22</v>
      </c>
    </row>
    <row r="80" spans="1:18" ht="15">
      <c r="A80" s="25"/>
      <c r="B80" s="82" t="s">
        <v>0</v>
      </c>
      <c r="C80" s="25"/>
      <c r="D80" s="21" t="s">
        <v>8</v>
      </c>
      <c r="E80" s="21" t="s">
        <v>8</v>
      </c>
      <c r="F80" s="21" t="s">
        <v>8</v>
      </c>
      <c r="G80" s="21" t="s">
        <v>8</v>
      </c>
      <c r="H80" s="21" t="s">
        <v>8</v>
      </c>
      <c r="I80" s="21" t="s">
        <v>8</v>
      </c>
      <c r="J80" s="21" t="s">
        <v>8</v>
      </c>
      <c r="K80" s="21" t="s">
        <v>8</v>
      </c>
      <c r="L80" s="21" t="s">
        <v>8</v>
      </c>
      <c r="M80" s="21" t="s">
        <v>8</v>
      </c>
      <c r="N80" s="65">
        <f>SUM(N46:N79)</f>
        <v>4010252.054005753</v>
      </c>
      <c r="O80" s="65">
        <f>SUM(O46:O79)</f>
        <v>5919293.470064901</v>
      </c>
      <c r="P80" s="65">
        <f>SUM(P46:P79)</f>
        <v>6113183.098036665</v>
      </c>
      <c r="Q80" s="65">
        <f>SUM(Q46:Q79)</f>
        <v>6308735.597770874</v>
      </c>
      <c r="R80" s="65">
        <f>SUM(R46:R79)</f>
        <v>6304360.697770874</v>
      </c>
    </row>
    <row r="81" spans="1:18" ht="15">
      <c r="A81" s="138" t="s">
        <v>264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</row>
    <row r="82" spans="1:18" ht="30">
      <c r="A82" s="1">
        <v>1</v>
      </c>
      <c r="B82" s="83" t="s">
        <v>114</v>
      </c>
      <c r="C82" s="84" t="s">
        <v>301</v>
      </c>
      <c r="D82" s="62">
        <v>12</v>
      </c>
      <c r="E82" s="53"/>
      <c r="F82" s="53"/>
      <c r="G82" s="53"/>
      <c r="H82" s="53"/>
      <c r="I82" s="53"/>
      <c r="J82" s="53"/>
      <c r="K82" s="53"/>
      <c r="L82" s="53"/>
      <c r="M82" s="53"/>
      <c r="N82" s="160">
        <v>5600</v>
      </c>
      <c r="O82" s="53"/>
      <c r="P82" s="44"/>
      <c r="Q82" s="44"/>
      <c r="R82" s="44"/>
    </row>
    <row r="83" spans="1:18" ht="30">
      <c r="A83" s="1">
        <v>2</v>
      </c>
      <c r="B83" s="83" t="s">
        <v>117</v>
      </c>
      <c r="C83" s="84" t="s">
        <v>301</v>
      </c>
      <c r="D83" s="62">
        <v>17</v>
      </c>
      <c r="E83" s="53"/>
      <c r="F83" s="53"/>
      <c r="G83" s="53"/>
      <c r="H83" s="53"/>
      <c r="I83" s="53"/>
      <c r="J83" s="53"/>
      <c r="K83" s="53"/>
      <c r="L83" s="53"/>
      <c r="M83" s="53"/>
      <c r="N83" s="161"/>
      <c r="O83" s="53"/>
      <c r="P83" s="44"/>
      <c r="Q83" s="44"/>
      <c r="R83" s="44"/>
    </row>
    <row r="84" spans="1:18" ht="45">
      <c r="A84" s="1">
        <v>3</v>
      </c>
      <c r="B84" s="83" t="s">
        <v>118</v>
      </c>
      <c r="C84" s="84" t="s">
        <v>302</v>
      </c>
      <c r="D84" s="62">
        <v>60000</v>
      </c>
      <c r="E84" s="53"/>
      <c r="F84" s="53"/>
      <c r="G84" s="53"/>
      <c r="H84" s="53"/>
      <c r="I84" s="53"/>
      <c r="J84" s="53"/>
      <c r="K84" s="53"/>
      <c r="L84" s="53"/>
      <c r="M84" s="53"/>
      <c r="N84" s="62">
        <v>500</v>
      </c>
      <c r="O84" s="53"/>
      <c r="P84" s="53"/>
      <c r="Q84" s="53"/>
      <c r="R84" s="53"/>
    </row>
    <row r="85" spans="1:18" ht="135" customHeight="1">
      <c r="A85" s="1">
        <v>4</v>
      </c>
      <c r="B85" s="83" t="s">
        <v>121</v>
      </c>
      <c r="C85" s="84" t="s">
        <v>303</v>
      </c>
      <c r="D85" s="62">
        <v>9</v>
      </c>
      <c r="E85" s="53"/>
      <c r="F85" s="53"/>
      <c r="G85" s="53"/>
      <c r="H85" s="53"/>
      <c r="I85" s="53"/>
      <c r="J85" s="53"/>
      <c r="K85" s="53"/>
      <c r="L85" s="53"/>
      <c r="M85" s="53"/>
      <c r="N85" s="62">
        <v>52307.5</v>
      </c>
      <c r="O85" s="53"/>
      <c r="P85" s="53"/>
      <c r="Q85" s="53"/>
      <c r="R85" s="53"/>
    </row>
    <row r="86" spans="1:18" ht="135">
      <c r="A86" s="1">
        <v>5</v>
      </c>
      <c r="B86" s="83" t="s">
        <v>123</v>
      </c>
      <c r="C86" s="84" t="s">
        <v>303</v>
      </c>
      <c r="D86" s="62">
        <v>11</v>
      </c>
      <c r="E86" s="53"/>
      <c r="F86" s="53"/>
      <c r="G86" s="53"/>
      <c r="H86" s="53"/>
      <c r="I86" s="53"/>
      <c r="J86" s="53"/>
      <c r="K86" s="53"/>
      <c r="L86" s="53"/>
      <c r="M86" s="53"/>
      <c r="N86" s="62">
        <v>10132.2</v>
      </c>
      <c r="O86" s="53"/>
      <c r="P86" s="53"/>
      <c r="Q86" s="53"/>
      <c r="R86" s="53"/>
    </row>
    <row r="87" spans="1:18" ht="150">
      <c r="A87" s="1">
        <v>6</v>
      </c>
      <c r="B87" s="83" t="s">
        <v>124</v>
      </c>
      <c r="C87" s="84" t="s">
        <v>300</v>
      </c>
      <c r="D87" s="62">
        <v>8</v>
      </c>
      <c r="E87" s="53"/>
      <c r="F87" s="53"/>
      <c r="G87" s="53"/>
      <c r="H87" s="53"/>
      <c r="I87" s="53"/>
      <c r="J87" s="53"/>
      <c r="K87" s="53"/>
      <c r="L87" s="53"/>
      <c r="M87" s="53"/>
      <c r="N87" s="62">
        <v>12900</v>
      </c>
      <c r="O87" s="53"/>
      <c r="P87" s="53"/>
      <c r="Q87" s="53"/>
      <c r="R87" s="53"/>
    </row>
    <row r="88" spans="1:18" ht="165">
      <c r="A88" s="1">
        <v>7</v>
      </c>
      <c r="B88" s="83" t="s">
        <v>126</v>
      </c>
      <c r="C88" s="84" t="s">
        <v>299</v>
      </c>
      <c r="D88" s="62">
        <v>53</v>
      </c>
      <c r="E88" s="53"/>
      <c r="F88" s="53"/>
      <c r="G88" s="53"/>
      <c r="H88" s="53"/>
      <c r="I88" s="53"/>
      <c r="J88" s="53"/>
      <c r="K88" s="53"/>
      <c r="L88" s="53"/>
      <c r="M88" s="53"/>
      <c r="N88" s="62">
        <v>7900</v>
      </c>
      <c r="O88" s="53"/>
      <c r="P88" s="53"/>
      <c r="Q88" s="53"/>
      <c r="R88" s="53"/>
    </row>
    <row r="89" spans="1:18" ht="30">
      <c r="A89" s="1">
        <v>8</v>
      </c>
      <c r="B89" s="85" t="s">
        <v>363</v>
      </c>
      <c r="C89" s="84"/>
      <c r="D89" s="62"/>
      <c r="E89" s="53"/>
      <c r="F89" s="53"/>
      <c r="G89" s="53"/>
      <c r="H89" s="53"/>
      <c r="I89" s="53"/>
      <c r="J89" s="53"/>
      <c r="K89" s="53"/>
      <c r="L89" s="53"/>
      <c r="M89" s="53"/>
      <c r="N89" s="79">
        <v>12846.4</v>
      </c>
      <c r="O89" s="53"/>
      <c r="P89" s="53"/>
      <c r="Q89" s="53"/>
      <c r="R89" s="53"/>
    </row>
    <row r="90" spans="1:18" ht="28.5" customHeight="1">
      <c r="A90" s="3"/>
      <c r="B90" s="40" t="s">
        <v>0</v>
      </c>
      <c r="C90" s="3"/>
      <c r="D90" s="11" t="s">
        <v>8</v>
      </c>
      <c r="E90" s="11" t="s">
        <v>8</v>
      </c>
      <c r="F90" s="11" t="s">
        <v>8</v>
      </c>
      <c r="G90" s="11" t="s">
        <v>8</v>
      </c>
      <c r="H90" s="11" t="s">
        <v>8</v>
      </c>
      <c r="I90" s="11" t="s">
        <v>8</v>
      </c>
      <c r="J90" s="11" t="s">
        <v>8</v>
      </c>
      <c r="K90" s="11" t="s">
        <v>8</v>
      </c>
      <c r="L90" s="11" t="s">
        <v>8</v>
      </c>
      <c r="M90" s="11" t="s">
        <v>8</v>
      </c>
      <c r="N90" s="65">
        <f>SUM(N82:N89)</f>
        <v>102186.09999999999</v>
      </c>
      <c r="O90" s="65">
        <f>SUM(O82:O88)</f>
        <v>0</v>
      </c>
      <c r="P90" s="65">
        <f>SUM(P82:P88)</f>
        <v>0</v>
      </c>
      <c r="Q90" s="65">
        <f>SUM(Q82:Q88)</f>
        <v>0</v>
      </c>
      <c r="R90" s="65">
        <f>SUM(R82:R88)</f>
        <v>0</v>
      </c>
    </row>
    <row r="91" spans="1:18" ht="15">
      <c r="A91" s="138" t="s">
        <v>12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</row>
    <row r="92" spans="1:18" ht="45">
      <c r="A92" s="1">
        <v>1</v>
      </c>
      <c r="B92" s="33" t="s">
        <v>13</v>
      </c>
      <c r="C92" s="1" t="s">
        <v>14</v>
      </c>
      <c r="D92" s="14">
        <v>3</v>
      </c>
      <c r="E92" s="14">
        <v>3</v>
      </c>
      <c r="F92" s="14">
        <v>3</v>
      </c>
      <c r="G92" s="14">
        <v>3</v>
      </c>
      <c r="H92" s="14">
        <v>3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1207.64</v>
      </c>
      <c r="O92" s="56">
        <v>2287.84</v>
      </c>
      <c r="P92" s="56">
        <v>3086.69</v>
      </c>
      <c r="Q92" s="56">
        <v>3180.67</v>
      </c>
      <c r="R92" s="56">
        <v>3269.58</v>
      </c>
    </row>
    <row r="93" spans="1:18" ht="45">
      <c r="A93" s="1">
        <v>2</v>
      </c>
      <c r="B93" s="33" t="s">
        <v>30</v>
      </c>
      <c r="C93" s="1" t="s">
        <v>14</v>
      </c>
      <c r="D93" s="14">
        <v>6</v>
      </c>
      <c r="E93" s="14">
        <v>6</v>
      </c>
      <c r="F93" s="14">
        <v>5</v>
      </c>
      <c r="G93" s="14">
        <v>5</v>
      </c>
      <c r="H93" s="14">
        <v>5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2362.54</v>
      </c>
      <c r="O93" s="56">
        <v>3264.37</v>
      </c>
      <c r="P93" s="56">
        <v>2823.66</v>
      </c>
      <c r="Q93" s="56">
        <v>2886.84</v>
      </c>
      <c r="R93" s="56">
        <v>2958.32</v>
      </c>
    </row>
    <row r="94" spans="1:18" ht="45">
      <c r="A94" s="1">
        <v>3</v>
      </c>
      <c r="B94" s="33" t="s">
        <v>29</v>
      </c>
      <c r="C94" s="1" t="s">
        <v>14</v>
      </c>
      <c r="D94" s="14">
        <v>5</v>
      </c>
      <c r="E94" s="14">
        <v>6</v>
      </c>
      <c r="F94" s="14">
        <v>5</v>
      </c>
      <c r="G94" s="14">
        <v>5</v>
      </c>
      <c r="H94" s="14">
        <v>5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2146.23</v>
      </c>
      <c r="O94" s="56">
        <v>4024.69</v>
      </c>
      <c r="P94" s="56">
        <v>4160.2</v>
      </c>
      <c r="Q94" s="56">
        <v>4252.68</v>
      </c>
      <c r="R94" s="56">
        <v>4365.78</v>
      </c>
    </row>
    <row r="95" spans="1:18" ht="45">
      <c r="A95" s="1">
        <v>4</v>
      </c>
      <c r="B95" s="33" t="s">
        <v>28</v>
      </c>
      <c r="C95" s="1" t="s">
        <v>14</v>
      </c>
      <c r="D95" s="14">
        <v>9</v>
      </c>
      <c r="E95" s="14">
        <v>12</v>
      </c>
      <c r="F95" s="14">
        <v>12</v>
      </c>
      <c r="G95" s="14">
        <v>12</v>
      </c>
      <c r="H95" s="14">
        <v>12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3768.63</v>
      </c>
      <c r="O95" s="56">
        <v>6376.26</v>
      </c>
      <c r="P95" s="56">
        <v>7177.7</v>
      </c>
      <c r="Q95" s="56">
        <v>7338.12</v>
      </c>
      <c r="R95" s="56">
        <v>7522.17</v>
      </c>
    </row>
    <row r="96" spans="1:18" ht="45">
      <c r="A96" s="1">
        <v>5</v>
      </c>
      <c r="B96" s="33" t="s">
        <v>27</v>
      </c>
      <c r="C96" s="1" t="s">
        <v>14</v>
      </c>
      <c r="D96" s="14">
        <v>22</v>
      </c>
      <c r="E96" s="14">
        <v>18</v>
      </c>
      <c r="F96" s="14">
        <v>19</v>
      </c>
      <c r="G96" s="14">
        <v>19</v>
      </c>
      <c r="H96" s="14">
        <v>19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7210.1</v>
      </c>
      <c r="O96" s="56">
        <v>7029.06</v>
      </c>
      <c r="P96" s="56">
        <v>9037.02</v>
      </c>
      <c r="Q96" s="56">
        <v>9239.96</v>
      </c>
      <c r="R96" s="56">
        <v>9458.84</v>
      </c>
    </row>
    <row r="97" spans="1:18" ht="45">
      <c r="A97" s="1">
        <v>6</v>
      </c>
      <c r="B97" s="33" t="s">
        <v>24</v>
      </c>
      <c r="C97" s="1" t="s">
        <v>14</v>
      </c>
      <c r="D97" s="14">
        <v>14</v>
      </c>
      <c r="E97" s="14">
        <v>9</v>
      </c>
      <c r="F97" s="14">
        <v>12</v>
      </c>
      <c r="G97" s="14">
        <v>12</v>
      </c>
      <c r="H97" s="14">
        <v>12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3598.1</v>
      </c>
      <c r="O97" s="56">
        <v>4681.18</v>
      </c>
      <c r="P97" s="56">
        <v>5312.24</v>
      </c>
      <c r="Q97" s="56">
        <v>5431.78</v>
      </c>
      <c r="R97" s="56">
        <v>5556.89</v>
      </c>
    </row>
    <row r="98" spans="1:18" ht="45">
      <c r="A98" s="1">
        <v>7</v>
      </c>
      <c r="B98" s="33" t="s">
        <v>25</v>
      </c>
      <c r="C98" s="1" t="s">
        <v>14</v>
      </c>
      <c r="D98" s="14">
        <v>11</v>
      </c>
      <c r="E98" s="14">
        <v>11</v>
      </c>
      <c r="F98" s="14">
        <v>12</v>
      </c>
      <c r="G98" s="14">
        <v>12</v>
      </c>
      <c r="H98" s="14">
        <v>12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5383.6</v>
      </c>
      <c r="O98" s="56">
        <v>4224.54</v>
      </c>
      <c r="P98" s="56">
        <v>5268.929999999999</v>
      </c>
      <c r="Q98" s="56">
        <v>5387.429999999999</v>
      </c>
      <c r="R98" s="56">
        <v>5512.05</v>
      </c>
    </row>
    <row r="99" spans="1:18" ht="45">
      <c r="A99" s="1">
        <v>8</v>
      </c>
      <c r="B99" s="33" t="s">
        <v>26</v>
      </c>
      <c r="C99" s="1" t="s">
        <v>14</v>
      </c>
      <c r="D99" s="14">
        <v>80</v>
      </c>
      <c r="E99" s="14">
        <v>85</v>
      </c>
      <c r="F99" s="14">
        <v>82</v>
      </c>
      <c r="G99" s="14">
        <v>82</v>
      </c>
      <c r="H99" s="14">
        <v>82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23915</v>
      </c>
      <c r="O99" s="56">
        <v>24971.75</v>
      </c>
      <c r="P99" s="56">
        <v>30162.82</v>
      </c>
      <c r="Q99" s="56">
        <v>30829.01</v>
      </c>
      <c r="R99" s="56">
        <v>31419.39</v>
      </c>
    </row>
    <row r="100" spans="1:18" ht="45">
      <c r="A100" s="1">
        <v>9</v>
      </c>
      <c r="B100" s="33" t="s">
        <v>304</v>
      </c>
      <c r="C100" s="1" t="s">
        <v>14</v>
      </c>
      <c r="D100" s="14">
        <v>7</v>
      </c>
      <c r="E100" s="14">
        <v>0</v>
      </c>
      <c r="F100" s="14">
        <v>0</v>
      </c>
      <c r="G100" s="14">
        <v>0</v>
      </c>
      <c r="H100" s="14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2168.12</v>
      </c>
      <c r="O100" s="56">
        <v>3687.76</v>
      </c>
      <c r="P100" s="56">
        <v>5687.76</v>
      </c>
      <c r="Q100" s="56">
        <v>5741.56</v>
      </c>
      <c r="R100" s="56">
        <v>3263.72</v>
      </c>
    </row>
    <row r="101" spans="1:18" ht="45">
      <c r="A101" s="1">
        <v>10</v>
      </c>
      <c r="B101" s="33" t="s">
        <v>23</v>
      </c>
      <c r="C101" s="1" t="s">
        <v>14</v>
      </c>
      <c r="D101" s="14">
        <v>29</v>
      </c>
      <c r="E101" s="14">
        <v>57</v>
      </c>
      <c r="F101" s="14">
        <v>57</v>
      </c>
      <c r="G101" s="14">
        <v>57</v>
      </c>
      <c r="H101" s="14">
        <v>57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9675.98</v>
      </c>
      <c r="O101" s="56">
        <v>22123.7</v>
      </c>
      <c r="P101" s="56">
        <v>23298.55</v>
      </c>
      <c r="Q101" s="56">
        <v>23899.9</v>
      </c>
      <c r="R101" s="56">
        <v>19012.1</v>
      </c>
    </row>
    <row r="102" spans="1:18" ht="45">
      <c r="A102" s="1">
        <v>11</v>
      </c>
      <c r="B102" s="33" t="s">
        <v>31</v>
      </c>
      <c r="C102" s="1" t="s">
        <v>14</v>
      </c>
      <c r="D102" s="14">
        <v>48</v>
      </c>
      <c r="E102" s="14">
        <v>105</v>
      </c>
      <c r="F102" s="14">
        <v>105</v>
      </c>
      <c r="G102" s="14">
        <v>105</v>
      </c>
      <c r="H102" s="14">
        <v>105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42269.95</v>
      </c>
      <c r="O102" s="56">
        <v>32158.39</v>
      </c>
      <c r="P102" s="56">
        <v>34346.5</v>
      </c>
      <c r="Q102" s="56">
        <v>35561.66</v>
      </c>
      <c r="R102" s="56">
        <v>27303.41</v>
      </c>
    </row>
    <row r="103" spans="1:18" ht="45">
      <c r="A103" s="1">
        <v>12</v>
      </c>
      <c r="B103" s="33" t="s">
        <v>35</v>
      </c>
      <c r="C103" s="1" t="s">
        <v>14</v>
      </c>
      <c r="D103" s="14">
        <v>2</v>
      </c>
      <c r="E103" s="14">
        <v>2</v>
      </c>
      <c r="F103" s="14">
        <v>2</v>
      </c>
      <c r="G103" s="14">
        <v>2</v>
      </c>
      <c r="H103" s="14">
        <v>2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2099.9456</v>
      </c>
      <c r="O103" s="56">
        <v>2147.3013575705054</v>
      </c>
      <c r="P103" s="56">
        <v>2499.206436236269</v>
      </c>
      <c r="Q103" s="56">
        <v>2929.772304103377</v>
      </c>
      <c r="R103" s="56">
        <v>2898.812855368227</v>
      </c>
    </row>
    <row r="104" spans="1:18" ht="45">
      <c r="A104" s="1">
        <v>13</v>
      </c>
      <c r="B104" s="33" t="s">
        <v>51</v>
      </c>
      <c r="C104" s="1" t="s">
        <v>14</v>
      </c>
      <c r="D104" s="14">
        <v>1</v>
      </c>
      <c r="E104" s="14">
        <v>2</v>
      </c>
      <c r="F104" s="14">
        <v>2</v>
      </c>
      <c r="G104" s="14">
        <v>2</v>
      </c>
      <c r="H104" s="14">
        <v>2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976.45225</v>
      </c>
      <c r="O104" s="56">
        <v>998.4721709113676</v>
      </c>
      <c r="P104" s="56">
        <v>1166.14146037711</v>
      </c>
      <c r="Q104" s="56">
        <v>1366.3499850417682</v>
      </c>
      <c r="R104" s="56">
        <v>1347.9169817319219</v>
      </c>
    </row>
    <row r="105" spans="1:18" ht="45">
      <c r="A105" s="1">
        <v>14</v>
      </c>
      <c r="B105" s="33" t="s">
        <v>36</v>
      </c>
      <c r="C105" s="1" t="s">
        <v>14</v>
      </c>
      <c r="D105" s="14">
        <v>15</v>
      </c>
      <c r="E105" s="14">
        <v>17</v>
      </c>
      <c r="F105" s="14">
        <v>19</v>
      </c>
      <c r="G105" s="14">
        <v>19</v>
      </c>
      <c r="H105" s="14">
        <v>19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6996.0327</v>
      </c>
      <c r="O105" s="56">
        <v>7153.79984810923</v>
      </c>
      <c r="P105" s="56">
        <v>8372.729602820378</v>
      </c>
      <c r="Q105" s="56">
        <v>9807.172900352547</v>
      </c>
      <c r="R105" s="56">
        <v>9657.483283060516</v>
      </c>
    </row>
    <row r="106" spans="1:18" ht="45">
      <c r="A106" s="1">
        <v>15</v>
      </c>
      <c r="B106" s="33" t="s">
        <v>37</v>
      </c>
      <c r="C106" s="1" t="s">
        <v>14</v>
      </c>
      <c r="D106" s="14">
        <v>1</v>
      </c>
      <c r="E106" s="14">
        <v>2</v>
      </c>
      <c r="F106" s="14">
        <v>2</v>
      </c>
      <c r="G106" s="14">
        <v>2</v>
      </c>
      <c r="H106" s="14">
        <v>2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1767.6262</v>
      </c>
      <c r="O106" s="56">
        <v>1807.4878410836898</v>
      </c>
      <c r="P106" s="56">
        <v>2104.8976021532453</v>
      </c>
      <c r="Q106" s="56">
        <v>2467.3258045160296</v>
      </c>
      <c r="R106" s="56">
        <v>2440.0715675899833</v>
      </c>
    </row>
    <row r="107" spans="1:18" ht="45">
      <c r="A107" s="1">
        <v>16</v>
      </c>
      <c r="B107" s="33" t="s">
        <v>38</v>
      </c>
      <c r="C107" s="1" t="s">
        <v>14</v>
      </c>
      <c r="D107" s="14">
        <v>3</v>
      </c>
      <c r="E107" s="14">
        <v>3</v>
      </c>
      <c r="F107" s="14">
        <v>3</v>
      </c>
      <c r="G107" s="14">
        <v>3</v>
      </c>
      <c r="H107" s="14">
        <v>3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2154.3655</v>
      </c>
      <c r="O107" s="56">
        <v>2202.9484777382136</v>
      </c>
      <c r="P107" s="56">
        <v>2567.5505907337633</v>
      </c>
      <c r="Q107" s="56">
        <v>3009.2745340637507</v>
      </c>
      <c r="R107" s="56">
        <v>2973.935327925541</v>
      </c>
    </row>
    <row r="108" spans="1:18" ht="45">
      <c r="A108" s="1">
        <v>17</v>
      </c>
      <c r="B108" s="33" t="s">
        <v>39</v>
      </c>
      <c r="C108" s="1" t="s">
        <v>14</v>
      </c>
      <c r="D108" s="14">
        <v>125</v>
      </c>
      <c r="E108" s="14">
        <v>128</v>
      </c>
      <c r="F108" s="14">
        <v>128</v>
      </c>
      <c r="G108" s="14">
        <v>128</v>
      </c>
      <c r="H108" s="14">
        <v>128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57245.5607</v>
      </c>
      <c r="O108" s="56">
        <v>58536.50218653034</v>
      </c>
      <c r="P108" s="56">
        <v>68406.84581267163</v>
      </c>
      <c r="Q108" s="56">
        <v>80144.28535602681</v>
      </c>
      <c r="R108" s="56">
        <v>79023.07910734552</v>
      </c>
    </row>
    <row r="109" spans="1:18" ht="45">
      <c r="A109" s="1">
        <v>18</v>
      </c>
      <c r="B109" s="33" t="s">
        <v>40</v>
      </c>
      <c r="C109" s="1" t="s">
        <v>14</v>
      </c>
      <c r="D109" s="14">
        <v>112</v>
      </c>
      <c r="E109" s="14">
        <v>110</v>
      </c>
      <c r="F109" s="14">
        <v>110</v>
      </c>
      <c r="G109" s="14">
        <v>110</v>
      </c>
      <c r="H109" s="14">
        <v>110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10559.208</v>
      </c>
      <c r="O109" s="56">
        <v>10797.328118056648</v>
      </c>
      <c r="P109" s="56">
        <v>12943.90732500761</v>
      </c>
      <c r="Q109" s="56">
        <v>15108.93224589571</v>
      </c>
      <c r="R109" s="56">
        <v>14576.17182697829</v>
      </c>
    </row>
    <row r="110" spans="1:18" ht="45">
      <c r="A110" s="1">
        <v>19</v>
      </c>
      <c r="B110" s="33" t="s">
        <v>305</v>
      </c>
      <c r="C110" s="1" t="s">
        <v>14</v>
      </c>
      <c r="D110" s="14">
        <v>17</v>
      </c>
      <c r="E110" s="14">
        <v>0</v>
      </c>
      <c r="F110" s="14">
        <v>56</v>
      </c>
      <c r="G110" s="14">
        <v>26</v>
      </c>
      <c r="H110" s="14">
        <v>26</v>
      </c>
      <c r="I110" s="5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25191</v>
      </c>
      <c r="O110" s="56">
        <v>0</v>
      </c>
      <c r="P110" s="56">
        <v>25000</v>
      </c>
      <c r="Q110" s="56">
        <v>25000</v>
      </c>
      <c r="R110" s="56">
        <v>25000</v>
      </c>
    </row>
    <row r="111" spans="1:18" ht="45">
      <c r="A111" s="1">
        <v>20</v>
      </c>
      <c r="B111" s="33" t="s">
        <v>54</v>
      </c>
      <c r="C111" s="1" t="s">
        <v>14</v>
      </c>
      <c r="D111" s="14">
        <v>128</v>
      </c>
      <c r="E111" s="14">
        <v>138</v>
      </c>
      <c r="F111" s="14">
        <v>138</v>
      </c>
      <c r="G111" s="14">
        <v>126</v>
      </c>
      <c r="H111" s="14">
        <v>126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33468.4</v>
      </c>
      <c r="O111" s="56">
        <v>34493.12</v>
      </c>
      <c r="P111" s="56">
        <v>43096.49</v>
      </c>
      <c r="Q111" s="56">
        <v>54697.979999999996</v>
      </c>
      <c r="R111" s="56">
        <v>56015.85</v>
      </c>
    </row>
    <row r="112" spans="1:18" ht="30">
      <c r="A112" s="1">
        <v>21</v>
      </c>
      <c r="B112" s="33" t="s">
        <v>55</v>
      </c>
      <c r="C112" s="1" t="s">
        <v>14</v>
      </c>
      <c r="D112" s="14">
        <v>153</v>
      </c>
      <c r="E112" s="14">
        <v>130</v>
      </c>
      <c r="F112" s="14">
        <v>126</v>
      </c>
      <c r="G112" s="14">
        <v>126</v>
      </c>
      <c r="H112" s="14">
        <v>126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11073.2</v>
      </c>
      <c r="O112" s="56">
        <v>10140.62</v>
      </c>
      <c r="P112" s="56">
        <v>15508.81</v>
      </c>
      <c r="Q112" s="56">
        <v>20688.49</v>
      </c>
      <c r="R112" s="56">
        <v>21119.69</v>
      </c>
    </row>
    <row r="113" spans="1:18" ht="60">
      <c r="A113" s="1">
        <v>22</v>
      </c>
      <c r="B113" s="33" t="s">
        <v>48</v>
      </c>
      <c r="C113" s="1" t="s">
        <v>16</v>
      </c>
      <c r="D113" s="14">
        <v>19</v>
      </c>
      <c r="E113" s="14">
        <v>38</v>
      </c>
      <c r="F113" s="14">
        <v>28</v>
      </c>
      <c r="G113" s="14">
        <v>28</v>
      </c>
      <c r="H113" s="14">
        <v>28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5063.47</v>
      </c>
      <c r="O113" s="56">
        <v>8750</v>
      </c>
      <c r="P113" s="56">
        <v>8204</v>
      </c>
      <c r="Q113" s="56">
        <v>7876</v>
      </c>
      <c r="R113" s="56">
        <v>8762</v>
      </c>
    </row>
    <row r="114" spans="1:18" ht="60" customHeight="1">
      <c r="A114" s="1">
        <v>23</v>
      </c>
      <c r="B114" s="33" t="s">
        <v>34</v>
      </c>
      <c r="C114" s="1" t="s">
        <v>16</v>
      </c>
      <c r="D114" s="14">
        <v>8</v>
      </c>
      <c r="E114" s="14">
        <v>12</v>
      </c>
      <c r="F114" s="14">
        <v>6</v>
      </c>
      <c r="G114" s="14">
        <v>6</v>
      </c>
      <c r="H114" s="14">
        <v>6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275.6</v>
      </c>
      <c r="O114" s="56">
        <v>1146</v>
      </c>
      <c r="P114" s="56">
        <v>1352</v>
      </c>
      <c r="Q114" s="56">
        <v>1464</v>
      </c>
      <c r="R114" s="56">
        <v>1572</v>
      </c>
    </row>
    <row r="115" spans="1:18" ht="45">
      <c r="A115" s="1">
        <v>24</v>
      </c>
      <c r="B115" s="33" t="s">
        <v>17</v>
      </c>
      <c r="C115" s="1" t="s">
        <v>16</v>
      </c>
      <c r="D115" s="14">
        <v>266</v>
      </c>
      <c r="E115" s="14">
        <v>364</v>
      </c>
      <c r="F115" s="14">
        <v>364</v>
      </c>
      <c r="G115" s="14">
        <v>364</v>
      </c>
      <c r="H115" s="14">
        <v>364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62662.369999999995</v>
      </c>
      <c r="O115" s="56">
        <v>64507.903</v>
      </c>
      <c r="P115" s="56">
        <v>65298.41</v>
      </c>
      <c r="Q115" s="56">
        <v>67181.28</v>
      </c>
      <c r="R115" s="56">
        <v>69569.28</v>
      </c>
    </row>
    <row r="116" spans="1:18" ht="45">
      <c r="A116" s="1">
        <v>25</v>
      </c>
      <c r="B116" s="33" t="s">
        <v>42</v>
      </c>
      <c r="C116" s="1" t="s">
        <v>16</v>
      </c>
      <c r="D116" s="14">
        <v>23</v>
      </c>
      <c r="E116" s="14">
        <v>31</v>
      </c>
      <c r="F116" s="14">
        <v>71</v>
      </c>
      <c r="G116" s="14">
        <v>71</v>
      </c>
      <c r="H116" s="14">
        <v>71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2983.3</v>
      </c>
      <c r="O116" s="56">
        <v>4313</v>
      </c>
      <c r="P116" s="56">
        <v>8439</v>
      </c>
      <c r="Q116" s="56">
        <v>8785.6</v>
      </c>
      <c r="R116" s="56">
        <v>9385.26</v>
      </c>
    </row>
    <row r="117" spans="1:18" ht="45">
      <c r="A117" s="1">
        <v>26</v>
      </c>
      <c r="B117" s="33" t="s">
        <v>18</v>
      </c>
      <c r="C117" s="1" t="s">
        <v>16</v>
      </c>
      <c r="D117" s="14">
        <v>43</v>
      </c>
      <c r="E117" s="14">
        <v>81</v>
      </c>
      <c r="F117" s="14">
        <v>75</v>
      </c>
      <c r="G117" s="14">
        <v>75</v>
      </c>
      <c r="H117" s="14">
        <v>75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17563.079999999998</v>
      </c>
      <c r="O117" s="56">
        <v>15534.41</v>
      </c>
      <c r="P117" s="56">
        <v>14292.3</v>
      </c>
      <c r="Q117" s="56">
        <v>14983.11</v>
      </c>
      <c r="R117" s="56">
        <v>15670.27</v>
      </c>
    </row>
    <row r="118" spans="1:18" ht="39.75" customHeight="1">
      <c r="A118" s="1">
        <v>27</v>
      </c>
      <c r="B118" s="33" t="s">
        <v>49</v>
      </c>
      <c r="C118" s="1" t="s">
        <v>16</v>
      </c>
      <c r="D118" s="14">
        <v>12</v>
      </c>
      <c r="E118" s="14">
        <v>9</v>
      </c>
      <c r="F118" s="14">
        <v>6</v>
      </c>
      <c r="G118" s="14">
        <v>6</v>
      </c>
      <c r="H118" s="14">
        <v>6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3361.96</v>
      </c>
      <c r="O118" s="56">
        <v>3243.96</v>
      </c>
      <c r="P118" s="56">
        <v>3526.99</v>
      </c>
      <c r="Q118" s="56">
        <v>3472.07</v>
      </c>
      <c r="R118" s="56">
        <v>3533.2</v>
      </c>
    </row>
    <row r="119" spans="1:18" ht="45">
      <c r="A119" s="1">
        <v>28</v>
      </c>
      <c r="B119" s="33" t="s">
        <v>46</v>
      </c>
      <c r="C119" s="1" t="s">
        <v>16</v>
      </c>
      <c r="D119" s="14">
        <v>13</v>
      </c>
      <c r="E119" s="14">
        <v>13</v>
      </c>
      <c r="F119" s="14">
        <v>13</v>
      </c>
      <c r="G119" s="14">
        <v>13</v>
      </c>
      <c r="H119" s="14">
        <v>13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1817</v>
      </c>
      <c r="O119" s="56">
        <v>1631</v>
      </c>
      <c r="P119" s="56">
        <v>1682</v>
      </c>
      <c r="Q119" s="56">
        <v>1757</v>
      </c>
      <c r="R119" s="56">
        <v>1814</v>
      </c>
    </row>
    <row r="120" spans="1:18" ht="30">
      <c r="A120" s="1">
        <v>29</v>
      </c>
      <c r="B120" s="33" t="s">
        <v>43</v>
      </c>
      <c r="C120" s="1" t="s">
        <v>16</v>
      </c>
      <c r="D120" s="14">
        <v>2</v>
      </c>
      <c r="E120" s="14">
        <v>6</v>
      </c>
      <c r="F120" s="14">
        <v>7</v>
      </c>
      <c r="G120" s="14">
        <v>7</v>
      </c>
      <c r="H120" s="14">
        <v>7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353.22</v>
      </c>
      <c r="O120" s="56">
        <v>1094</v>
      </c>
      <c r="P120" s="56">
        <v>1675.5638182956932</v>
      </c>
      <c r="Q120" s="56">
        <v>1764.1867800169473</v>
      </c>
      <c r="R120" s="56">
        <v>1904.5542883984822</v>
      </c>
    </row>
    <row r="121" spans="1:18" ht="30">
      <c r="A121" s="1">
        <v>30</v>
      </c>
      <c r="B121" s="33" t="s">
        <v>44</v>
      </c>
      <c r="C121" s="1" t="s">
        <v>16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</row>
    <row r="122" spans="1:18" ht="30">
      <c r="A122" s="1">
        <v>31</v>
      </c>
      <c r="B122" s="33" t="s">
        <v>22</v>
      </c>
      <c r="C122" s="1" t="s">
        <v>16</v>
      </c>
      <c r="D122" s="14">
        <v>223</v>
      </c>
      <c r="E122" s="14">
        <v>351</v>
      </c>
      <c r="F122" s="14">
        <v>342</v>
      </c>
      <c r="G122" s="14">
        <v>342</v>
      </c>
      <c r="H122" s="14">
        <v>349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34801.63</v>
      </c>
      <c r="O122" s="56">
        <v>38499.69000000001</v>
      </c>
      <c r="P122" s="56">
        <v>43711.908207272594</v>
      </c>
      <c r="Q122" s="56">
        <v>44403.37133151931</v>
      </c>
      <c r="R122" s="56">
        <v>44348.55</v>
      </c>
    </row>
    <row r="123" spans="1:18" ht="30">
      <c r="A123" s="1">
        <v>32</v>
      </c>
      <c r="B123" s="33" t="s">
        <v>21</v>
      </c>
      <c r="C123" s="1" t="s">
        <v>16</v>
      </c>
      <c r="D123" s="14">
        <v>18</v>
      </c>
      <c r="E123" s="14">
        <v>28</v>
      </c>
      <c r="F123" s="14">
        <v>30</v>
      </c>
      <c r="G123" s="14">
        <v>30</v>
      </c>
      <c r="H123" s="14">
        <v>30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4330.030000000001</v>
      </c>
      <c r="O123" s="56">
        <v>3974.577</v>
      </c>
      <c r="P123" s="56">
        <v>4258.937184909553</v>
      </c>
      <c r="Q123" s="56">
        <v>4431.178763401245</v>
      </c>
      <c r="R123" s="56">
        <v>4614.904358582324</v>
      </c>
    </row>
    <row r="124" spans="1:18" ht="30">
      <c r="A124" s="1">
        <v>33</v>
      </c>
      <c r="B124" s="33" t="s">
        <v>20</v>
      </c>
      <c r="C124" s="1" t="s">
        <v>16</v>
      </c>
      <c r="D124" s="14">
        <v>21</v>
      </c>
      <c r="E124" s="14">
        <v>51</v>
      </c>
      <c r="F124" s="14">
        <v>55</v>
      </c>
      <c r="G124" s="14">
        <v>55</v>
      </c>
      <c r="H124" s="14">
        <v>59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4615.52</v>
      </c>
      <c r="O124" s="56">
        <v>5827.056</v>
      </c>
      <c r="P124" s="56">
        <v>5013.690789522161</v>
      </c>
      <c r="Q124" s="56">
        <v>5199.8381250625</v>
      </c>
      <c r="R124" s="56">
        <v>5610.802895879495</v>
      </c>
    </row>
    <row r="125" spans="1:18" ht="60">
      <c r="A125" s="1">
        <v>34</v>
      </c>
      <c r="B125" s="33" t="s">
        <v>32</v>
      </c>
      <c r="C125" s="1" t="s">
        <v>16</v>
      </c>
      <c r="D125" s="14">
        <v>1</v>
      </c>
      <c r="E125" s="14">
        <v>4</v>
      </c>
      <c r="F125" s="14">
        <v>4</v>
      </c>
      <c r="G125" s="14">
        <v>4</v>
      </c>
      <c r="H125" s="14">
        <v>4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</row>
    <row r="126" spans="1:18" ht="90">
      <c r="A126" s="1">
        <v>35</v>
      </c>
      <c r="B126" s="33" t="s">
        <v>52</v>
      </c>
      <c r="C126" s="1" t="s">
        <v>16</v>
      </c>
      <c r="D126" s="14">
        <v>7</v>
      </c>
      <c r="E126" s="14">
        <v>16</v>
      </c>
      <c r="F126" s="14">
        <v>15</v>
      </c>
      <c r="G126" s="14">
        <v>15</v>
      </c>
      <c r="H126" s="14">
        <v>15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5212.32</v>
      </c>
      <c r="O126" s="56">
        <v>8943.45</v>
      </c>
      <c r="P126" s="56">
        <v>11161.27</v>
      </c>
      <c r="Q126" s="56">
        <v>11087.8</v>
      </c>
      <c r="R126" s="56">
        <v>11323.08</v>
      </c>
    </row>
    <row r="127" spans="1:18" ht="30">
      <c r="A127" s="1">
        <v>36</v>
      </c>
      <c r="B127" s="33" t="s">
        <v>15</v>
      </c>
      <c r="C127" s="1" t="s">
        <v>16</v>
      </c>
      <c r="D127" s="14">
        <v>186</v>
      </c>
      <c r="E127" s="14">
        <v>147</v>
      </c>
      <c r="F127" s="14">
        <v>152</v>
      </c>
      <c r="G127" s="14">
        <v>152</v>
      </c>
      <c r="H127" s="14">
        <v>152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55409.83</v>
      </c>
      <c r="O127" s="56">
        <v>25740.713</v>
      </c>
      <c r="P127" s="56">
        <v>25376.042</v>
      </c>
      <c r="Q127" s="56">
        <v>27312.42</v>
      </c>
      <c r="R127" s="56">
        <v>27214.49</v>
      </c>
    </row>
    <row r="128" spans="1:18" ht="45">
      <c r="A128" s="1">
        <v>37</v>
      </c>
      <c r="B128" s="33" t="s">
        <v>19</v>
      </c>
      <c r="C128" s="1" t="s">
        <v>16</v>
      </c>
      <c r="D128" s="14">
        <v>75</v>
      </c>
      <c r="E128" s="14">
        <v>101</v>
      </c>
      <c r="F128" s="14">
        <v>99</v>
      </c>
      <c r="G128" s="14">
        <v>99</v>
      </c>
      <c r="H128" s="14">
        <v>84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11482.48</v>
      </c>
      <c r="O128" s="56">
        <v>14396.810000000001</v>
      </c>
      <c r="P128" s="56">
        <v>17403.44</v>
      </c>
      <c r="Q128" s="56">
        <v>18361.48</v>
      </c>
      <c r="R128" s="56">
        <v>16218.034778519257</v>
      </c>
    </row>
    <row r="129" spans="1:18" ht="45">
      <c r="A129" s="1">
        <v>38</v>
      </c>
      <c r="B129" s="33" t="s">
        <v>45</v>
      </c>
      <c r="C129" s="1" t="s">
        <v>16</v>
      </c>
      <c r="D129" s="14">
        <v>30</v>
      </c>
      <c r="E129" s="14">
        <v>40</v>
      </c>
      <c r="F129" s="14">
        <v>37</v>
      </c>
      <c r="G129" s="14">
        <v>37</v>
      </c>
      <c r="H129" s="14">
        <v>22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6588.800000000001</v>
      </c>
      <c r="O129" s="56">
        <v>11424.17</v>
      </c>
      <c r="P129" s="56">
        <v>14741.630000000001</v>
      </c>
      <c r="Q129" s="56">
        <v>14304.09</v>
      </c>
      <c r="R129" s="56">
        <v>15116.869999999999</v>
      </c>
    </row>
    <row r="130" spans="1:18" ht="45" customHeight="1">
      <c r="A130" s="1">
        <v>39</v>
      </c>
      <c r="B130" s="33" t="s">
        <v>306</v>
      </c>
      <c r="C130" s="1" t="s">
        <v>16</v>
      </c>
      <c r="D130" s="14">
        <v>8</v>
      </c>
      <c r="E130" s="14">
        <v>8</v>
      </c>
      <c r="F130" s="14">
        <v>8</v>
      </c>
      <c r="G130" s="14">
        <v>8</v>
      </c>
      <c r="H130" s="14">
        <v>8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459.4</v>
      </c>
      <c r="O130" s="56">
        <v>48.38</v>
      </c>
      <c r="P130" s="56">
        <v>222.48076230886448</v>
      </c>
      <c r="Q130" s="56">
        <v>231.38011349902789</v>
      </c>
      <c r="R130" s="56">
        <v>240.63522148074193</v>
      </c>
    </row>
    <row r="131" spans="1:18" ht="15">
      <c r="A131" s="1">
        <v>40</v>
      </c>
      <c r="B131" s="33" t="s">
        <v>33</v>
      </c>
      <c r="C131" s="1" t="s">
        <v>56</v>
      </c>
      <c r="D131" s="14">
        <v>150573</v>
      </c>
      <c r="E131" s="14">
        <v>224446.75</v>
      </c>
      <c r="F131" s="14">
        <v>224446.75</v>
      </c>
      <c r="G131" s="14">
        <v>224446.75</v>
      </c>
      <c r="H131" s="14">
        <v>224446.75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161202.66</v>
      </c>
      <c r="O131" s="56">
        <v>235124.04</v>
      </c>
      <c r="P131" s="56">
        <v>244529</v>
      </c>
      <c r="Q131" s="56">
        <v>254310.16</v>
      </c>
      <c r="R131" s="56">
        <v>264482.57</v>
      </c>
    </row>
    <row r="132" spans="1:18" ht="15" customHeight="1">
      <c r="A132" s="150">
        <v>41</v>
      </c>
      <c r="B132" s="148" t="s">
        <v>41</v>
      </c>
      <c r="C132" s="1" t="s">
        <v>14</v>
      </c>
      <c r="D132" s="14">
        <v>120</v>
      </c>
      <c r="E132" s="14">
        <v>184</v>
      </c>
      <c r="F132" s="14">
        <v>194</v>
      </c>
      <c r="G132" s="14">
        <v>204</v>
      </c>
      <c r="H132" s="14">
        <v>204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</row>
    <row r="133" spans="1:18" ht="15">
      <c r="A133" s="151"/>
      <c r="B133" s="149"/>
      <c r="C133" s="1" t="s">
        <v>57</v>
      </c>
      <c r="D133" s="14">
        <v>227</v>
      </c>
      <c r="E133" s="14">
        <v>199</v>
      </c>
      <c r="F133" s="14">
        <v>199</v>
      </c>
      <c r="G133" s="14">
        <v>199</v>
      </c>
      <c r="H133" s="14">
        <v>200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1573.22</v>
      </c>
      <c r="O133" s="56">
        <v>1768.33</v>
      </c>
      <c r="P133" s="56">
        <v>2173.13</v>
      </c>
      <c r="Q133" s="56">
        <v>2260.05</v>
      </c>
      <c r="R133" s="56">
        <v>3054.27</v>
      </c>
    </row>
    <row r="134" spans="1:18" ht="60">
      <c r="A134" s="1">
        <v>42</v>
      </c>
      <c r="B134" s="33" t="s">
        <v>50</v>
      </c>
      <c r="C134" s="1" t="s">
        <v>16</v>
      </c>
      <c r="D134" s="14">
        <v>3</v>
      </c>
      <c r="E134" s="14">
        <v>3</v>
      </c>
      <c r="F134" s="14">
        <v>3</v>
      </c>
      <c r="G134" s="14">
        <v>3</v>
      </c>
      <c r="H134" s="14">
        <v>3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334.24</v>
      </c>
      <c r="O134" s="56">
        <v>548</v>
      </c>
      <c r="P134" s="56">
        <v>323</v>
      </c>
      <c r="Q134" s="56">
        <v>323</v>
      </c>
      <c r="R134" s="56">
        <v>323</v>
      </c>
    </row>
    <row r="135" spans="1:18" ht="60" customHeight="1">
      <c r="A135" s="1">
        <v>43</v>
      </c>
      <c r="B135" s="33" t="s">
        <v>53</v>
      </c>
      <c r="C135" s="1" t="s">
        <v>16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624</v>
      </c>
      <c r="R135" s="56">
        <v>0</v>
      </c>
    </row>
    <row r="136" spans="1:18" ht="45">
      <c r="A136" s="1"/>
      <c r="B136" s="33" t="s">
        <v>361</v>
      </c>
      <c r="C136" s="1" t="s">
        <v>14</v>
      </c>
      <c r="D136" s="14">
        <v>0</v>
      </c>
      <c r="E136" s="14">
        <v>48</v>
      </c>
      <c r="F136" s="14">
        <v>48</v>
      </c>
      <c r="G136" s="14">
        <v>42</v>
      </c>
      <c r="H136" s="14">
        <v>42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32544.84</v>
      </c>
      <c r="P136" s="56">
        <v>7907.83</v>
      </c>
      <c r="Q136" s="56">
        <v>8407.04</v>
      </c>
      <c r="R136" s="56">
        <v>8727.86</v>
      </c>
    </row>
    <row r="137" spans="1:18" ht="15">
      <c r="A137" s="30"/>
      <c r="B137" s="10" t="s">
        <v>0</v>
      </c>
      <c r="C137" s="3" t="s">
        <v>8</v>
      </c>
      <c r="D137" s="3" t="s">
        <v>8</v>
      </c>
      <c r="E137" s="3" t="s">
        <v>8</v>
      </c>
      <c r="F137" s="3" t="s">
        <v>8</v>
      </c>
      <c r="G137" s="3" t="s">
        <v>8</v>
      </c>
      <c r="H137" s="3" t="s">
        <v>8</v>
      </c>
      <c r="I137" s="3" t="s">
        <v>8</v>
      </c>
      <c r="J137" s="3" t="s">
        <v>8</v>
      </c>
      <c r="K137" s="3" t="s">
        <v>8</v>
      </c>
      <c r="L137" s="3" t="s">
        <v>8</v>
      </c>
      <c r="M137" s="3" t="s">
        <v>8</v>
      </c>
      <c r="N137" s="86">
        <f>SUM(N92:N136)</f>
        <v>635327.8109500001</v>
      </c>
      <c r="O137" s="86">
        <f>SUM(O92:O136)</f>
        <v>722167.4489999999</v>
      </c>
      <c r="P137" s="86">
        <f>SUM(P92:P136)</f>
        <v>793321.2715923088</v>
      </c>
      <c r="Q137" s="86">
        <f>SUM(Q92:Q136)</f>
        <v>847508.248243499</v>
      </c>
      <c r="R137" s="86">
        <f>SUM(R92:R136)</f>
        <v>848180.8924928604</v>
      </c>
    </row>
    <row r="138" spans="1:18" s="57" customFormat="1" ht="15">
      <c r="A138" s="157" t="s">
        <v>266</v>
      </c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9"/>
    </row>
    <row r="139" spans="1:18" s="57" customFormat="1" ht="48.75" customHeight="1">
      <c r="A139" s="12">
        <v>1</v>
      </c>
      <c r="B139" s="41" t="s">
        <v>133</v>
      </c>
      <c r="C139" s="12" t="s">
        <v>134</v>
      </c>
      <c r="D139" s="111">
        <v>42255</v>
      </c>
      <c r="E139" s="111">
        <v>37830</v>
      </c>
      <c r="F139" s="111">
        <v>40180</v>
      </c>
      <c r="G139" s="111">
        <v>40180</v>
      </c>
      <c r="H139" s="111">
        <v>40180</v>
      </c>
      <c r="I139" s="101"/>
      <c r="J139" s="101"/>
      <c r="K139" s="101"/>
      <c r="L139" s="101"/>
      <c r="M139" s="101"/>
      <c r="N139" s="120">
        <v>86187.71</v>
      </c>
      <c r="O139" s="120">
        <v>97121.02</v>
      </c>
      <c r="P139" s="101">
        <v>104709.1</v>
      </c>
      <c r="Q139" s="101">
        <v>108897.5</v>
      </c>
      <c r="R139" s="101">
        <v>113253.4</v>
      </c>
    </row>
    <row r="140" spans="1:18" s="57" customFormat="1" ht="64.5" customHeight="1">
      <c r="A140" s="12">
        <f>A139+1</f>
        <v>2</v>
      </c>
      <c r="B140" s="41" t="s">
        <v>289</v>
      </c>
      <c r="C140" s="12" t="s">
        <v>134</v>
      </c>
      <c r="D140" s="111">
        <v>2491</v>
      </c>
      <c r="E140" s="111">
        <v>2905</v>
      </c>
      <c r="F140" s="111">
        <v>2905</v>
      </c>
      <c r="G140" s="111">
        <v>2905</v>
      </c>
      <c r="H140" s="111">
        <v>2905</v>
      </c>
      <c r="I140" s="101"/>
      <c r="J140" s="101"/>
      <c r="K140" s="101"/>
      <c r="L140" s="101"/>
      <c r="M140" s="101"/>
      <c r="N140" s="120">
        <v>123497.39</v>
      </c>
      <c r="O140" s="120">
        <v>135640.78</v>
      </c>
      <c r="P140" s="101">
        <v>138353.26</v>
      </c>
      <c r="Q140" s="101">
        <v>143887.3</v>
      </c>
      <c r="R140" s="101">
        <v>149642.8</v>
      </c>
    </row>
    <row r="141" spans="1:19" s="57" customFormat="1" ht="75">
      <c r="A141" s="12">
        <f aca="true" t="shared" si="0" ref="A141:A170">A140+1</f>
        <v>3</v>
      </c>
      <c r="B141" s="41" t="s">
        <v>136</v>
      </c>
      <c r="C141" s="12" t="s">
        <v>137</v>
      </c>
      <c r="D141" s="111">
        <v>102188</v>
      </c>
      <c r="E141" s="111">
        <v>124860</v>
      </c>
      <c r="F141" s="111">
        <f>50663+(4367+30418)*2</f>
        <v>120233</v>
      </c>
      <c r="G141" s="111">
        <v>120223</v>
      </c>
      <c r="H141" s="111">
        <v>120223</v>
      </c>
      <c r="I141" s="101"/>
      <c r="J141" s="101"/>
      <c r="K141" s="101"/>
      <c r="L141" s="101"/>
      <c r="M141" s="101"/>
      <c r="N141" s="120">
        <f>49174.7+39298.1</f>
        <v>88472.79999999999</v>
      </c>
      <c r="O141" s="120">
        <f>40235.69+29157+19523.3</f>
        <v>88915.99</v>
      </c>
      <c r="P141" s="101">
        <v>90558.16</v>
      </c>
      <c r="Q141" s="101">
        <v>94180.5</v>
      </c>
      <c r="R141" s="101">
        <v>97947.7</v>
      </c>
      <c r="S141" s="58"/>
    </row>
    <row r="142" spans="1:18" s="57" customFormat="1" ht="102" customHeight="1">
      <c r="A142" s="12">
        <f t="shared" si="0"/>
        <v>4</v>
      </c>
      <c r="B142" s="41" t="s">
        <v>396</v>
      </c>
      <c r="C142" s="12" t="s">
        <v>137</v>
      </c>
      <c r="D142" s="111">
        <v>17427</v>
      </c>
      <c r="E142" s="111">
        <v>17055</v>
      </c>
      <c r="F142" s="111">
        <v>17055</v>
      </c>
      <c r="G142" s="111">
        <v>17055</v>
      </c>
      <c r="H142" s="111">
        <v>17055</v>
      </c>
      <c r="I142" s="101"/>
      <c r="J142" s="101"/>
      <c r="K142" s="101"/>
      <c r="L142" s="101"/>
      <c r="M142" s="101"/>
      <c r="N142" s="120">
        <v>6282.6</v>
      </c>
      <c r="O142" s="120">
        <v>6978.9</v>
      </c>
      <c r="P142" s="101">
        <v>6992.6</v>
      </c>
      <c r="Q142" s="101">
        <v>7272.3</v>
      </c>
      <c r="R142" s="101">
        <v>7563.3</v>
      </c>
    </row>
    <row r="143" spans="1:18" s="57" customFormat="1" ht="52.5" customHeight="1">
      <c r="A143" s="12">
        <f t="shared" si="0"/>
        <v>5</v>
      </c>
      <c r="B143" s="41" t="s">
        <v>290</v>
      </c>
      <c r="C143" s="12" t="s">
        <v>137</v>
      </c>
      <c r="D143" s="111">
        <f>102463+12448+19950+(16541*3)</f>
        <v>184484</v>
      </c>
      <c r="E143" s="111">
        <v>207106</v>
      </c>
      <c r="F143" s="111">
        <v>206585</v>
      </c>
      <c r="G143" s="111">
        <v>206585</v>
      </c>
      <c r="H143" s="111">
        <v>206585</v>
      </c>
      <c r="I143" s="101"/>
      <c r="J143" s="101"/>
      <c r="K143" s="101"/>
      <c r="L143" s="101"/>
      <c r="M143" s="101"/>
      <c r="N143" s="120">
        <f>76454.1+29684.2+20574</f>
        <v>126712.3</v>
      </c>
      <c r="O143" s="120">
        <f>54004.2+23255.7+20574+29684.2+0.01</f>
        <v>127518.10999999999</v>
      </c>
      <c r="P143" s="101">
        <v>130519.61</v>
      </c>
      <c r="Q143" s="101">
        <v>135740.4</v>
      </c>
      <c r="R143" s="101">
        <v>141170</v>
      </c>
    </row>
    <row r="144" spans="1:18" s="57" customFormat="1" ht="54.75" customHeight="1">
      <c r="A144" s="12">
        <f t="shared" si="0"/>
        <v>6</v>
      </c>
      <c r="B144" s="41" t="s">
        <v>291</v>
      </c>
      <c r="C144" s="12" t="s">
        <v>137</v>
      </c>
      <c r="D144" s="111">
        <v>213809</v>
      </c>
      <c r="E144" s="111">
        <v>234432</v>
      </c>
      <c r="F144" s="111">
        <v>230813</v>
      </c>
      <c r="G144" s="111">
        <v>230813</v>
      </c>
      <c r="H144" s="111">
        <v>230813</v>
      </c>
      <c r="I144" s="101"/>
      <c r="J144" s="101"/>
      <c r="K144" s="101"/>
      <c r="L144" s="101"/>
      <c r="M144" s="101"/>
      <c r="N144" s="120">
        <f>66395.2+55379.2</f>
        <v>121774.4</v>
      </c>
      <c r="O144" s="120">
        <f>67054+56533.8</f>
        <v>123587.8</v>
      </c>
      <c r="P144" s="101">
        <v>124177.4</v>
      </c>
      <c r="Q144" s="101">
        <v>129144.5</v>
      </c>
      <c r="R144" s="101">
        <v>134310.3</v>
      </c>
    </row>
    <row r="145" spans="1:18" s="57" customFormat="1" ht="75">
      <c r="A145" s="12">
        <f t="shared" si="0"/>
        <v>7</v>
      </c>
      <c r="B145" s="41" t="s">
        <v>141</v>
      </c>
      <c r="C145" s="12" t="s">
        <v>137</v>
      </c>
      <c r="D145" s="111">
        <v>62943</v>
      </c>
      <c r="E145" s="111">
        <v>67360</v>
      </c>
      <c r="F145" s="111">
        <v>67311</v>
      </c>
      <c r="G145" s="111">
        <v>67311</v>
      </c>
      <c r="H145" s="111">
        <v>67311</v>
      </c>
      <c r="I145" s="101"/>
      <c r="J145" s="101"/>
      <c r="K145" s="101"/>
      <c r="L145" s="101"/>
      <c r="M145" s="101"/>
      <c r="N145" s="120">
        <f>29576.6+22879.4</f>
        <v>52456</v>
      </c>
      <c r="O145" s="120">
        <f>30380.1+23609</f>
        <v>53989.1</v>
      </c>
      <c r="P145" s="101">
        <v>55060.4</v>
      </c>
      <c r="Q145" s="101">
        <v>57262.8</v>
      </c>
      <c r="R145" s="101">
        <v>59553.3</v>
      </c>
    </row>
    <row r="146" spans="1:18" s="57" customFormat="1" ht="45">
      <c r="A146" s="12">
        <f t="shared" si="0"/>
        <v>8</v>
      </c>
      <c r="B146" s="41" t="s">
        <v>142</v>
      </c>
      <c r="C146" s="12" t="s">
        <v>137</v>
      </c>
      <c r="D146" s="111">
        <v>37492</v>
      </c>
      <c r="E146" s="111">
        <v>44297</v>
      </c>
      <c r="F146" s="111">
        <v>45436</v>
      </c>
      <c r="G146" s="111">
        <v>45436</v>
      </c>
      <c r="H146" s="111">
        <v>45436</v>
      </c>
      <c r="I146" s="101"/>
      <c r="J146" s="101"/>
      <c r="K146" s="101"/>
      <c r="L146" s="101"/>
      <c r="M146" s="101"/>
      <c r="N146" s="120">
        <v>23752.1</v>
      </c>
      <c r="O146" s="120">
        <v>23752.1</v>
      </c>
      <c r="P146" s="101">
        <v>24399.1</v>
      </c>
      <c r="Q146" s="101">
        <v>25375.1</v>
      </c>
      <c r="R146" s="101">
        <v>26390.1</v>
      </c>
    </row>
    <row r="147" spans="1:18" s="57" customFormat="1" ht="45">
      <c r="A147" s="12">
        <f t="shared" si="0"/>
        <v>9</v>
      </c>
      <c r="B147" s="41" t="s">
        <v>143</v>
      </c>
      <c r="C147" s="12" t="s">
        <v>137</v>
      </c>
      <c r="D147" s="111">
        <v>1898</v>
      </c>
      <c r="E147" s="111">
        <v>2000</v>
      </c>
      <c r="F147" s="111">
        <v>4000</v>
      </c>
      <c r="G147" s="111">
        <v>4000</v>
      </c>
      <c r="H147" s="111">
        <v>4000</v>
      </c>
      <c r="I147" s="121">
        <v>4000</v>
      </c>
      <c r="J147" s="121">
        <v>4000</v>
      </c>
      <c r="K147" s="121">
        <v>4000</v>
      </c>
      <c r="L147" s="121">
        <v>4000</v>
      </c>
      <c r="M147" s="121">
        <v>4000</v>
      </c>
      <c r="N147" s="120">
        <v>14027.6</v>
      </c>
      <c r="O147" s="120">
        <v>14030</v>
      </c>
      <c r="P147" s="101">
        <v>28060</v>
      </c>
      <c r="Q147" s="101">
        <v>29182.4</v>
      </c>
      <c r="R147" s="101">
        <v>30349.7</v>
      </c>
    </row>
    <row r="148" spans="1:18" s="57" customFormat="1" ht="45">
      <c r="A148" s="12">
        <f t="shared" si="0"/>
        <v>10</v>
      </c>
      <c r="B148" s="41" t="s">
        <v>144</v>
      </c>
      <c r="C148" s="12" t="s">
        <v>137</v>
      </c>
      <c r="D148" s="111">
        <v>12417</v>
      </c>
      <c r="E148" s="111">
        <v>15205</v>
      </c>
      <c r="F148" s="111">
        <v>20175</v>
      </c>
      <c r="G148" s="111">
        <v>20175</v>
      </c>
      <c r="H148" s="111">
        <v>20175</v>
      </c>
      <c r="I148" s="101"/>
      <c r="J148" s="101"/>
      <c r="K148" s="101"/>
      <c r="L148" s="101"/>
      <c r="M148" s="101"/>
      <c r="N148" s="120">
        <f>826.1+7435.4</f>
        <v>8261.5</v>
      </c>
      <c r="O148" s="120">
        <f>827.9+5520.2</f>
        <v>6348.099999999999</v>
      </c>
      <c r="P148" s="101">
        <v>8433.2</v>
      </c>
      <c r="Q148" s="101">
        <v>8770.5</v>
      </c>
      <c r="R148" s="101">
        <v>9121.3</v>
      </c>
    </row>
    <row r="149" spans="1:18" s="57" customFormat="1" ht="64.5" customHeight="1">
      <c r="A149" s="12">
        <f t="shared" si="0"/>
        <v>11</v>
      </c>
      <c r="B149" s="41" t="s">
        <v>292</v>
      </c>
      <c r="C149" s="12" t="s">
        <v>137</v>
      </c>
      <c r="D149" s="111">
        <v>13220</v>
      </c>
      <c r="E149" s="111">
        <v>0</v>
      </c>
      <c r="F149" s="111">
        <v>0</v>
      </c>
      <c r="G149" s="111">
        <v>0</v>
      </c>
      <c r="H149" s="111">
        <v>0</v>
      </c>
      <c r="I149" s="101"/>
      <c r="J149" s="101"/>
      <c r="K149" s="101"/>
      <c r="L149" s="101"/>
      <c r="M149" s="101"/>
      <c r="N149" s="120">
        <v>27174</v>
      </c>
      <c r="O149" s="120">
        <v>0</v>
      </c>
      <c r="P149" s="101">
        <v>0</v>
      </c>
      <c r="Q149" s="101">
        <v>0</v>
      </c>
      <c r="R149" s="101">
        <v>0</v>
      </c>
    </row>
    <row r="150" spans="1:18" s="57" customFormat="1" ht="60">
      <c r="A150" s="12">
        <f t="shared" si="0"/>
        <v>12</v>
      </c>
      <c r="B150" s="41" t="s">
        <v>146</v>
      </c>
      <c r="C150" s="12" t="s">
        <v>137</v>
      </c>
      <c r="D150" s="111">
        <v>1441</v>
      </c>
      <c r="E150" s="111">
        <v>1440</v>
      </c>
      <c r="F150" s="111">
        <v>3000</v>
      </c>
      <c r="G150" s="111">
        <v>3000</v>
      </c>
      <c r="H150" s="111">
        <v>3000</v>
      </c>
      <c r="I150" s="101"/>
      <c r="J150" s="101"/>
      <c r="K150" s="101"/>
      <c r="L150" s="101"/>
      <c r="M150" s="101"/>
      <c r="N150" s="120">
        <v>10449.9</v>
      </c>
      <c r="O150" s="120">
        <v>10450.1</v>
      </c>
      <c r="P150" s="101">
        <v>19500</v>
      </c>
      <c r="Q150" s="101">
        <v>20280</v>
      </c>
      <c r="R150" s="101">
        <v>21091.2</v>
      </c>
    </row>
    <row r="151" spans="1:18" s="57" customFormat="1" ht="60">
      <c r="A151" s="12">
        <f t="shared" si="0"/>
        <v>13</v>
      </c>
      <c r="B151" s="41" t="s">
        <v>147</v>
      </c>
      <c r="C151" s="12" t="s">
        <v>137</v>
      </c>
      <c r="D151" s="111">
        <v>6688</v>
      </c>
      <c r="E151" s="111">
        <v>6722</v>
      </c>
      <c r="F151" s="111">
        <v>8732</v>
      </c>
      <c r="G151" s="111">
        <v>8732</v>
      </c>
      <c r="H151" s="111">
        <v>8732</v>
      </c>
      <c r="I151" s="101"/>
      <c r="J151" s="101"/>
      <c r="K151" s="101"/>
      <c r="L151" s="101"/>
      <c r="M151" s="101"/>
      <c r="N151" s="120">
        <v>4928.6</v>
      </c>
      <c r="O151" s="120">
        <v>7071.12</v>
      </c>
      <c r="P151" s="101">
        <v>9186.1</v>
      </c>
      <c r="Q151" s="101">
        <v>9553.5</v>
      </c>
      <c r="R151" s="101">
        <v>9935.6</v>
      </c>
    </row>
    <row r="152" spans="1:18" s="57" customFormat="1" ht="39.75" customHeight="1">
      <c r="A152" s="12">
        <f t="shared" si="0"/>
        <v>14</v>
      </c>
      <c r="B152" s="41" t="s">
        <v>148</v>
      </c>
      <c r="C152" s="12" t="s">
        <v>137</v>
      </c>
      <c r="D152" s="111">
        <v>5335</v>
      </c>
      <c r="E152" s="111">
        <v>8843</v>
      </c>
      <c r="F152" s="111">
        <v>10123</v>
      </c>
      <c r="G152" s="111">
        <v>10123</v>
      </c>
      <c r="H152" s="111">
        <v>10123</v>
      </c>
      <c r="I152" s="101"/>
      <c r="J152" s="101"/>
      <c r="K152" s="101"/>
      <c r="L152" s="101"/>
      <c r="M152" s="101"/>
      <c r="N152" s="120">
        <v>4825.9</v>
      </c>
      <c r="O152" s="120">
        <v>3768.88</v>
      </c>
      <c r="P152" s="101">
        <v>4919.8</v>
      </c>
      <c r="Q152" s="101">
        <v>5116.6</v>
      </c>
      <c r="R152" s="101">
        <v>5321.3</v>
      </c>
    </row>
    <row r="153" spans="1:18" s="57" customFormat="1" ht="60">
      <c r="A153" s="12">
        <f t="shared" si="0"/>
        <v>15</v>
      </c>
      <c r="B153" s="41" t="s">
        <v>293</v>
      </c>
      <c r="C153" s="12" t="s">
        <v>150</v>
      </c>
      <c r="D153" s="111">
        <v>371</v>
      </c>
      <c r="E153" s="111">
        <v>390</v>
      </c>
      <c r="F153" s="111">
        <v>390</v>
      </c>
      <c r="G153" s="111">
        <v>390</v>
      </c>
      <c r="H153" s="111">
        <v>390</v>
      </c>
      <c r="I153" s="101"/>
      <c r="J153" s="101"/>
      <c r="K153" s="101"/>
      <c r="L153" s="101"/>
      <c r="M153" s="101"/>
      <c r="N153" s="120">
        <f>7681.9</f>
        <v>7681.9</v>
      </c>
      <c r="O153" s="120">
        <v>7927.5</v>
      </c>
      <c r="P153" s="101">
        <v>8086.26</v>
      </c>
      <c r="Q153" s="101">
        <v>8409.7</v>
      </c>
      <c r="R153" s="101">
        <v>8746.4</v>
      </c>
    </row>
    <row r="154" spans="1:18" s="57" customFormat="1" ht="45">
      <c r="A154" s="12">
        <f t="shared" si="0"/>
        <v>16</v>
      </c>
      <c r="B154" s="41" t="s">
        <v>151</v>
      </c>
      <c r="C154" s="12" t="s">
        <v>150</v>
      </c>
      <c r="D154" s="111">
        <v>413</v>
      </c>
      <c r="E154" s="111">
        <v>442</v>
      </c>
      <c r="F154" s="111">
        <v>442</v>
      </c>
      <c r="G154" s="111">
        <v>442</v>
      </c>
      <c r="H154" s="111">
        <v>442</v>
      </c>
      <c r="I154" s="101"/>
      <c r="J154" s="101"/>
      <c r="K154" s="101"/>
      <c r="L154" s="101"/>
      <c r="M154" s="101"/>
      <c r="N154" s="120">
        <v>8273.7</v>
      </c>
      <c r="O154" s="120">
        <v>7284.82</v>
      </c>
      <c r="P154" s="101">
        <v>7506</v>
      </c>
      <c r="Q154" s="101">
        <v>7806.2</v>
      </c>
      <c r="R154" s="101">
        <v>8118.4</v>
      </c>
    </row>
    <row r="155" spans="1:18" s="57" customFormat="1" ht="45">
      <c r="A155" s="12">
        <f t="shared" si="0"/>
        <v>17</v>
      </c>
      <c r="B155" s="41" t="s">
        <v>152</v>
      </c>
      <c r="C155" s="12" t="s">
        <v>150</v>
      </c>
      <c r="D155" s="111">
        <v>722</v>
      </c>
      <c r="E155" s="111">
        <v>912</v>
      </c>
      <c r="F155" s="111">
        <v>912</v>
      </c>
      <c r="G155" s="111">
        <v>912</v>
      </c>
      <c r="H155" s="111">
        <v>912</v>
      </c>
      <c r="I155" s="101"/>
      <c r="J155" s="101"/>
      <c r="K155" s="101"/>
      <c r="L155" s="101"/>
      <c r="M155" s="101"/>
      <c r="N155" s="120">
        <v>11657.1</v>
      </c>
      <c r="O155" s="120">
        <v>10321.68</v>
      </c>
      <c r="P155" s="101">
        <v>10575.6</v>
      </c>
      <c r="Q155" s="101">
        <v>10998.6</v>
      </c>
      <c r="R155" s="101">
        <v>11438.5</v>
      </c>
    </row>
    <row r="156" spans="1:18" s="57" customFormat="1" ht="60">
      <c r="A156" s="12">
        <f t="shared" si="0"/>
        <v>18</v>
      </c>
      <c r="B156" s="41" t="s">
        <v>397</v>
      </c>
      <c r="C156" s="12" t="s">
        <v>154</v>
      </c>
      <c r="D156" s="111">
        <v>3382</v>
      </c>
      <c r="E156" s="111">
        <v>3374</v>
      </c>
      <c r="F156" s="111">
        <v>3374</v>
      </c>
      <c r="G156" s="111">
        <v>3374</v>
      </c>
      <c r="H156" s="111">
        <v>2932</v>
      </c>
      <c r="I156" s="101"/>
      <c r="J156" s="101"/>
      <c r="K156" s="101"/>
      <c r="L156" s="101"/>
      <c r="M156" s="101"/>
      <c r="N156" s="120">
        <v>774849.4</v>
      </c>
      <c r="O156" s="120">
        <v>797854.95</v>
      </c>
      <c r="P156" s="101">
        <v>827085.7</v>
      </c>
      <c r="Q156" s="101">
        <v>856199.7</v>
      </c>
      <c r="R156" s="101">
        <v>787243.2</v>
      </c>
    </row>
    <row r="157" spans="1:18" s="57" customFormat="1" ht="105">
      <c r="A157" s="12">
        <f t="shared" si="0"/>
        <v>19</v>
      </c>
      <c r="B157" s="41" t="s">
        <v>294</v>
      </c>
      <c r="C157" s="12" t="s">
        <v>154</v>
      </c>
      <c r="D157" s="111">
        <v>319</v>
      </c>
      <c r="E157" s="111">
        <v>325</v>
      </c>
      <c r="F157" s="111">
        <v>325</v>
      </c>
      <c r="G157" s="111">
        <v>325</v>
      </c>
      <c r="H157" s="111">
        <v>325</v>
      </c>
      <c r="I157" s="101"/>
      <c r="J157" s="101"/>
      <c r="K157" s="101"/>
      <c r="L157" s="101"/>
      <c r="M157" s="101"/>
      <c r="N157" s="120">
        <f>25814</f>
        <v>25814</v>
      </c>
      <c r="O157" s="120">
        <f>25814</f>
        <v>25814</v>
      </c>
      <c r="P157" s="101">
        <v>26330.2</v>
      </c>
      <c r="Q157" s="101">
        <v>27383.5</v>
      </c>
      <c r="R157" s="101">
        <v>28478.7</v>
      </c>
    </row>
    <row r="158" spans="1:18" s="57" customFormat="1" ht="68.25" customHeight="1">
      <c r="A158" s="12">
        <f t="shared" si="0"/>
        <v>20</v>
      </c>
      <c r="B158" s="41" t="s">
        <v>168</v>
      </c>
      <c r="C158" s="12" t="s">
        <v>154</v>
      </c>
      <c r="D158" s="111">
        <v>465</v>
      </c>
      <c r="E158" s="111">
        <v>460</v>
      </c>
      <c r="F158" s="111">
        <v>460</v>
      </c>
      <c r="G158" s="111">
        <v>460</v>
      </c>
      <c r="H158" s="111">
        <v>460</v>
      </c>
      <c r="I158" s="101"/>
      <c r="J158" s="101"/>
      <c r="K158" s="101"/>
      <c r="L158" s="101"/>
      <c r="M158" s="101"/>
      <c r="N158" s="120">
        <f>37194.63</f>
        <v>37194.63</v>
      </c>
      <c r="O158" s="120">
        <f>37862.6</f>
        <v>37862.6</v>
      </c>
      <c r="P158" s="101">
        <v>39376.92</v>
      </c>
      <c r="Q158" s="101">
        <v>40952</v>
      </c>
      <c r="R158" s="101">
        <v>42590.1</v>
      </c>
    </row>
    <row r="159" spans="1:18" s="57" customFormat="1" ht="90">
      <c r="A159" s="12">
        <f t="shared" si="0"/>
        <v>21</v>
      </c>
      <c r="B159" s="41" t="s">
        <v>169</v>
      </c>
      <c r="C159" s="12" t="s">
        <v>154</v>
      </c>
      <c r="D159" s="111">
        <v>4961</v>
      </c>
      <c r="E159" s="111">
        <v>5371</v>
      </c>
      <c r="F159" s="111">
        <v>5371</v>
      </c>
      <c r="G159" s="111">
        <v>5371</v>
      </c>
      <c r="H159" s="111">
        <v>5371</v>
      </c>
      <c r="I159" s="101"/>
      <c r="J159" s="101"/>
      <c r="K159" s="101"/>
      <c r="L159" s="101"/>
      <c r="M159" s="101"/>
      <c r="N159" s="120">
        <f>149541.72+69908</f>
        <v>219449.72</v>
      </c>
      <c r="O159" s="120">
        <f>151783.53+70956.27</f>
        <v>222739.8</v>
      </c>
      <c r="P159" s="101">
        <v>230227.72</v>
      </c>
      <c r="Q159" s="101">
        <v>239436.8</v>
      </c>
      <c r="R159" s="101">
        <v>249014.3</v>
      </c>
    </row>
    <row r="160" spans="1:18" s="57" customFormat="1" ht="72" customHeight="1">
      <c r="A160" s="12">
        <f t="shared" si="0"/>
        <v>22</v>
      </c>
      <c r="B160" s="41" t="s">
        <v>398</v>
      </c>
      <c r="C160" s="12" t="s">
        <v>154</v>
      </c>
      <c r="D160" s="111">
        <v>1274</v>
      </c>
      <c r="E160" s="111">
        <v>2046</v>
      </c>
      <c r="F160" s="111">
        <v>1653</v>
      </c>
      <c r="G160" s="111">
        <v>1653</v>
      </c>
      <c r="H160" s="111">
        <v>1653</v>
      </c>
      <c r="I160" s="101"/>
      <c r="J160" s="101"/>
      <c r="K160" s="101"/>
      <c r="L160" s="101"/>
      <c r="M160" s="101"/>
      <c r="N160" s="120">
        <f>66185.5+9200-11747</f>
        <v>63638.5</v>
      </c>
      <c r="O160" s="120">
        <f>66185.47+9200.03</f>
        <v>75385.5</v>
      </c>
      <c r="P160" s="101">
        <v>59177.4</v>
      </c>
      <c r="Q160" s="101">
        <v>61544.5</v>
      </c>
      <c r="R160" s="101">
        <v>64006.3</v>
      </c>
    </row>
    <row r="161" spans="1:18" s="57" customFormat="1" ht="75">
      <c r="A161" s="12">
        <f t="shared" si="0"/>
        <v>23</v>
      </c>
      <c r="B161" s="41" t="s">
        <v>399</v>
      </c>
      <c r="C161" s="12" t="s">
        <v>154</v>
      </c>
      <c r="D161" s="111">
        <v>5708</v>
      </c>
      <c r="E161" s="111">
        <v>6408</v>
      </c>
      <c r="F161" s="111">
        <v>6451</v>
      </c>
      <c r="G161" s="111">
        <v>6451</v>
      </c>
      <c r="H161" s="111">
        <v>6451</v>
      </c>
      <c r="I161" s="101"/>
      <c r="J161" s="101"/>
      <c r="K161" s="101"/>
      <c r="L161" s="101"/>
      <c r="M161" s="101"/>
      <c r="N161" s="120">
        <v>86984.1</v>
      </c>
      <c r="O161" s="120">
        <v>91512.6</v>
      </c>
      <c r="P161" s="101">
        <v>97055.3</v>
      </c>
      <c r="Q161" s="101">
        <v>100937.5</v>
      </c>
      <c r="R161" s="101">
        <v>104975</v>
      </c>
    </row>
    <row r="162" spans="1:18" s="57" customFormat="1" ht="120">
      <c r="A162" s="12">
        <f t="shared" si="0"/>
        <v>24</v>
      </c>
      <c r="B162" s="41" t="s">
        <v>172</v>
      </c>
      <c r="C162" s="12" t="s">
        <v>154</v>
      </c>
      <c r="D162" s="111">
        <v>227</v>
      </c>
      <c r="E162" s="111">
        <v>283</v>
      </c>
      <c r="F162" s="111">
        <v>394</v>
      </c>
      <c r="G162" s="111">
        <v>394</v>
      </c>
      <c r="H162" s="111">
        <v>394</v>
      </c>
      <c r="I162" s="101"/>
      <c r="J162" s="101"/>
      <c r="K162" s="101"/>
      <c r="L162" s="101"/>
      <c r="M162" s="101"/>
      <c r="N162" s="120">
        <v>21226.8</v>
      </c>
      <c r="O162" s="120">
        <v>15904.6</v>
      </c>
      <c r="P162" s="101">
        <v>22585.7</v>
      </c>
      <c r="Q162" s="101">
        <v>23489.1</v>
      </c>
      <c r="R162" s="101">
        <v>24428.7</v>
      </c>
    </row>
    <row r="163" spans="1:18" s="57" customFormat="1" ht="30">
      <c r="A163" s="12">
        <f t="shared" si="0"/>
        <v>25</v>
      </c>
      <c r="B163" s="41" t="s">
        <v>175</v>
      </c>
      <c r="C163" s="12" t="s">
        <v>174</v>
      </c>
      <c r="D163" s="111">
        <v>151851</v>
      </c>
      <c r="E163" s="111">
        <v>169700</v>
      </c>
      <c r="F163" s="111">
        <v>173450</v>
      </c>
      <c r="G163" s="111">
        <v>173450</v>
      </c>
      <c r="H163" s="111">
        <v>173450</v>
      </c>
      <c r="I163" s="101"/>
      <c r="J163" s="101"/>
      <c r="K163" s="101"/>
      <c r="L163" s="101"/>
      <c r="M163" s="101"/>
      <c r="N163" s="120">
        <v>441974.4</v>
      </c>
      <c r="O163" s="120">
        <v>442918.8</v>
      </c>
      <c r="P163" s="101">
        <v>497358.4</v>
      </c>
      <c r="Q163" s="101">
        <v>517252.7</v>
      </c>
      <c r="R163" s="101">
        <v>537942.8</v>
      </c>
    </row>
    <row r="164" spans="1:18" s="57" customFormat="1" ht="30">
      <c r="A164" s="12">
        <f t="shared" si="0"/>
        <v>26</v>
      </c>
      <c r="B164" s="41" t="s">
        <v>176</v>
      </c>
      <c r="C164" s="12" t="s">
        <v>177</v>
      </c>
      <c r="D164" s="111">
        <v>725</v>
      </c>
      <c r="E164" s="111">
        <v>850</v>
      </c>
      <c r="F164" s="111">
        <v>850</v>
      </c>
      <c r="G164" s="111">
        <v>850</v>
      </c>
      <c r="H164" s="111">
        <v>850</v>
      </c>
      <c r="I164" s="101"/>
      <c r="J164" s="101"/>
      <c r="K164" s="101"/>
      <c r="L164" s="101"/>
      <c r="M164" s="101"/>
      <c r="N164" s="120">
        <v>16625.6</v>
      </c>
      <c r="O164" s="120">
        <v>17290.72</v>
      </c>
      <c r="P164" s="101">
        <v>17636.65</v>
      </c>
      <c r="Q164" s="101">
        <v>18342.1</v>
      </c>
      <c r="R164" s="101">
        <v>19075.8</v>
      </c>
    </row>
    <row r="165" spans="1:18" s="57" customFormat="1" ht="45">
      <c r="A165" s="12">
        <f t="shared" si="0"/>
        <v>27</v>
      </c>
      <c r="B165" s="41" t="s">
        <v>178</v>
      </c>
      <c r="C165" s="12" t="s">
        <v>179</v>
      </c>
      <c r="D165" s="111" t="s">
        <v>400</v>
      </c>
      <c r="E165" s="111" t="s">
        <v>400</v>
      </c>
      <c r="F165" s="111" t="s">
        <v>400</v>
      </c>
      <c r="G165" s="111" t="s">
        <v>400</v>
      </c>
      <c r="H165" s="111" t="s">
        <v>400</v>
      </c>
      <c r="I165" s="101"/>
      <c r="J165" s="101"/>
      <c r="K165" s="101"/>
      <c r="L165" s="101"/>
      <c r="M165" s="101"/>
      <c r="N165" s="120">
        <v>10214.3</v>
      </c>
      <c r="O165" s="120">
        <v>7722.4</v>
      </c>
      <c r="P165" s="101">
        <v>8056.3</v>
      </c>
      <c r="Q165" s="101">
        <v>8056.3</v>
      </c>
      <c r="R165" s="101">
        <f>7015</f>
        <v>7015</v>
      </c>
    </row>
    <row r="166" spans="1:18" s="57" customFormat="1" ht="75">
      <c r="A166" s="12">
        <f t="shared" si="0"/>
        <v>28</v>
      </c>
      <c r="B166" s="41" t="s">
        <v>295</v>
      </c>
      <c r="C166" s="12" t="s">
        <v>181</v>
      </c>
      <c r="D166" s="111">
        <v>1594</v>
      </c>
      <c r="E166" s="111">
        <v>1561</v>
      </c>
      <c r="F166" s="111">
        <v>1630</v>
      </c>
      <c r="G166" s="111">
        <v>1630</v>
      </c>
      <c r="H166" s="111">
        <v>1630</v>
      </c>
      <c r="I166" s="101"/>
      <c r="J166" s="101"/>
      <c r="K166" s="101"/>
      <c r="L166" s="101"/>
      <c r="M166" s="101"/>
      <c r="N166" s="120">
        <v>175094</v>
      </c>
      <c r="O166" s="120">
        <v>178981.96</v>
      </c>
      <c r="P166" s="101">
        <v>191797</v>
      </c>
      <c r="Q166" s="101">
        <v>199468.9</v>
      </c>
      <c r="R166" s="101">
        <v>207447.7</v>
      </c>
    </row>
    <row r="167" spans="1:18" s="57" customFormat="1" ht="45">
      <c r="A167" s="12">
        <f t="shared" si="0"/>
        <v>29</v>
      </c>
      <c r="B167" s="41" t="s">
        <v>182</v>
      </c>
      <c r="C167" s="12" t="s">
        <v>181</v>
      </c>
      <c r="D167" s="111">
        <v>3103</v>
      </c>
      <c r="E167" s="111">
        <v>2479</v>
      </c>
      <c r="F167" s="111">
        <v>1522</v>
      </c>
      <c r="G167" s="111">
        <v>1522</v>
      </c>
      <c r="H167" s="111">
        <v>1522</v>
      </c>
      <c r="I167" s="101"/>
      <c r="J167" s="101"/>
      <c r="K167" s="101"/>
      <c r="L167" s="101"/>
      <c r="M167" s="101"/>
      <c r="N167" s="120">
        <v>29564.4</v>
      </c>
      <c r="O167" s="120">
        <v>30845.76</v>
      </c>
      <c r="P167" s="101">
        <v>19686.93</v>
      </c>
      <c r="Q167" s="101">
        <v>20474.4</v>
      </c>
      <c r="R167" s="101">
        <v>21293.4</v>
      </c>
    </row>
    <row r="168" spans="1:18" s="57" customFormat="1" ht="60">
      <c r="A168" s="12">
        <f t="shared" si="0"/>
        <v>30</v>
      </c>
      <c r="B168" s="41" t="s">
        <v>296</v>
      </c>
      <c r="C168" s="12" t="s">
        <v>132</v>
      </c>
      <c r="D168" s="111">
        <v>233894</v>
      </c>
      <c r="E168" s="111">
        <v>228050</v>
      </c>
      <c r="F168" s="111">
        <v>231400</v>
      </c>
      <c r="G168" s="111">
        <v>231400</v>
      </c>
      <c r="H168" s="111">
        <v>231400</v>
      </c>
      <c r="I168" s="101"/>
      <c r="J168" s="101"/>
      <c r="K168" s="101"/>
      <c r="L168" s="101"/>
      <c r="M168" s="101"/>
      <c r="N168" s="120">
        <v>48527.5</v>
      </c>
      <c r="O168" s="120">
        <v>102474.18</v>
      </c>
      <c r="P168" s="101">
        <v>105458.4</v>
      </c>
      <c r="Q168" s="101">
        <v>109676.7</v>
      </c>
      <c r="R168" s="101">
        <v>114063.8</v>
      </c>
    </row>
    <row r="169" spans="1:18" s="57" customFormat="1" ht="90">
      <c r="A169" s="12">
        <f t="shared" si="0"/>
        <v>31</v>
      </c>
      <c r="B169" s="41" t="s">
        <v>307</v>
      </c>
      <c r="C169" s="12" t="s">
        <v>205</v>
      </c>
      <c r="D169" s="111" t="s">
        <v>400</v>
      </c>
      <c r="E169" s="111" t="s">
        <v>400</v>
      </c>
      <c r="F169" s="111" t="s">
        <v>400</v>
      </c>
      <c r="G169" s="111" t="s">
        <v>400</v>
      </c>
      <c r="H169" s="111" t="s">
        <v>400</v>
      </c>
      <c r="I169" s="101"/>
      <c r="J169" s="101"/>
      <c r="K169" s="101"/>
      <c r="L169" s="101"/>
      <c r="M169" s="101"/>
      <c r="N169" s="120">
        <v>71495.49</v>
      </c>
      <c r="O169" s="120">
        <v>73700</v>
      </c>
      <c r="P169" s="101">
        <v>74210</v>
      </c>
      <c r="Q169" s="101">
        <v>77178.5</v>
      </c>
      <c r="R169" s="101">
        <v>80265.6</v>
      </c>
    </row>
    <row r="170" spans="1:18" s="57" customFormat="1" ht="195">
      <c r="A170" s="12">
        <f t="shared" si="0"/>
        <v>32</v>
      </c>
      <c r="B170" s="41" t="s">
        <v>401</v>
      </c>
      <c r="C170" s="12" t="s">
        <v>205</v>
      </c>
      <c r="D170" s="111" t="s">
        <v>400</v>
      </c>
      <c r="E170" s="111" t="s">
        <v>400</v>
      </c>
      <c r="F170" s="111" t="s">
        <v>400</v>
      </c>
      <c r="G170" s="111" t="s">
        <v>400</v>
      </c>
      <c r="H170" s="111" t="s">
        <v>400</v>
      </c>
      <c r="I170" s="101"/>
      <c r="J170" s="101"/>
      <c r="K170" s="101"/>
      <c r="L170" s="101"/>
      <c r="M170" s="101"/>
      <c r="N170" s="120">
        <v>0</v>
      </c>
      <c r="O170" s="120">
        <v>0</v>
      </c>
      <c r="P170" s="101">
        <v>260000</v>
      </c>
      <c r="Q170" s="101">
        <v>270400</v>
      </c>
      <c r="R170" s="101">
        <v>281216</v>
      </c>
    </row>
    <row r="171" spans="1:18" s="57" customFormat="1" ht="15">
      <c r="A171" s="87"/>
      <c r="B171" s="88" t="s">
        <v>0</v>
      </c>
      <c r="C171" s="89"/>
      <c r="D171" s="90" t="s">
        <v>8</v>
      </c>
      <c r="E171" s="90" t="s">
        <v>8</v>
      </c>
      <c r="F171" s="90" t="s">
        <v>8</v>
      </c>
      <c r="G171" s="90" t="s">
        <v>8</v>
      </c>
      <c r="H171" s="90" t="s">
        <v>8</v>
      </c>
      <c r="I171" s="91" t="s">
        <v>8</v>
      </c>
      <c r="J171" s="91" t="s">
        <v>8</v>
      </c>
      <c r="K171" s="91" t="s">
        <v>8</v>
      </c>
      <c r="L171" s="91" t="s">
        <v>8</v>
      </c>
      <c r="M171" s="91" t="s">
        <v>8</v>
      </c>
      <c r="N171" s="86">
        <f>SUM(N139:N170)</f>
        <v>2749068.34</v>
      </c>
      <c r="O171" s="86">
        <f>SUM(O139:O170)</f>
        <v>2845713.87</v>
      </c>
      <c r="P171" s="86">
        <f>SUM(P139:P170)</f>
        <v>3247079.2099999995</v>
      </c>
      <c r="Q171" s="86">
        <f>SUM(Q139:Q170)</f>
        <v>3372670.6</v>
      </c>
      <c r="R171" s="86">
        <f>SUM(R139:R170)</f>
        <v>3403009.7</v>
      </c>
    </row>
    <row r="172" spans="1:18" ht="15" customHeight="1">
      <c r="A172" s="157" t="s">
        <v>362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9"/>
    </row>
    <row r="173" spans="1:18" ht="105">
      <c r="A173" s="12">
        <v>1</v>
      </c>
      <c r="B173" s="92" t="s">
        <v>308</v>
      </c>
      <c r="C173" s="79" t="s">
        <v>99</v>
      </c>
      <c r="D173" s="93">
        <v>140</v>
      </c>
      <c r="E173" s="56"/>
      <c r="F173" s="56"/>
      <c r="G173" s="56"/>
      <c r="H173" s="56"/>
      <c r="I173" s="56"/>
      <c r="J173" s="56"/>
      <c r="K173" s="56"/>
      <c r="L173" s="56"/>
      <c r="M173" s="56"/>
      <c r="N173" s="56">
        <v>33370.66485</v>
      </c>
      <c r="O173" s="56"/>
      <c r="P173" s="56"/>
      <c r="Q173" s="56"/>
      <c r="R173" s="56"/>
    </row>
    <row r="174" spans="1:18" ht="105">
      <c r="A174" s="12">
        <v>2</v>
      </c>
      <c r="B174" s="92" t="s">
        <v>309</v>
      </c>
      <c r="C174" s="79" t="s">
        <v>99</v>
      </c>
      <c r="D174" s="93">
        <v>63</v>
      </c>
      <c r="E174" s="56"/>
      <c r="F174" s="56"/>
      <c r="G174" s="56"/>
      <c r="H174" s="56"/>
      <c r="I174" s="56"/>
      <c r="J174" s="56"/>
      <c r="K174" s="56"/>
      <c r="L174" s="56"/>
      <c r="M174" s="56"/>
      <c r="N174" s="56">
        <v>9179.9</v>
      </c>
      <c r="O174" s="56"/>
      <c r="P174" s="56"/>
      <c r="Q174" s="56"/>
      <c r="R174" s="56"/>
    </row>
    <row r="175" spans="1:18" ht="105">
      <c r="A175" s="12">
        <v>3</v>
      </c>
      <c r="B175" s="92" t="s">
        <v>310</v>
      </c>
      <c r="C175" s="79" t="s">
        <v>99</v>
      </c>
      <c r="D175" s="93">
        <v>85</v>
      </c>
      <c r="E175" s="56"/>
      <c r="F175" s="56"/>
      <c r="G175" s="56"/>
      <c r="H175" s="56"/>
      <c r="I175" s="56"/>
      <c r="J175" s="56"/>
      <c r="K175" s="56"/>
      <c r="L175" s="56"/>
      <c r="M175" s="56"/>
      <c r="N175" s="56">
        <v>8146.18816</v>
      </c>
      <c r="O175" s="56"/>
      <c r="P175" s="56"/>
      <c r="Q175" s="56"/>
      <c r="R175" s="56"/>
    </row>
    <row r="176" spans="1:18" ht="90">
      <c r="A176" s="12">
        <v>4</v>
      </c>
      <c r="B176" s="92" t="s">
        <v>311</v>
      </c>
      <c r="C176" s="79" t="s">
        <v>99</v>
      </c>
      <c r="D176" s="93">
        <v>38</v>
      </c>
      <c r="E176" s="56"/>
      <c r="F176" s="56"/>
      <c r="G176" s="56"/>
      <c r="H176" s="56"/>
      <c r="I176" s="56"/>
      <c r="J176" s="56"/>
      <c r="K176" s="56"/>
      <c r="L176" s="56"/>
      <c r="M176" s="56"/>
      <c r="N176" s="56">
        <v>16623.37284</v>
      </c>
      <c r="O176" s="56"/>
      <c r="P176" s="56"/>
      <c r="Q176" s="56"/>
      <c r="R176" s="56"/>
    </row>
    <row r="177" spans="1:18" ht="105">
      <c r="A177" s="12">
        <v>5</v>
      </c>
      <c r="B177" s="92" t="s">
        <v>103</v>
      </c>
      <c r="C177" s="79" t="s">
        <v>99</v>
      </c>
      <c r="D177" s="93">
        <v>35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>
        <v>18649.13952</v>
      </c>
      <c r="O177" s="56"/>
      <c r="P177" s="56"/>
      <c r="Q177" s="56"/>
      <c r="R177" s="56"/>
    </row>
    <row r="178" spans="1:18" ht="105">
      <c r="A178" s="12">
        <v>6</v>
      </c>
      <c r="B178" s="92" t="s">
        <v>312</v>
      </c>
      <c r="C178" s="79" t="s">
        <v>99</v>
      </c>
      <c r="D178" s="93">
        <v>67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>
        <v>22872.4485</v>
      </c>
      <c r="O178" s="56"/>
      <c r="P178" s="56"/>
      <c r="Q178" s="56"/>
      <c r="R178" s="56"/>
    </row>
    <row r="179" spans="1:18" ht="90">
      <c r="A179" s="12">
        <v>7</v>
      </c>
      <c r="B179" s="92" t="s">
        <v>313</v>
      </c>
      <c r="C179" s="79" t="s">
        <v>99</v>
      </c>
      <c r="D179" s="93">
        <v>48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>
        <v>17297.7765</v>
      </c>
      <c r="O179" s="56"/>
      <c r="P179" s="56"/>
      <c r="Q179" s="56"/>
      <c r="R179" s="56"/>
    </row>
    <row r="180" spans="1:18" ht="45">
      <c r="A180" s="12">
        <v>8</v>
      </c>
      <c r="B180" s="92" t="s">
        <v>314</v>
      </c>
      <c r="C180" s="79" t="s">
        <v>99</v>
      </c>
      <c r="D180" s="93">
        <v>205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>
        <v>125.06199999999998</v>
      </c>
      <c r="O180" s="56"/>
      <c r="P180" s="56"/>
      <c r="Q180" s="56"/>
      <c r="R180" s="56"/>
    </row>
    <row r="181" spans="1:18" ht="30">
      <c r="A181" s="12">
        <v>9</v>
      </c>
      <c r="B181" s="92" t="s">
        <v>365</v>
      </c>
      <c r="C181" s="79" t="s">
        <v>99</v>
      </c>
      <c r="D181" s="93">
        <v>80189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>
        <v>191246.3734</v>
      </c>
      <c r="O181" s="56"/>
      <c r="P181" s="56"/>
      <c r="Q181" s="56"/>
      <c r="R181" s="56"/>
    </row>
    <row r="182" spans="1:18" ht="30">
      <c r="A182" s="12">
        <v>10</v>
      </c>
      <c r="B182" s="92" t="s">
        <v>315</v>
      </c>
      <c r="C182" s="79" t="s">
        <v>99</v>
      </c>
      <c r="D182" s="93">
        <v>29615</v>
      </c>
      <c r="E182" s="56"/>
      <c r="F182" s="56"/>
      <c r="G182" s="56"/>
      <c r="H182" s="56"/>
      <c r="I182" s="56"/>
      <c r="J182" s="56"/>
      <c r="K182" s="56"/>
      <c r="L182" s="56"/>
      <c r="M182" s="56"/>
      <c r="N182" s="56">
        <v>82480.74159</v>
      </c>
      <c r="O182" s="56"/>
      <c r="P182" s="56"/>
      <c r="Q182" s="56"/>
      <c r="R182" s="56"/>
    </row>
    <row r="183" spans="1:18" ht="30">
      <c r="A183" s="12">
        <v>11</v>
      </c>
      <c r="B183" s="92" t="s">
        <v>366</v>
      </c>
      <c r="C183" s="79" t="s">
        <v>99</v>
      </c>
      <c r="D183" s="93">
        <v>4944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>
        <v>52411.42764</v>
      </c>
      <c r="O183" s="56"/>
      <c r="P183" s="56"/>
      <c r="Q183" s="56"/>
      <c r="R183" s="56"/>
    </row>
    <row r="184" spans="1:18" ht="30">
      <c r="A184" s="12">
        <v>12</v>
      </c>
      <c r="B184" s="92" t="s">
        <v>367</v>
      </c>
      <c r="C184" s="79" t="s">
        <v>99</v>
      </c>
      <c r="D184" s="93">
        <v>0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>
        <v>0</v>
      </c>
      <c r="O184" s="56"/>
      <c r="P184" s="56"/>
      <c r="Q184" s="56"/>
      <c r="R184" s="56"/>
    </row>
    <row r="185" spans="1:18" ht="30">
      <c r="A185" s="12">
        <v>13</v>
      </c>
      <c r="B185" s="92" t="s">
        <v>316</v>
      </c>
      <c r="C185" s="79" t="s">
        <v>99</v>
      </c>
      <c r="D185" s="93">
        <v>0</v>
      </c>
      <c r="E185" s="56"/>
      <c r="F185" s="56"/>
      <c r="G185" s="56"/>
      <c r="H185" s="56"/>
      <c r="I185" s="56"/>
      <c r="J185" s="56"/>
      <c r="K185" s="56"/>
      <c r="L185" s="56"/>
      <c r="M185" s="56"/>
      <c r="N185" s="56">
        <v>0</v>
      </c>
      <c r="O185" s="56"/>
      <c r="P185" s="56"/>
      <c r="Q185" s="56"/>
      <c r="R185" s="56"/>
    </row>
    <row r="186" spans="1:18" ht="30">
      <c r="A186" s="12">
        <v>14</v>
      </c>
      <c r="B186" s="92" t="s">
        <v>317</v>
      </c>
      <c r="C186" s="79" t="s">
        <v>99</v>
      </c>
      <c r="D186" s="93">
        <v>0</v>
      </c>
      <c r="E186" s="56"/>
      <c r="F186" s="56"/>
      <c r="G186" s="56"/>
      <c r="H186" s="56"/>
      <c r="I186" s="56"/>
      <c r="J186" s="56"/>
      <c r="K186" s="56"/>
      <c r="L186" s="56"/>
      <c r="M186" s="56"/>
      <c r="N186" s="56">
        <v>0</v>
      </c>
      <c r="O186" s="56"/>
      <c r="P186" s="56"/>
      <c r="Q186" s="56"/>
      <c r="R186" s="56"/>
    </row>
    <row r="187" spans="1:18" ht="30">
      <c r="A187" s="12">
        <v>15</v>
      </c>
      <c r="B187" s="92" t="s">
        <v>318</v>
      </c>
      <c r="C187" s="79" t="s">
        <v>99</v>
      </c>
      <c r="D187" s="93">
        <v>50846</v>
      </c>
      <c r="E187" s="56"/>
      <c r="F187" s="56"/>
      <c r="G187" s="56"/>
      <c r="H187" s="56"/>
      <c r="I187" s="56"/>
      <c r="J187" s="56"/>
      <c r="K187" s="56"/>
      <c r="L187" s="56"/>
      <c r="M187" s="56"/>
      <c r="N187" s="56">
        <v>50091.048</v>
      </c>
      <c r="O187" s="56"/>
      <c r="P187" s="56"/>
      <c r="Q187" s="56"/>
      <c r="R187" s="56"/>
    </row>
    <row r="188" spans="1:18" ht="30">
      <c r="A188" s="12">
        <v>16</v>
      </c>
      <c r="B188" s="92" t="s">
        <v>319</v>
      </c>
      <c r="C188" s="79" t="s">
        <v>99</v>
      </c>
      <c r="D188" s="93">
        <v>3962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>
        <v>13311.327260000002</v>
      </c>
      <c r="O188" s="56"/>
      <c r="P188" s="56"/>
      <c r="Q188" s="56"/>
      <c r="R188" s="56"/>
    </row>
    <row r="189" spans="1:18" ht="15">
      <c r="A189" s="12">
        <v>17</v>
      </c>
      <c r="B189" s="92" t="s">
        <v>320</v>
      </c>
      <c r="C189" s="79" t="s">
        <v>329</v>
      </c>
      <c r="D189" s="93">
        <v>20</v>
      </c>
      <c r="E189" s="56"/>
      <c r="F189" s="56"/>
      <c r="G189" s="56"/>
      <c r="H189" s="56"/>
      <c r="I189" s="56"/>
      <c r="J189" s="56"/>
      <c r="K189" s="56"/>
      <c r="L189" s="56"/>
      <c r="M189" s="56"/>
      <c r="N189" s="56">
        <v>215956.96</v>
      </c>
      <c r="O189" s="56"/>
      <c r="P189" s="56"/>
      <c r="Q189" s="56"/>
      <c r="R189" s="56"/>
    </row>
    <row r="190" spans="1:18" ht="30">
      <c r="A190" s="12">
        <v>18</v>
      </c>
      <c r="B190" s="92" t="s">
        <v>321</v>
      </c>
      <c r="C190" s="79" t="s">
        <v>330</v>
      </c>
      <c r="D190" s="93">
        <v>41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>
        <v>36119.79</v>
      </c>
      <c r="O190" s="56"/>
      <c r="P190" s="56"/>
      <c r="Q190" s="56"/>
      <c r="R190" s="56"/>
    </row>
    <row r="191" spans="1:18" ht="30">
      <c r="A191" s="12">
        <v>19</v>
      </c>
      <c r="B191" s="92" t="s">
        <v>322</v>
      </c>
      <c r="C191" s="79" t="s">
        <v>99</v>
      </c>
      <c r="D191" s="93">
        <v>882159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>
        <v>107447.33</v>
      </c>
      <c r="O191" s="56"/>
      <c r="P191" s="56"/>
      <c r="Q191" s="56"/>
      <c r="R191" s="56"/>
    </row>
    <row r="192" spans="1:18" ht="30">
      <c r="A192" s="12">
        <v>20</v>
      </c>
      <c r="B192" s="92" t="s">
        <v>323</v>
      </c>
      <c r="C192" s="79" t="s">
        <v>99</v>
      </c>
      <c r="D192" s="93">
        <v>108169</v>
      </c>
      <c r="E192" s="56"/>
      <c r="F192" s="56"/>
      <c r="G192" s="56"/>
      <c r="H192" s="56"/>
      <c r="I192" s="56"/>
      <c r="J192" s="56"/>
      <c r="K192" s="56"/>
      <c r="L192" s="56"/>
      <c r="M192" s="56"/>
      <c r="N192" s="56">
        <v>5274.65</v>
      </c>
      <c r="O192" s="56"/>
      <c r="P192" s="56"/>
      <c r="Q192" s="56"/>
      <c r="R192" s="56"/>
    </row>
    <row r="193" spans="1:18" ht="30">
      <c r="A193" s="12">
        <v>21</v>
      </c>
      <c r="B193" s="92" t="s">
        <v>324</v>
      </c>
      <c r="C193" s="79" t="s">
        <v>99</v>
      </c>
      <c r="D193" s="93">
        <v>531494</v>
      </c>
      <c r="E193" s="56"/>
      <c r="F193" s="56"/>
      <c r="G193" s="56"/>
      <c r="H193" s="56"/>
      <c r="I193" s="56"/>
      <c r="J193" s="56"/>
      <c r="K193" s="56"/>
      <c r="L193" s="56"/>
      <c r="M193" s="56"/>
      <c r="N193" s="56">
        <v>5875.86</v>
      </c>
      <c r="O193" s="56"/>
      <c r="P193" s="56"/>
      <c r="Q193" s="56"/>
      <c r="R193" s="56"/>
    </row>
    <row r="194" spans="1:18" ht="30">
      <c r="A194" s="12">
        <v>22</v>
      </c>
      <c r="B194" s="92" t="s">
        <v>325</v>
      </c>
      <c r="C194" s="79" t="s">
        <v>331</v>
      </c>
      <c r="D194" s="93">
        <v>334</v>
      </c>
      <c r="E194" s="56"/>
      <c r="F194" s="56"/>
      <c r="G194" s="56"/>
      <c r="H194" s="56"/>
      <c r="I194" s="56"/>
      <c r="J194" s="56"/>
      <c r="K194" s="56"/>
      <c r="L194" s="56"/>
      <c r="M194" s="56"/>
      <c r="N194" s="56">
        <v>278382.97</v>
      </c>
      <c r="O194" s="56"/>
      <c r="P194" s="56"/>
      <c r="Q194" s="56"/>
      <c r="R194" s="56"/>
    </row>
    <row r="195" spans="1:18" ht="45">
      <c r="A195" s="12">
        <v>23</v>
      </c>
      <c r="B195" s="92" t="s">
        <v>326</v>
      </c>
      <c r="C195" s="79" t="s">
        <v>332</v>
      </c>
      <c r="D195" s="93">
        <v>447605</v>
      </c>
      <c r="E195" s="56"/>
      <c r="F195" s="56"/>
      <c r="G195" s="56"/>
      <c r="H195" s="56"/>
      <c r="I195" s="56"/>
      <c r="J195" s="56"/>
      <c r="K195" s="56"/>
      <c r="L195" s="56"/>
      <c r="M195" s="56"/>
      <c r="N195" s="56">
        <v>80046.55</v>
      </c>
      <c r="O195" s="56"/>
      <c r="P195" s="56"/>
      <c r="Q195" s="56"/>
      <c r="R195" s="56"/>
    </row>
    <row r="196" spans="1:18" ht="50.25">
      <c r="A196" s="12">
        <v>24</v>
      </c>
      <c r="B196" s="92" t="s">
        <v>368</v>
      </c>
      <c r="C196" s="79" t="s">
        <v>333</v>
      </c>
      <c r="D196" s="93" t="s">
        <v>364</v>
      </c>
      <c r="E196" s="56"/>
      <c r="F196" s="56"/>
      <c r="G196" s="56"/>
      <c r="H196" s="56"/>
      <c r="I196" s="56"/>
      <c r="J196" s="56"/>
      <c r="K196" s="56"/>
      <c r="L196" s="56"/>
      <c r="M196" s="56"/>
      <c r="N196" s="56">
        <v>14000.24</v>
      </c>
      <c r="O196" s="56"/>
      <c r="P196" s="56"/>
      <c r="Q196" s="56"/>
      <c r="R196" s="56"/>
    </row>
    <row r="197" spans="1:18" ht="30">
      <c r="A197" s="12">
        <v>25</v>
      </c>
      <c r="B197" s="92" t="s">
        <v>327</v>
      </c>
      <c r="C197" s="79" t="s">
        <v>333</v>
      </c>
      <c r="D197" s="93">
        <v>142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>
        <v>75411.4</v>
      </c>
      <c r="O197" s="56"/>
      <c r="P197" s="56"/>
      <c r="Q197" s="56"/>
      <c r="R197" s="56"/>
    </row>
    <row r="198" spans="1:18" ht="45">
      <c r="A198" s="12">
        <v>26</v>
      </c>
      <c r="B198" s="92" t="s">
        <v>328</v>
      </c>
      <c r="C198" s="79" t="s">
        <v>334</v>
      </c>
      <c r="D198" s="93">
        <v>3276593</v>
      </c>
      <c r="E198" s="56"/>
      <c r="F198" s="56"/>
      <c r="G198" s="56"/>
      <c r="H198" s="56"/>
      <c r="I198" s="56"/>
      <c r="J198" s="56"/>
      <c r="K198" s="56"/>
      <c r="L198" s="56"/>
      <c r="M198" s="56"/>
      <c r="N198" s="56">
        <v>50000</v>
      </c>
      <c r="O198" s="56"/>
      <c r="P198" s="56"/>
      <c r="Q198" s="56"/>
      <c r="R198" s="56"/>
    </row>
    <row r="199" spans="1:18" ht="28.5" customHeight="1">
      <c r="A199" s="12"/>
      <c r="B199" s="94" t="s">
        <v>0</v>
      </c>
      <c r="C199" s="90"/>
      <c r="D199" s="90" t="s">
        <v>8</v>
      </c>
      <c r="E199" s="90" t="s">
        <v>8</v>
      </c>
      <c r="F199" s="90" t="s">
        <v>8</v>
      </c>
      <c r="G199" s="90" t="s">
        <v>8</v>
      </c>
      <c r="H199" s="90" t="s">
        <v>8</v>
      </c>
      <c r="I199" s="90" t="s">
        <v>8</v>
      </c>
      <c r="J199" s="90" t="s">
        <v>8</v>
      </c>
      <c r="K199" s="90" t="s">
        <v>8</v>
      </c>
      <c r="L199" s="90" t="s">
        <v>8</v>
      </c>
      <c r="M199" s="90" t="s">
        <v>8</v>
      </c>
      <c r="N199" s="90">
        <f>SUM(N173:N198)</f>
        <v>1384321.2202599999</v>
      </c>
      <c r="O199" s="90">
        <f>SUM(O173:O198)</f>
        <v>0</v>
      </c>
      <c r="P199" s="90">
        <f>SUM(P173:P198)</f>
        <v>0</v>
      </c>
      <c r="Q199" s="90">
        <f>SUM(Q173:Q198)</f>
        <v>0</v>
      </c>
      <c r="R199" s="90">
        <f>SUM(R173:R198)</f>
        <v>0</v>
      </c>
    </row>
    <row r="200" spans="1:18" ht="15">
      <c r="A200" s="138" t="s">
        <v>214</v>
      </c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</row>
    <row r="201" spans="1:18" ht="105">
      <c r="A201" s="1">
        <v>1</v>
      </c>
      <c r="B201" s="70" t="s">
        <v>215</v>
      </c>
      <c r="C201" s="12" t="s">
        <v>342</v>
      </c>
      <c r="D201" s="53">
        <v>50</v>
      </c>
      <c r="E201" s="53">
        <v>50</v>
      </c>
      <c r="F201" s="53">
        <v>50</v>
      </c>
      <c r="G201" s="53">
        <v>50</v>
      </c>
      <c r="H201" s="53">
        <v>50</v>
      </c>
      <c r="I201" s="53"/>
      <c r="J201" s="53"/>
      <c r="K201" s="53"/>
      <c r="L201" s="53"/>
      <c r="M201" s="53"/>
      <c r="N201" s="53">
        <f>43621.75*D201/1000</f>
        <v>2181.0875</v>
      </c>
      <c r="O201" s="53">
        <f>45366.62*E201/1000</f>
        <v>2268.331</v>
      </c>
      <c r="P201" s="53">
        <f>47181.28*F201/1000</f>
        <v>2359.064</v>
      </c>
      <c r="Q201" s="53">
        <f>49068.54*G201/1000</f>
        <v>2453.427</v>
      </c>
      <c r="R201" s="53">
        <f>49068.54*H201/1000</f>
        <v>2453.427</v>
      </c>
    </row>
    <row r="202" spans="1:18" ht="90">
      <c r="A202" s="1">
        <v>2</v>
      </c>
      <c r="B202" s="70" t="s">
        <v>217</v>
      </c>
      <c r="C202" s="12" t="s">
        <v>343</v>
      </c>
      <c r="D202" s="53">
        <v>4</v>
      </c>
      <c r="E202" s="53">
        <v>0</v>
      </c>
      <c r="F202" s="53">
        <v>0</v>
      </c>
      <c r="G202" s="53">
        <v>0</v>
      </c>
      <c r="H202" s="53">
        <v>0</v>
      </c>
      <c r="I202" s="53"/>
      <c r="J202" s="53"/>
      <c r="K202" s="53"/>
      <c r="L202" s="53"/>
      <c r="M202" s="53"/>
      <c r="N202" s="53">
        <f>360508.52*D202/1000</f>
        <v>1442.0340800000001</v>
      </c>
      <c r="O202" s="53">
        <f>374928.86*E202/1000</f>
        <v>0</v>
      </c>
      <c r="P202" s="53">
        <f>389926.02*F202/1000</f>
        <v>0</v>
      </c>
      <c r="Q202" s="53">
        <f>405523.06*G202/1000</f>
        <v>0</v>
      </c>
      <c r="R202" s="53">
        <f>405523.06*H202/1000</f>
        <v>0</v>
      </c>
    </row>
    <row r="203" spans="1:18" ht="105">
      <c r="A203" s="12">
        <v>3</v>
      </c>
      <c r="B203" s="95" t="s">
        <v>344</v>
      </c>
      <c r="C203" s="12" t="s">
        <v>343</v>
      </c>
      <c r="D203" s="53">
        <v>3</v>
      </c>
      <c r="E203" s="53">
        <v>0</v>
      </c>
      <c r="F203" s="53">
        <v>0</v>
      </c>
      <c r="G203" s="53">
        <v>0</v>
      </c>
      <c r="H203" s="53">
        <v>0</v>
      </c>
      <c r="I203" s="53"/>
      <c r="J203" s="53"/>
      <c r="K203" s="53"/>
      <c r="L203" s="53"/>
      <c r="M203" s="53"/>
      <c r="N203" s="53">
        <f>43282.5*D203/1000</f>
        <v>129.8475</v>
      </c>
      <c r="O203" s="53">
        <f>45013.8*E203/1000</f>
        <v>0</v>
      </c>
      <c r="P203" s="53">
        <f>46814.35*F203/1000</f>
        <v>0</v>
      </c>
      <c r="Q203" s="53">
        <f>48686.93*G203/1000</f>
        <v>0</v>
      </c>
      <c r="R203" s="53">
        <f>48686.93*H203/1000</f>
        <v>0</v>
      </c>
    </row>
    <row r="204" spans="1:18" ht="105">
      <c r="A204" s="12">
        <v>4</v>
      </c>
      <c r="B204" s="95" t="s">
        <v>345</v>
      </c>
      <c r="C204" s="12" t="s">
        <v>343</v>
      </c>
      <c r="D204" s="53">
        <v>3</v>
      </c>
      <c r="E204" s="53">
        <v>0</v>
      </c>
      <c r="F204" s="53">
        <v>0</v>
      </c>
      <c r="G204" s="53">
        <v>0</v>
      </c>
      <c r="H204" s="53">
        <v>0</v>
      </c>
      <c r="I204" s="53"/>
      <c r="J204" s="53"/>
      <c r="K204" s="53"/>
      <c r="L204" s="53"/>
      <c r="M204" s="53"/>
      <c r="N204" s="53">
        <f>14427.54*D204/1000</f>
        <v>43.28262</v>
      </c>
      <c r="O204" s="53">
        <f>15004.64*E204/1000</f>
        <v>0</v>
      </c>
      <c r="P204" s="53">
        <f>15604.82*F204/1000</f>
        <v>0</v>
      </c>
      <c r="Q204" s="53">
        <f>16229.01*G204/1000</f>
        <v>0</v>
      </c>
      <c r="R204" s="53">
        <f>16229.01*H204/1000</f>
        <v>0</v>
      </c>
    </row>
    <row r="205" spans="1:18" ht="45">
      <c r="A205" s="12">
        <v>5</v>
      </c>
      <c r="B205" s="95" t="s">
        <v>346</v>
      </c>
      <c r="C205" s="12" t="s">
        <v>343</v>
      </c>
      <c r="D205" s="53">
        <v>102</v>
      </c>
      <c r="E205" s="53">
        <v>100</v>
      </c>
      <c r="F205" s="53">
        <v>100</v>
      </c>
      <c r="G205" s="53">
        <v>100</v>
      </c>
      <c r="H205" s="53">
        <v>100</v>
      </c>
      <c r="I205" s="53"/>
      <c r="J205" s="53"/>
      <c r="K205" s="53"/>
      <c r="L205" s="53"/>
      <c r="M205" s="53"/>
      <c r="N205" s="53">
        <v>290.58</v>
      </c>
      <c r="O205" s="53">
        <f>3022*E205/1000</f>
        <v>302.2</v>
      </c>
      <c r="P205" s="53">
        <f>3142.88*F205/1000</f>
        <v>314.288</v>
      </c>
      <c r="Q205" s="53">
        <f>3268.6*G205/1000</f>
        <v>326.86</v>
      </c>
      <c r="R205" s="53">
        <f>3268.6*H205/1000</f>
        <v>326.86</v>
      </c>
    </row>
    <row r="206" spans="1:18" ht="45">
      <c r="A206" s="12">
        <v>6</v>
      </c>
      <c r="B206" s="95" t="s">
        <v>347</v>
      </c>
      <c r="C206" s="12" t="s">
        <v>343</v>
      </c>
      <c r="D206" s="53">
        <v>104</v>
      </c>
      <c r="E206" s="53">
        <v>100</v>
      </c>
      <c r="F206" s="53">
        <v>100</v>
      </c>
      <c r="G206" s="53">
        <v>100</v>
      </c>
      <c r="H206" s="53">
        <v>100</v>
      </c>
      <c r="I206" s="53"/>
      <c r="J206" s="53"/>
      <c r="K206" s="53"/>
      <c r="L206" s="53"/>
      <c r="M206" s="53"/>
      <c r="N206" s="53">
        <v>435.86</v>
      </c>
      <c r="O206" s="53">
        <f>4532.9*E206/1000</f>
        <v>453.28999999999996</v>
      </c>
      <c r="P206" s="53">
        <f>4714.22*F206/1000</f>
        <v>471.422</v>
      </c>
      <c r="Q206" s="53">
        <f>4902.78*G206/1000</f>
        <v>490.278</v>
      </c>
      <c r="R206" s="53">
        <f>4902.78*H206/1000</f>
        <v>490.278</v>
      </c>
    </row>
    <row r="207" spans="1:18" ht="45">
      <c r="A207" s="12">
        <v>7</v>
      </c>
      <c r="B207" s="95" t="s">
        <v>223</v>
      </c>
      <c r="C207" s="12" t="s">
        <v>343</v>
      </c>
      <c r="D207" s="53">
        <v>101</v>
      </c>
      <c r="E207" s="53">
        <v>100</v>
      </c>
      <c r="F207" s="53">
        <v>100</v>
      </c>
      <c r="G207" s="53">
        <v>100</v>
      </c>
      <c r="H207" s="53">
        <v>100</v>
      </c>
      <c r="I207" s="53"/>
      <c r="J207" s="53"/>
      <c r="K207" s="53"/>
      <c r="L207" s="53"/>
      <c r="M207" s="53"/>
      <c r="N207" s="53">
        <v>432.6</v>
      </c>
      <c r="O207" s="53">
        <f>4499.04*E207/1000</f>
        <v>449.904</v>
      </c>
      <c r="P207" s="53">
        <f>4679.01*F207/1000</f>
        <v>467.901</v>
      </c>
      <c r="Q207" s="53">
        <f>4866.17*G207/1000</f>
        <v>486.617</v>
      </c>
      <c r="R207" s="53">
        <f>4866.17*H207/1000</f>
        <v>486.617</v>
      </c>
    </row>
    <row r="208" spans="1:18" ht="45">
      <c r="A208" s="12">
        <v>8</v>
      </c>
      <c r="B208" s="95" t="s">
        <v>224</v>
      </c>
      <c r="C208" s="12" t="s">
        <v>343</v>
      </c>
      <c r="D208" s="53">
        <v>100</v>
      </c>
      <c r="E208" s="53">
        <v>100</v>
      </c>
      <c r="F208" s="53">
        <v>100</v>
      </c>
      <c r="G208" s="53">
        <v>100</v>
      </c>
      <c r="H208" s="53">
        <v>100</v>
      </c>
      <c r="I208" s="53"/>
      <c r="J208" s="53"/>
      <c r="K208" s="53"/>
      <c r="L208" s="53"/>
      <c r="M208" s="53"/>
      <c r="N208" s="53">
        <f>5768.1*D208/1000</f>
        <v>576.81</v>
      </c>
      <c r="O208" s="53">
        <f>5998.82*E208/1000</f>
        <v>599.882</v>
      </c>
      <c r="P208" s="53">
        <f>6238.78*F208/1000</f>
        <v>623.878</v>
      </c>
      <c r="Q208" s="53">
        <f>6488.33*G208/1000</f>
        <v>648.833</v>
      </c>
      <c r="R208" s="53">
        <f>6488.33*H208/1000</f>
        <v>648.833</v>
      </c>
    </row>
    <row r="209" spans="1:18" ht="45">
      <c r="A209" s="12">
        <v>9</v>
      </c>
      <c r="B209" s="95" t="s">
        <v>225</v>
      </c>
      <c r="C209" s="12" t="s">
        <v>16</v>
      </c>
      <c r="D209" s="53">
        <v>237</v>
      </c>
      <c r="E209" s="53">
        <v>0</v>
      </c>
      <c r="F209" s="53">
        <v>0</v>
      </c>
      <c r="G209" s="53">
        <v>0</v>
      </c>
      <c r="H209" s="53">
        <v>0</v>
      </c>
      <c r="I209" s="53"/>
      <c r="J209" s="53"/>
      <c r="K209" s="53"/>
      <c r="L209" s="53"/>
      <c r="M209" s="53"/>
      <c r="N209" s="53">
        <v>72.12</v>
      </c>
      <c r="O209" s="53">
        <f>375*E209/1000</f>
        <v>0</v>
      </c>
      <c r="P209" s="53">
        <f>390*F209/1000</f>
        <v>0</v>
      </c>
      <c r="Q209" s="53">
        <f>405.6*G209/1000</f>
        <v>0</v>
      </c>
      <c r="R209" s="53">
        <f>405.6*H209/1000</f>
        <v>0</v>
      </c>
    </row>
    <row r="210" spans="1:18" ht="45">
      <c r="A210" s="12">
        <v>10</v>
      </c>
      <c r="B210" s="95" t="s">
        <v>226</v>
      </c>
      <c r="C210" s="12" t="s">
        <v>348</v>
      </c>
      <c r="D210" s="53">
        <v>50.71</v>
      </c>
      <c r="E210" s="53">
        <v>50</v>
      </c>
      <c r="F210" s="53">
        <v>50</v>
      </c>
      <c r="G210" s="53">
        <v>50</v>
      </c>
      <c r="H210" s="53">
        <v>50</v>
      </c>
      <c r="I210" s="53"/>
      <c r="J210" s="53"/>
      <c r="K210" s="53"/>
      <c r="L210" s="53"/>
      <c r="M210" s="53"/>
      <c r="N210" s="53">
        <v>72.11</v>
      </c>
      <c r="O210" s="53">
        <f>1499.98*E210/1000</f>
        <v>74.999</v>
      </c>
      <c r="P210" s="53">
        <f>1559.98*F210/1000</f>
        <v>77.999</v>
      </c>
      <c r="Q210" s="53">
        <f>1622.38*G210/1000</f>
        <v>81.119</v>
      </c>
      <c r="R210" s="53">
        <f>1622.38*H210/1000</f>
        <v>81.119</v>
      </c>
    </row>
    <row r="211" spans="1:18" ht="45">
      <c r="A211" s="12">
        <v>11</v>
      </c>
      <c r="B211" s="95" t="s">
        <v>228</v>
      </c>
      <c r="C211" s="12" t="s">
        <v>348</v>
      </c>
      <c r="D211" s="53">
        <v>51.23</v>
      </c>
      <c r="E211" s="53">
        <v>50</v>
      </c>
      <c r="F211" s="53">
        <v>50</v>
      </c>
      <c r="G211" s="53">
        <v>50</v>
      </c>
      <c r="H211" s="53">
        <v>50</v>
      </c>
      <c r="I211" s="53"/>
      <c r="J211" s="53"/>
      <c r="K211" s="53"/>
      <c r="L211" s="53"/>
      <c r="M211" s="53"/>
      <c r="N211" s="53">
        <v>72.05</v>
      </c>
      <c r="O211" s="53">
        <f>1498.73*E211/1000</f>
        <v>74.9365</v>
      </c>
      <c r="P211" s="53">
        <f>1558.68*F211/1000</f>
        <v>77.934</v>
      </c>
      <c r="Q211" s="53">
        <f>1621.03*G211/1000</f>
        <v>81.0515</v>
      </c>
      <c r="R211" s="53">
        <f>1621.03*H211/1000</f>
        <v>81.0515</v>
      </c>
    </row>
    <row r="212" spans="1:18" ht="45">
      <c r="A212" s="12">
        <v>12</v>
      </c>
      <c r="B212" s="95" t="s">
        <v>229</v>
      </c>
      <c r="C212" s="12" t="s">
        <v>16</v>
      </c>
      <c r="D212" s="53">
        <v>200</v>
      </c>
      <c r="E212" s="53">
        <v>200</v>
      </c>
      <c r="F212" s="53">
        <v>200</v>
      </c>
      <c r="G212" s="53">
        <v>200</v>
      </c>
      <c r="H212" s="53">
        <v>200</v>
      </c>
      <c r="I212" s="53"/>
      <c r="J212" s="53"/>
      <c r="K212" s="53"/>
      <c r="L212" s="53"/>
      <c r="M212" s="53"/>
      <c r="N212" s="53">
        <f>360.21*D212/1000</f>
        <v>72.042</v>
      </c>
      <c r="O212" s="53">
        <f>374.62*E212/1000</f>
        <v>74.924</v>
      </c>
      <c r="P212" s="53">
        <f>389.61*F212/1000</f>
        <v>77.922</v>
      </c>
      <c r="Q212" s="53">
        <f>405.19*G212/1000</f>
        <v>81.038</v>
      </c>
      <c r="R212" s="53">
        <f>405.19*H212/1000</f>
        <v>81.038</v>
      </c>
    </row>
    <row r="213" spans="1:18" ht="75">
      <c r="A213" s="12">
        <v>13</v>
      </c>
      <c r="B213" s="95" t="s">
        <v>231</v>
      </c>
      <c r="C213" s="12" t="s">
        <v>343</v>
      </c>
      <c r="D213" s="53">
        <v>1314214</v>
      </c>
      <c r="E213" s="53">
        <v>2019842</v>
      </c>
      <c r="F213" s="53">
        <v>1361166</v>
      </c>
      <c r="G213" s="53">
        <v>2053255</v>
      </c>
      <c r="H213" s="53">
        <v>0</v>
      </c>
      <c r="I213" s="53"/>
      <c r="J213" s="53"/>
      <c r="K213" s="53"/>
      <c r="L213" s="53"/>
      <c r="M213" s="53"/>
      <c r="N213" s="53">
        <v>15865.46</v>
      </c>
      <c r="O213" s="53">
        <f>9.58*E213/1000</f>
        <v>19350.08636</v>
      </c>
      <c r="P213" s="53">
        <f>9.96*F213/1000</f>
        <v>13557.213360000002</v>
      </c>
      <c r="Q213" s="53">
        <f>10.36*G213/1000</f>
        <v>21271.721799999996</v>
      </c>
      <c r="R213" s="53">
        <f>10.36*H213/1000</f>
        <v>0</v>
      </c>
    </row>
    <row r="214" spans="1:18" ht="75">
      <c r="A214" s="12">
        <v>14</v>
      </c>
      <c r="B214" s="95" t="s">
        <v>232</v>
      </c>
      <c r="C214" s="12" t="s">
        <v>343</v>
      </c>
      <c r="D214" s="53">
        <v>1314214</v>
      </c>
      <c r="E214" s="53">
        <v>2019842</v>
      </c>
      <c r="F214" s="53">
        <v>1361166</v>
      </c>
      <c r="G214" s="53">
        <v>2053255</v>
      </c>
      <c r="H214" s="53">
        <v>0</v>
      </c>
      <c r="I214" s="53"/>
      <c r="J214" s="53"/>
      <c r="K214" s="53"/>
      <c r="L214" s="53"/>
      <c r="M214" s="53"/>
      <c r="N214" s="53">
        <v>15865.46</v>
      </c>
      <c r="O214" s="53">
        <f>9.58*E214/1000</f>
        <v>19350.08636</v>
      </c>
      <c r="P214" s="53">
        <f>9.96*F214/1000</f>
        <v>13557.213360000002</v>
      </c>
      <c r="Q214" s="53">
        <f>10.36*G214/1000</f>
        <v>21271.721799999996</v>
      </c>
      <c r="R214" s="53">
        <f>10.36*H214/1000</f>
        <v>0</v>
      </c>
    </row>
    <row r="215" spans="1:18" ht="45">
      <c r="A215" s="12">
        <v>15</v>
      </c>
      <c r="B215" s="95" t="s">
        <v>233</v>
      </c>
      <c r="C215" s="12" t="s">
        <v>343</v>
      </c>
      <c r="D215" s="53">
        <v>1982191</v>
      </c>
      <c r="E215" s="53">
        <v>1361166</v>
      </c>
      <c r="F215" s="53">
        <v>2053267</v>
      </c>
      <c r="G215" s="53">
        <v>503382</v>
      </c>
      <c r="H215" s="53">
        <v>2335809</v>
      </c>
      <c r="I215" s="53"/>
      <c r="J215" s="53"/>
      <c r="K215" s="53"/>
      <c r="L215" s="53"/>
      <c r="M215" s="53"/>
      <c r="N215" s="53">
        <v>5015.57</v>
      </c>
      <c r="O215" s="53">
        <f>2.65*E215/1000</f>
        <v>3607.0899</v>
      </c>
      <c r="P215" s="53">
        <f>2.75*F215/1000</f>
        <v>5646.48425</v>
      </c>
      <c r="Q215" s="53">
        <f>2.87*G215/1000</f>
        <v>1444.7063400000002</v>
      </c>
      <c r="R215" s="53">
        <f>2.87*H215/1000</f>
        <v>6703.77183</v>
      </c>
    </row>
    <row r="216" spans="1:18" ht="45">
      <c r="A216" s="1">
        <v>16</v>
      </c>
      <c r="B216" s="70" t="s">
        <v>234</v>
      </c>
      <c r="C216" s="12" t="s">
        <v>348</v>
      </c>
      <c r="D216" s="53">
        <v>58.03</v>
      </c>
      <c r="E216" s="53">
        <v>30</v>
      </c>
      <c r="F216" s="53">
        <v>10</v>
      </c>
      <c r="G216" s="53">
        <v>10</v>
      </c>
      <c r="H216" s="53">
        <v>70</v>
      </c>
      <c r="I216" s="53"/>
      <c r="J216" s="53"/>
      <c r="K216" s="53"/>
      <c r="L216" s="53"/>
      <c r="M216" s="53"/>
      <c r="N216" s="53">
        <v>6651.39</v>
      </c>
      <c r="O216" s="53">
        <f>120059.46*E216/1000</f>
        <v>3601.7838</v>
      </c>
      <c r="P216" s="53">
        <f>124861.83*F216/1000</f>
        <v>1248.6183</v>
      </c>
      <c r="Q216" s="53">
        <f>129856.31*G216/1000</f>
        <v>1298.5631</v>
      </c>
      <c r="R216" s="53">
        <f>129856.31*H216/1000</f>
        <v>9089.9417</v>
      </c>
    </row>
    <row r="217" spans="1:18" ht="75">
      <c r="A217" s="1">
        <v>17</v>
      </c>
      <c r="B217" s="70" t="s">
        <v>235</v>
      </c>
      <c r="C217" s="12" t="s">
        <v>343</v>
      </c>
      <c r="D217" s="53">
        <v>0</v>
      </c>
      <c r="E217" s="53">
        <v>0</v>
      </c>
      <c r="F217" s="53">
        <v>40000</v>
      </c>
      <c r="G217" s="53">
        <v>10000</v>
      </c>
      <c r="H217" s="53">
        <v>100000</v>
      </c>
      <c r="I217" s="53"/>
      <c r="J217" s="53"/>
      <c r="K217" s="53"/>
      <c r="L217" s="53"/>
      <c r="M217" s="53"/>
      <c r="N217" s="53">
        <f>145.66*D217/1000</f>
        <v>0</v>
      </c>
      <c r="O217" s="53">
        <f>151.49*E217/1000</f>
        <v>0</v>
      </c>
      <c r="P217" s="53">
        <f>157.55*F217/1000</f>
        <v>6302</v>
      </c>
      <c r="Q217" s="53">
        <f>163.85*G217/1000</f>
        <v>1638.5</v>
      </c>
      <c r="R217" s="53">
        <f>163.85*H217/1000</f>
        <v>16385</v>
      </c>
    </row>
    <row r="218" spans="1:18" ht="75">
      <c r="A218" s="1">
        <v>18</v>
      </c>
      <c r="B218" s="70" t="s">
        <v>236</v>
      </c>
      <c r="C218" s="12" t="s">
        <v>343</v>
      </c>
      <c r="D218" s="53">
        <v>0</v>
      </c>
      <c r="E218" s="53">
        <v>0</v>
      </c>
      <c r="F218" s="53">
        <v>40000</v>
      </c>
      <c r="G218" s="53">
        <v>10000</v>
      </c>
      <c r="H218" s="53">
        <v>100000</v>
      </c>
      <c r="I218" s="53"/>
      <c r="J218" s="53"/>
      <c r="K218" s="53"/>
      <c r="L218" s="53"/>
      <c r="M218" s="53"/>
      <c r="N218" s="53">
        <f>145.66*D218/1000</f>
        <v>0</v>
      </c>
      <c r="O218" s="53">
        <f>151.49*E218/1000</f>
        <v>0</v>
      </c>
      <c r="P218" s="53">
        <f>157.55*F218/1000</f>
        <v>6302</v>
      </c>
      <c r="Q218" s="53">
        <f>163.85*G218/1000</f>
        <v>1638.5</v>
      </c>
      <c r="R218" s="53">
        <f>163.85*H218/1000</f>
        <v>16385</v>
      </c>
    </row>
    <row r="219" spans="1:18" ht="45">
      <c r="A219" s="1">
        <v>19</v>
      </c>
      <c r="B219" s="70" t="s">
        <v>237</v>
      </c>
      <c r="C219" s="12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>
        <v>50.5</v>
      </c>
      <c r="O219" s="53">
        <v>48.99</v>
      </c>
      <c r="P219" s="53">
        <v>4.06</v>
      </c>
      <c r="Q219" s="53">
        <v>4.06</v>
      </c>
      <c r="R219" s="53">
        <v>4.06</v>
      </c>
    </row>
    <row r="220" spans="1:18" ht="15">
      <c r="A220" s="3"/>
      <c r="B220" s="40" t="s">
        <v>0</v>
      </c>
      <c r="C220" s="3"/>
      <c r="D220" s="17" t="s">
        <v>8</v>
      </c>
      <c r="E220" s="17" t="s">
        <v>8</v>
      </c>
      <c r="F220" s="17" t="s">
        <v>8</v>
      </c>
      <c r="G220" s="17" t="s">
        <v>8</v>
      </c>
      <c r="H220" s="17" t="s">
        <v>8</v>
      </c>
      <c r="I220" s="17" t="s">
        <v>8</v>
      </c>
      <c r="J220" s="17" t="s">
        <v>8</v>
      </c>
      <c r="K220" s="17" t="s">
        <v>8</v>
      </c>
      <c r="L220" s="17" t="s">
        <v>8</v>
      </c>
      <c r="M220" s="17" t="s">
        <v>8</v>
      </c>
      <c r="N220" s="65">
        <f>SUM(N201:N219)</f>
        <v>49268.8037</v>
      </c>
      <c r="O220" s="65">
        <f>SUM(O201:O219)</f>
        <v>50256.50291999999</v>
      </c>
      <c r="P220" s="65">
        <f>SUM(P201:P219)</f>
        <v>51087.99727</v>
      </c>
      <c r="Q220" s="65">
        <f>SUM(Q201:Q219)</f>
        <v>53216.996539999986</v>
      </c>
      <c r="R220" s="65">
        <f>SUM(R201:R219)</f>
        <v>53216.99703</v>
      </c>
    </row>
    <row r="221" spans="1:18" ht="15">
      <c r="A221" s="138" t="s">
        <v>253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</row>
    <row r="222" spans="1:18" ht="206.25">
      <c r="A222" s="12">
        <v>1</v>
      </c>
      <c r="B222" s="96" t="s">
        <v>349</v>
      </c>
      <c r="C222" s="97" t="s">
        <v>350</v>
      </c>
      <c r="D222" s="98">
        <v>3747282</v>
      </c>
      <c r="E222" s="98">
        <v>4498936</v>
      </c>
      <c r="F222" s="98">
        <v>4559204</v>
      </c>
      <c r="G222" s="98">
        <v>4561363</v>
      </c>
      <c r="H222" s="98">
        <v>4563523</v>
      </c>
      <c r="I222" s="99"/>
      <c r="J222" s="99"/>
      <c r="K222" s="99"/>
      <c r="L222" s="99"/>
      <c r="M222" s="99"/>
      <c r="N222" s="99">
        <v>1294719.14278</v>
      </c>
      <c r="O222" s="99">
        <v>1334658.83826</v>
      </c>
      <c r="P222" s="99">
        <v>1352427.17128</v>
      </c>
      <c r="Q222" s="99">
        <v>1353014.17129</v>
      </c>
      <c r="R222" s="99">
        <v>1353624.17128</v>
      </c>
    </row>
    <row r="223" spans="1:18" ht="75">
      <c r="A223" s="12">
        <v>2</v>
      </c>
      <c r="B223" s="96" t="s">
        <v>351</v>
      </c>
      <c r="C223" s="97" t="s">
        <v>350</v>
      </c>
      <c r="D223" s="98">
        <v>4535</v>
      </c>
      <c r="E223" s="98">
        <f>2709+2117</f>
        <v>4826</v>
      </c>
      <c r="F223" s="98">
        <v>1244</v>
      </c>
      <c r="G223" s="98">
        <v>1244</v>
      </c>
      <c r="H223" s="98"/>
      <c r="I223" s="99"/>
      <c r="J223" s="99"/>
      <c r="K223" s="99"/>
      <c r="L223" s="99"/>
      <c r="M223" s="99"/>
      <c r="N223" s="99">
        <v>702.6734</v>
      </c>
      <c r="O223" s="99">
        <v>724.90368</v>
      </c>
      <c r="P223" s="99">
        <v>724.90368</v>
      </c>
      <c r="Q223" s="99">
        <v>724.90368</v>
      </c>
      <c r="R223" s="99"/>
    </row>
    <row r="224" spans="1:18" ht="15">
      <c r="A224" s="9"/>
      <c r="B224" s="10" t="s">
        <v>0</v>
      </c>
      <c r="C224" s="3"/>
      <c r="D224" s="11" t="s">
        <v>8</v>
      </c>
      <c r="E224" s="11" t="s">
        <v>8</v>
      </c>
      <c r="F224" s="11" t="s">
        <v>8</v>
      </c>
      <c r="G224" s="11" t="s">
        <v>8</v>
      </c>
      <c r="H224" s="11" t="s">
        <v>8</v>
      </c>
      <c r="I224" s="11" t="s">
        <v>8</v>
      </c>
      <c r="J224" s="11" t="s">
        <v>8</v>
      </c>
      <c r="K224" s="11" t="s">
        <v>8</v>
      </c>
      <c r="L224" s="11" t="s">
        <v>8</v>
      </c>
      <c r="M224" s="11" t="s">
        <v>8</v>
      </c>
      <c r="N224" s="86">
        <f>N222+N223</f>
        <v>1295421.81618</v>
      </c>
      <c r="O224" s="86">
        <f>O222+O223</f>
        <v>1335383.74194</v>
      </c>
      <c r="P224" s="86">
        <f>P222+P223</f>
        <v>1353152.0749599999</v>
      </c>
      <c r="Q224" s="86">
        <f>Q222+Q223</f>
        <v>1353739.07497</v>
      </c>
      <c r="R224" s="86">
        <f>R222+R223</f>
        <v>1353624.17128</v>
      </c>
    </row>
    <row r="225" spans="1:18" ht="15">
      <c r="A225" s="138" t="s">
        <v>203</v>
      </c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</row>
    <row r="226" spans="1:18" ht="75">
      <c r="A226" s="1">
        <v>1</v>
      </c>
      <c r="B226" s="70" t="s">
        <v>204</v>
      </c>
      <c r="C226" s="1" t="s">
        <v>205</v>
      </c>
      <c r="D226" s="49">
        <v>3</v>
      </c>
      <c r="E226" s="49">
        <v>3</v>
      </c>
      <c r="F226" s="49">
        <v>3</v>
      </c>
      <c r="G226" s="49">
        <v>3</v>
      </c>
      <c r="H226" s="49">
        <v>3</v>
      </c>
      <c r="I226" s="49">
        <v>3</v>
      </c>
      <c r="J226" s="53"/>
      <c r="K226" s="53"/>
      <c r="L226" s="53"/>
      <c r="M226" s="53"/>
      <c r="N226" s="62">
        <v>9286.63</v>
      </c>
      <c r="O226" s="53">
        <v>1412</v>
      </c>
      <c r="P226" s="53">
        <v>1385</v>
      </c>
      <c r="Q226" s="53">
        <v>1282</v>
      </c>
      <c r="R226" s="53">
        <v>1359</v>
      </c>
    </row>
    <row r="227" spans="1:18" ht="75">
      <c r="A227" s="1">
        <v>2</v>
      </c>
      <c r="B227" s="70" t="s">
        <v>206</v>
      </c>
      <c r="C227" s="1" t="s">
        <v>205</v>
      </c>
      <c r="D227" s="49">
        <v>3</v>
      </c>
      <c r="E227" s="49">
        <v>3</v>
      </c>
      <c r="F227" s="49">
        <v>2</v>
      </c>
      <c r="G227" s="49">
        <v>2</v>
      </c>
      <c r="H227" s="49">
        <v>2</v>
      </c>
      <c r="I227" s="49">
        <v>2</v>
      </c>
      <c r="J227" s="53"/>
      <c r="K227" s="53"/>
      <c r="L227" s="53"/>
      <c r="M227" s="53"/>
      <c r="N227" s="62">
        <v>11721.1</v>
      </c>
      <c r="O227" s="53">
        <v>8194</v>
      </c>
      <c r="P227" s="53">
        <v>8482</v>
      </c>
      <c r="Q227" s="53">
        <v>8325</v>
      </c>
      <c r="R227" s="53">
        <v>8206</v>
      </c>
    </row>
    <row r="228" spans="1:18" ht="15">
      <c r="A228" s="1">
        <v>3</v>
      </c>
      <c r="B228" s="70" t="s">
        <v>270</v>
      </c>
      <c r="C228" s="1" t="s">
        <v>205</v>
      </c>
      <c r="D228" s="49">
        <v>1</v>
      </c>
      <c r="E228" s="49">
        <v>1</v>
      </c>
      <c r="F228" s="49">
        <v>1</v>
      </c>
      <c r="G228" s="49">
        <v>1</v>
      </c>
      <c r="H228" s="49">
        <v>1</v>
      </c>
      <c r="I228" s="49">
        <v>1</v>
      </c>
      <c r="J228" s="53"/>
      <c r="K228" s="53"/>
      <c r="L228" s="53"/>
      <c r="M228" s="53"/>
      <c r="N228" s="62">
        <v>2646</v>
      </c>
      <c r="O228" s="53">
        <v>2831</v>
      </c>
      <c r="P228" s="53">
        <v>1987</v>
      </c>
      <c r="Q228" s="53">
        <v>2296</v>
      </c>
      <c r="R228" s="53">
        <v>2498</v>
      </c>
    </row>
    <row r="229" spans="1:18" ht="120">
      <c r="A229" s="1">
        <v>4</v>
      </c>
      <c r="B229" s="70" t="s">
        <v>207</v>
      </c>
      <c r="C229" s="1" t="s">
        <v>205</v>
      </c>
      <c r="D229" s="49">
        <v>3</v>
      </c>
      <c r="E229" s="49">
        <v>3</v>
      </c>
      <c r="F229" s="49">
        <v>3</v>
      </c>
      <c r="G229" s="49">
        <v>3</v>
      </c>
      <c r="H229" s="49">
        <v>3</v>
      </c>
      <c r="I229" s="49">
        <v>3</v>
      </c>
      <c r="J229" s="53"/>
      <c r="K229" s="53"/>
      <c r="L229" s="53"/>
      <c r="M229" s="53"/>
      <c r="N229" s="62">
        <v>4163</v>
      </c>
      <c r="O229" s="53">
        <v>13561</v>
      </c>
      <c r="P229" s="53">
        <v>13303</v>
      </c>
      <c r="Q229" s="53">
        <v>14046</v>
      </c>
      <c r="R229" s="53">
        <v>14162.7</v>
      </c>
    </row>
    <row r="230" spans="1:18" ht="105">
      <c r="A230" s="1">
        <v>5</v>
      </c>
      <c r="B230" s="70" t="s">
        <v>271</v>
      </c>
      <c r="C230" s="1" t="s">
        <v>205</v>
      </c>
      <c r="D230" s="49">
        <v>0</v>
      </c>
      <c r="E230" s="49">
        <v>1</v>
      </c>
      <c r="F230" s="49">
        <v>1</v>
      </c>
      <c r="G230" s="49">
        <v>1</v>
      </c>
      <c r="H230" s="49">
        <v>1</v>
      </c>
      <c r="I230" s="49">
        <v>1</v>
      </c>
      <c r="J230" s="53"/>
      <c r="K230" s="53"/>
      <c r="L230" s="53"/>
      <c r="M230" s="53"/>
      <c r="N230" s="62">
        <v>0</v>
      </c>
      <c r="O230" s="53">
        <v>1532</v>
      </c>
      <c r="P230" s="53">
        <v>2943</v>
      </c>
      <c r="Q230" s="53">
        <v>2515.5</v>
      </c>
      <c r="R230" s="53">
        <v>2610</v>
      </c>
    </row>
    <row r="231" spans="1:18" ht="15">
      <c r="A231" s="3"/>
      <c r="B231" s="40" t="s">
        <v>0</v>
      </c>
      <c r="C231" s="26" t="s">
        <v>8</v>
      </c>
      <c r="D231" s="11" t="s">
        <v>8</v>
      </c>
      <c r="E231" s="11" t="s">
        <v>8</v>
      </c>
      <c r="F231" s="11" t="s">
        <v>8</v>
      </c>
      <c r="G231" s="11" t="s">
        <v>8</v>
      </c>
      <c r="H231" s="11" t="s">
        <v>8</v>
      </c>
      <c r="I231" s="11" t="s">
        <v>8</v>
      </c>
      <c r="J231" s="11" t="s">
        <v>8</v>
      </c>
      <c r="K231" s="11" t="s">
        <v>8</v>
      </c>
      <c r="L231" s="11" t="s">
        <v>8</v>
      </c>
      <c r="M231" s="11" t="s">
        <v>8</v>
      </c>
      <c r="N231" s="65">
        <f>SUM(N226:N230)</f>
        <v>27816.73</v>
      </c>
      <c r="O231" s="65">
        <f>SUM(O226:O230)</f>
        <v>27530</v>
      </c>
      <c r="P231" s="65">
        <f>SUM(P226:P230)</f>
        <v>28100</v>
      </c>
      <c r="Q231" s="65">
        <f>SUM(Q226:Q230)</f>
        <v>28464.5</v>
      </c>
      <c r="R231" s="65">
        <f>SUM(R226:R230)</f>
        <v>28835.7</v>
      </c>
    </row>
    <row r="232" spans="1:18" ht="15.75" thickBot="1">
      <c r="A232" s="138" t="s">
        <v>267</v>
      </c>
      <c r="B232" s="156"/>
      <c r="C232" s="156"/>
      <c r="D232" s="156"/>
      <c r="E232" s="156"/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</row>
    <row r="233" spans="1:18" ht="60">
      <c r="A233" s="60">
        <v>1</v>
      </c>
      <c r="B233" s="70" t="s">
        <v>254</v>
      </c>
      <c r="C233" s="1" t="s">
        <v>16</v>
      </c>
      <c r="D233" s="122">
        <v>257919</v>
      </c>
      <c r="E233" s="123">
        <v>260071</v>
      </c>
      <c r="F233" s="123">
        <v>257197</v>
      </c>
      <c r="G233" s="123">
        <v>257188</v>
      </c>
      <c r="H233" s="124">
        <v>257188</v>
      </c>
      <c r="I233" s="53"/>
      <c r="J233" s="53"/>
      <c r="K233" s="53"/>
      <c r="L233" s="53"/>
      <c r="M233" s="53"/>
      <c r="N233" s="134">
        <v>34453.79</v>
      </c>
      <c r="O233" s="123">
        <v>34714.28</v>
      </c>
      <c r="P233" s="123">
        <v>34329.45</v>
      </c>
      <c r="Q233" s="123">
        <v>34329.45</v>
      </c>
      <c r="R233" s="124">
        <v>34329.45</v>
      </c>
    </row>
    <row r="234" spans="1:18" ht="60">
      <c r="A234" s="60">
        <v>2</v>
      </c>
      <c r="B234" s="70" t="s">
        <v>255</v>
      </c>
      <c r="C234" s="1" t="s">
        <v>16</v>
      </c>
      <c r="D234" s="125">
        <v>383528</v>
      </c>
      <c r="E234" s="126">
        <v>380870</v>
      </c>
      <c r="F234" s="126">
        <v>405222</v>
      </c>
      <c r="G234" s="126">
        <v>400696</v>
      </c>
      <c r="H234" s="127">
        <v>400696</v>
      </c>
      <c r="I234" s="53"/>
      <c r="J234" s="53"/>
      <c r="K234" s="53"/>
      <c r="L234" s="53"/>
      <c r="M234" s="53"/>
      <c r="N234" s="135">
        <v>76044.976</v>
      </c>
      <c r="O234" s="126">
        <v>74823.55</v>
      </c>
      <c r="P234" s="126">
        <v>80083.03</v>
      </c>
      <c r="Q234" s="126">
        <v>80013.335</v>
      </c>
      <c r="R234" s="127">
        <v>80013.335</v>
      </c>
    </row>
    <row r="235" spans="1:18" ht="75">
      <c r="A235" s="60">
        <v>3</v>
      </c>
      <c r="B235" s="70" t="s">
        <v>256</v>
      </c>
      <c r="C235" s="1" t="s">
        <v>16</v>
      </c>
      <c r="D235" s="125">
        <v>720369</v>
      </c>
      <c r="E235" s="126">
        <v>702859</v>
      </c>
      <c r="F235" s="126">
        <v>690230</v>
      </c>
      <c r="G235" s="126">
        <v>680320</v>
      </c>
      <c r="H235" s="127">
        <v>680320</v>
      </c>
      <c r="I235" s="53"/>
      <c r="J235" s="53"/>
      <c r="K235" s="53"/>
      <c r="L235" s="53"/>
      <c r="M235" s="53"/>
      <c r="N235" s="135">
        <v>138202.282</v>
      </c>
      <c r="O235" s="126">
        <v>135776.3</v>
      </c>
      <c r="P235" s="126">
        <f>148157.64+245.58</f>
        <v>148403.22</v>
      </c>
      <c r="Q235" s="126">
        <v>141776.1</v>
      </c>
      <c r="R235" s="127">
        <v>141776.1</v>
      </c>
    </row>
    <row r="236" spans="1:18" ht="60">
      <c r="A236" s="60">
        <v>4</v>
      </c>
      <c r="B236" s="70" t="s">
        <v>352</v>
      </c>
      <c r="C236" s="1" t="s">
        <v>16</v>
      </c>
      <c r="D236" s="125">
        <v>1264469</v>
      </c>
      <c r="E236" s="126">
        <v>1633414</v>
      </c>
      <c r="F236" s="126">
        <v>1666452</v>
      </c>
      <c r="G236" s="126">
        <v>1666452</v>
      </c>
      <c r="H236" s="127">
        <v>1666452</v>
      </c>
      <c r="I236" s="53"/>
      <c r="J236" s="53"/>
      <c r="K236" s="53"/>
      <c r="L236" s="53"/>
      <c r="M236" s="53"/>
      <c r="N236" s="135">
        <v>26396.368</v>
      </c>
      <c r="O236" s="126">
        <v>40358.51</v>
      </c>
      <c r="P236" s="126">
        <v>41312.59</v>
      </c>
      <c r="Q236" s="126">
        <v>41312.59</v>
      </c>
      <c r="R236" s="127">
        <v>41312.59</v>
      </c>
    </row>
    <row r="237" spans="1:18" ht="60">
      <c r="A237" s="60">
        <v>5</v>
      </c>
      <c r="B237" s="70" t="s">
        <v>258</v>
      </c>
      <c r="C237" s="1" t="s">
        <v>16</v>
      </c>
      <c r="D237" s="125">
        <v>1621</v>
      </c>
      <c r="E237" s="126">
        <v>1553</v>
      </c>
      <c r="F237" s="126">
        <v>1553</v>
      </c>
      <c r="G237" s="126">
        <v>1553</v>
      </c>
      <c r="H237" s="127">
        <v>1553</v>
      </c>
      <c r="I237" s="53"/>
      <c r="J237" s="53"/>
      <c r="K237" s="53"/>
      <c r="L237" s="53"/>
      <c r="M237" s="53"/>
      <c r="N237" s="135">
        <v>19891.935</v>
      </c>
      <c r="O237" s="126">
        <v>14679.53</v>
      </c>
      <c r="P237" s="126">
        <v>19746.6</v>
      </c>
      <c r="Q237" s="126">
        <v>19114.04</v>
      </c>
      <c r="R237" s="127">
        <v>19114.04</v>
      </c>
    </row>
    <row r="238" spans="1:18" ht="30">
      <c r="A238" s="60">
        <v>6</v>
      </c>
      <c r="B238" s="70" t="s">
        <v>208</v>
      </c>
      <c r="C238" s="1" t="s">
        <v>209</v>
      </c>
      <c r="D238" s="125">
        <v>965421.3</v>
      </c>
      <c r="E238" s="126">
        <v>1090486</v>
      </c>
      <c r="F238" s="126">
        <f>962223+130</f>
        <v>962353</v>
      </c>
      <c r="G238" s="126">
        <v>962353</v>
      </c>
      <c r="H238" s="127">
        <v>962353</v>
      </c>
      <c r="I238" s="53"/>
      <c r="J238" s="53"/>
      <c r="K238" s="53"/>
      <c r="L238" s="53"/>
      <c r="M238" s="53"/>
      <c r="N238" s="135">
        <v>26624.093</v>
      </c>
      <c r="O238" s="126">
        <v>29748.14</v>
      </c>
      <c r="P238" s="126">
        <f>26133.98+134.08</f>
        <v>26268.06</v>
      </c>
      <c r="Q238" s="126">
        <v>26268.06</v>
      </c>
      <c r="R238" s="127">
        <v>26268.06</v>
      </c>
    </row>
    <row r="239" spans="1:18" ht="60">
      <c r="A239" s="60">
        <v>7</v>
      </c>
      <c r="B239" s="70" t="s">
        <v>259</v>
      </c>
      <c r="C239" s="1" t="s">
        <v>16</v>
      </c>
      <c r="D239" s="125">
        <v>19701</v>
      </c>
      <c r="E239" s="126">
        <f>20363+160</f>
        <v>20523</v>
      </c>
      <c r="F239" s="126">
        <f>21383+412</f>
        <v>21795</v>
      </c>
      <c r="G239" s="126">
        <v>21795</v>
      </c>
      <c r="H239" s="127">
        <v>21795</v>
      </c>
      <c r="I239" s="53"/>
      <c r="J239" s="53"/>
      <c r="K239" s="53"/>
      <c r="L239" s="53"/>
      <c r="M239" s="53"/>
      <c r="N239" s="135">
        <v>41869.359</v>
      </c>
      <c r="O239" s="126">
        <f>39027.9+6012.4</f>
        <v>45040.3</v>
      </c>
      <c r="P239" s="126">
        <f>40982.86+6495.39</f>
        <v>47478.25</v>
      </c>
      <c r="Q239" s="126">
        <v>47478.24</v>
      </c>
      <c r="R239" s="127">
        <v>47478.24</v>
      </c>
    </row>
    <row r="240" spans="1:18" ht="30">
      <c r="A240" s="60">
        <v>8</v>
      </c>
      <c r="B240" s="70" t="s">
        <v>210</v>
      </c>
      <c r="C240" s="1" t="s">
        <v>16</v>
      </c>
      <c r="D240" s="125">
        <v>2330865</v>
      </c>
      <c r="E240" s="126">
        <v>2006078</v>
      </c>
      <c r="F240" s="126">
        <v>1881445</v>
      </c>
      <c r="G240" s="126">
        <v>1881322</v>
      </c>
      <c r="H240" s="127">
        <v>1881322</v>
      </c>
      <c r="I240" s="53"/>
      <c r="J240" s="53"/>
      <c r="K240" s="53"/>
      <c r="L240" s="53"/>
      <c r="M240" s="53"/>
      <c r="N240" s="135">
        <v>54909.938</v>
      </c>
      <c r="O240" s="126">
        <v>47945.26</v>
      </c>
      <c r="P240" s="126">
        <v>44966.54</v>
      </c>
      <c r="Q240" s="126">
        <v>44963.6</v>
      </c>
      <c r="R240" s="127">
        <v>44963.6</v>
      </c>
    </row>
    <row r="241" spans="1:18" ht="90">
      <c r="A241" s="60">
        <v>9</v>
      </c>
      <c r="B241" s="70" t="s">
        <v>260</v>
      </c>
      <c r="C241" s="1" t="s">
        <v>16</v>
      </c>
      <c r="D241" s="125">
        <v>8780</v>
      </c>
      <c r="E241" s="126">
        <v>9800</v>
      </c>
      <c r="F241" s="126">
        <v>9643</v>
      </c>
      <c r="G241" s="126">
        <v>9643</v>
      </c>
      <c r="H241" s="127">
        <v>9643</v>
      </c>
      <c r="I241" s="53"/>
      <c r="J241" s="53"/>
      <c r="K241" s="53"/>
      <c r="L241" s="53"/>
      <c r="M241" s="53"/>
      <c r="N241" s="135">
        <v>46060.201</v>
      </c>
      <c r="O241" s="126">
        <v>53022.9</v>
      </c>
      <c r="P241" s="126">
        <v>52562.3</v>
      </c>
      <c r="Q241" s="126">
        <v>52562.31</v>
      </c>
      <c r="R241" s="127">
        <v>52562.31</v>
      </c>
    </row>
    <row r="242" spans="1:18" ht="75">
      <c r="A242" s="60">
        <v>10</v>
      </c>
      <c r="B242" s="70" t="s">
        <v>261</v>
      </c>
      <c r="C242" s="1" t="s">
        <v>16</v>
      </c>
      <c r="D242" s="125">
        <v>8252</v>
      </c>
      <c r="E242" s="126">
        <v>9122</v>
      </c>
      <c r="F242" s="126">
        <v>9115</v>
      </c>
      <c r="G242" s="126">
        <v>9230</v>
      </c>
      <c r="H242" s="127">
        <v>9230</v>
      </c>
      <c r="I242" s="53"/>
      <c r="J242" s="53"/>
      <c r="K242" s="53"/>
      <c r="L242" s="53"/>
      <c r="M242" s="53"/>
      <c r="N242" s="135">
        <v>3832.977</v>
      </c>
      <c r="O242" s="126">
        <v>4265.38</v>
      </c>
      <c r="P242" s="126">
        <v>4242.4</v>
      </c>
      <c r="Q242" s="126">
        <v>4271.41</v>
      </c>
      <c r="R242" s="127">
        <v>4271.41</v>
      </c>
    </row>
    <row r="243" spans="1:18" ht="30">
      <c r="A243" s="60">
        <v>11</v>
      </c>
      <c r="B243" s="70" t="s">
        <v>211</v>
      </c>
      <c r="C243" s="1" t="s">
        <v>16</v>
      </c>
      <c r="D243" s="125">
        <v>1</v>
      </c>
      <c r="E243" s="126">
        <v>3</v>
      </c>
      <c r="F243" s="126">
        <v>0</v>
      </c>
      <c r="G243" s="126">
        <v>0</v>
      </c>
      <c r="H243" s="127">
        <v>0</v>
      </c>
      <c r="I243" s="53"/>
      <c r="J243" s="53"/>
      <c r="K243" s="53"/>
      <c r="L243" s="53"/>
      <c r="M243" s="53"/>
      <c r="N243" s="135">
        <v>2506.366</v>
      </c>
      <c r="O243" s="126">
        <v>6075.65</v>
      </c>
      <c r="P243" s="126">
        <v>0</v>
      </c>
      <c r="Q243" s="126">
        <v>0</v>
      </c>
      <c r="R243" s="127">
        <v>0</v>
      </c>
    </row>
    <row r="244" spans="1:18" ht="75">
      <c r="A244" s="60">
        <v>12</v>
      </c>
      <c r="B244" s="100" t="s">
        <v>212</v>
      </c>
      <c r="C244" s="1" t="s">
        <v>16</v>
      </c>
      <c r="D244" s="125">
        <v>3000</v>
      </c>
      <c r="E244" s="126">
        <v>2000</v>
      </c>
      <c r="F244" s="126">
        <v>2000</v>
      </c>
      <c r="G244" s="126">
        <v>2000</v>
      </c>
      <c r="H244" s="127">
        <v>2000</v>
      </c>
      <c r="I244" s="53"/>
      <c r="J244" s="53"/>
      <c r="K244" s="53"/>
      <c r="L244" s="53"/>
      <c r="M244" s="53"/>
      <c r="N244" s="135">
        <v>4495.668</v>
      </c>
      <c r="O244" s="126">
        <v>3500</v>
      </c>
      <c r="P244" s="126">
        <v>3500</v>
      </c>
      <c r="Q244" s="126">
        <v>3500</v>
      </c>
      <c r="R244" s="127">
        <v>3500</v>
      </c>
    </row>
    <row r="245" spans="1:18" ht="30">
      <c r="A245" s="60">
        <v>13</v>
      </c>
      <c r="B245" s="70" t="s">
        <v>353</v>
      </c>
      <c r="C245" s="1" t="s">
        <v>16</v>
      </c>
      <c r="D245" s="125">
        <v>0</v>
      </c>
      <c r="E245" s="126">
        <v>108</v>
      </c>
      <c r="F245" s="126">
        <v>108</v>
      </c>
      <c r="G245" s="126">
        <v>108</v>
      </c>
      <c r="H245" s="126">
        <v>108</v>
      </c>
      <c r="I245" s="53"/>
      <c r="J245" s="53"/>
      <c r="K245" s="53"/>
      <c r="L245" s="53"/>
      <c r="M245" s="53"/>
      <c r="N245" s="135">
        <v>0</v>
      </c>
      <c r="O245" s="120">
        <v>91.25</v>
      </c>
      <c r="P245" s="120">
        <v>91.25</v>
      </c>
      <c r="Q245" s="120">
        <v>91.25</v>
      </c>
      <c r="R245" s="136">
        <v>91.25</v>
      </c>
    </row>
    <row r="246" spans="1:18" ht="30">
      <c r="A246" s="60">
        <v>14</v>
      </c>
      <c r="B246" s="70" t="s">
        <v>354</v>
      </c>
      <c r="C246" s="1" t="s">
        <v>16</v>
      </c>
      <c r="D246" s="125">
        <v>0</v>
      </c>
      <c r="E246" s="126">
        <v>108</v>
      </c>
      <c r="F246" s="126">
        <v>108</v>
      </c>
      <c r="G246" s="126">
        <v>108</v>
      </c>
      <c r="H246" s="126">
        <v>108</v>
      </c>
      <c r="I246" s="53"/>
      <c r="J246" s="53"/>
      <c r="K246" s="53"/>
      <c r="L246" s="53"/>
      <c r="M246" s="53"/>
      <c r="N246" s="135">
        <v>0</v>
      </c>
      <c r="O246" s="120">
        <v>440.75</v>
      </c>
      <c r="P246" s="120">
        <v>440.75</v>
      </c>
      <c r="Q246" s="120">
        <v>440.75</v>
      </c>
      <c r="R246" s="136">
        <v>440.75</v>
      </c>
    </row>
    <row r="247" spans="1:18" ht="45.75" thickBot="1">
      <c r="A247" s="60">
        <v>15</v>
      </c>
      <c r="B247" s="70" t="s">
        <v>213</v>
      </c>
      <c r="C247" s="1"/>
      <c r="D247" s="128" t="s">
        <v>8</v>
      </c>
      <c r="E247" s="129" t="s">
        <v>8</v>
      </c>
      <c r="F247" s="129" t="s">
        <v>8</v>
      </c>
      <c r="G247" s="129" t="s">
        <v>8</v>
      </c>
      <c r="H247" s="130" t="s">
        <v>8</v>
      </c>
      <c r="I247" s="53"/>
      <c r="J247" s="53"/>
      <c r="K247" s="53"/>
      <c r="L247" s="53"/>
      <c r="M247" s="53"/>
      <c r="N247" s="137">
        <v>4335.047</v>
      </c>
      <c r="O247" s="129">
        <v>5616</v>
      </c>
      <c r="P247" s="129">
        <v>7045.56</v>
      </c>
      <c r="Q247" s="129">
        <v>7045.566</v>
      </c>
      <c r="R247" s="130">
        <v>7045.566</v>
      </c>
    </row>
    <row r="248" spans="1:18" ht="15">
      <c r="A248" s="1"/>
      <c r="B248" s="102" t="s">
        <v>0</v>
      </c>
      <c r="C248" s="103"/>
      <c r="D248" s="131" t="s">
        <v>8</v>
      </c>
      <c r="E248" s="131" t="s">
        <v>8</v>
      </c>
      <c r="F248" s="131" t="s">
        <v>8</v>
      </c>
      <c r="G248" s="132" t="s">
        <v>8</v>
      </c>
      <c r="H248" s="133" t="s">
        <v>8</v>
      </c>
      <c r="I248" s="104"/>
      <c r="J248" s="104"/>
      <c r="K248" s="104"/>
      <c r="L248" s="104"/>
      <c r="M248" s="104"/>
      <c r="N248" s="105">
        <f>SUM(N233:N247)</f>
        <v>479623.00000000006</v>
      </c>
      <c r="O248" s="105">
        <f>SUM(O233:O247)</f>
        <v>496097.8000000001</v>
      </c>
      <c r="P248" s="105">
        <f>SUM(P233:P247)</f>
        <v>510470</v>
      </c>
      <c r="Q248" s="105">
        <f>SUM(Q233:Q247)</f>
        <v>503166.7009999999</v>
      </c>
      <c r="R248" s="105">
        <f>SUM(R233:R247)</f>
        <v>503166.7009999999</v>
      </c>
    </row>
    <row r="249" spans="1:18" ht="15">
      <c r="A249" s="162" t="s">
        <v>238</v>
      </c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7"/>
    </row>
    <row r="250" spans="1:18" ht="75">
      <c r="A250" s="3"/>
      <c r="B250" s="70" t="s">
        <v>355</v>
      </c>
      <c r="C250" s="3"/>
      <c r="D250" s="49"/>
      <c r="E250" s="49"/>
      <c r="F250" s="49"/>
      <c r="G250" s="49"/>
      <c r="H250" s="49"/>
      <c r="I250" s="53"/>
      <c r="J250" s="53"/>
      <c r="K250" s="49"/>
      <c r="L250" s="49"/>
      <c r="M250" s="49"/>
      <c r="N250" s="53">
        <v>51760.39</v>
      </c>
      <c r="O250" s="53">
        <v>46284</v>
      </c>
      <c r="P250" s="53">
        <v>48157.5</v>
      </c>
      <c r="Q250" s="53">
        <v>48157.5</v>
      </c>
      <c r="R250" s="53">
        <v>48157.5</v>
      </c>
    </row>
    <row r="251" spans="1:18" ht="15">
      <c r="A251" s="1">
        <v>1</v>
      </c>
      <c r="B251" s="106" t="s">
        <v>356</v>
      </c>
      <c r="C251" s="1" t="s">
        <v>57</v>
      </c>
      <c r="D251" s="101">
        <v>33235</v>
      </c>
      <c r="E251" s="101">
        <v>30000</v>
      </c>
      <c r="F251" s="101">
        <v>30000</v>
      </c>
      <c r="G251" s="101">
        <v>30000</v>
      </c>
      <c r="H251" s="101">
        <v>30000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5">
      <c r="A252" s="1">
        <v>2</v>
      </c>
      <c r="B252" s="106" t="s">
        <v>357</v>
      </c>
      <c r="C252" s="1" t="s">
        <v>57</v>
      </c>
      <c r="D252" s="101">
        <v>8</v>
      </c>
      <c r="E252" s="101">
        <v>8</v>
      </c>
      <c r="F252" s="101">
        <v>8</v>
      </c>
      <c r="G252" s="101">
        <v>8</v>
      </c>
      <c r="H252" s="101">
        <v>8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5">
      <c r="A253" s="1">
        <v>3</v>
      </c>
      <c r="B253" s="106" t="s">
        <v>358</v>
      </c>
      <c r="C253" s="1" t="s">
        <v>57</v>
      </c>
      <c r="D253" s="101">
        <v>5</v>
      </c>
      <c r="E253" s="101">
        <v>5</v>
      </c>
      <c r="F253" s="101">
        <v>5</v>
      </c>
      <c r="G253" s="101">
        <v>5</v>
      </c>
      <c r="H253" s="101">
        <v>5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30">
      <c r="A254" s="1">
        <v>4</v>
      </c>
      <c r="B254" s="106" t="s">
        <v>359</v>
      </c>
      <c r="C254" s="1" t="s">
        <v>57</v>
      </c>
      <c r="D254" s="101" t="s">
        <v>360</v>
      </c>
      <c r="E254" s="101">
        <v>500</v>
      </c>
      <c r="F254" s="101">
        <v>500</v>
      </c>
      <c r="G254" s="101">
        <v>500</v>
      </c>
      <c r="H254" s="101">
        <v>500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5">
      <c r="A255" s="3"/>
      <c r="B255" s="40" t="s">
        <v>0</v>
      </c>
      <c r="C255" s="3"/>
      <c r="D255" s="18" t="s">
        <v>8</v>
      </c>
      <c r="E255" s="18" t="s">
        <v>8</v>
      </c>
      <c r="F255" s="18" t="s">
        <v>8</v>
      </c>
      <c r="G255" s="18" t="s">
        <v>8</v>
      </c>
      <c r="H255" s="18" t="s">
        <v>8</v>
      </c>
      <c r="I255" s="18" t="s">
        <v>8</v>
      </c>
      <c r="J255" s="18" t="s">
        <v>8</v>
      </c>
      <c r="K255" s="18" t="s">
        <v>8</v>
      </c>
      <c r="L255" s="18" t="s">
        <v>8</v>
      </c>
      <c r="M255" s="18" t="s">
        <v>8</v>
      </c>
      <c r="N255" s="65">
        <f>SUM(N250:N254)</f>
        <v>51760.39</v>
      </c>
      <c r="O255" s="65">
        <f>SUM(O250:O254)</f>
        <v>46284</v>
      </c>
      <c r="P255" s="65">
        <f>SUM(P250:P254)</f>
        <v>48157.5</v>
      </c>
      <c r="Q255" s="65">
        <f>SUM(Q250:Q254)</f>
        <v>48157.5</v>
      </c>
      <c r="R255" s="65">
        <f>SUM(R250:R254)</f>
        <v>48157.5</v>
      </c>
    </row>
    <row r="256" spans="1:18" ht="19.5" customHeight="1">
      <c r="A256" s="155" t="s">
        <v>335</v>
      </c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</row>
    <row r="257" spans="1:18" ht="45">
      <c r="A257" s="12">
        <v>1</v>
      </c>
      <c r="B257" s="75" t="s">
        <v>387</v>
      </c>
      <c r="C257" s="22" t="s">
        <v>388</v>
      </c>
      <c r="D257" s="22" t="s">
        <v>8</v>
      </c>
      <c r="E257" s="107">
        <v>247200</v>
      </c>
      <c r="F257" s="107">
        <v>343250</v>
      </c>
      <c r="G257" s="107">
        <v>343250</v>
      </c>
      <c r="H257" s="107">
        <v>343250</v>
      </c>
      <c r="I257" s="22"/>
      <c r="J257" s="22"/>
      <c r="K257" s="22"/>
      <c r="L257" s="22"/>
      <c r="M257" s="22"/>
      <c r="N257" s="22" t="s">
        <v>8</v>
      </c>
      <c r="O257" s="107">
        <v>316459.58</v>
      </c>
      <c r="P257" s="107">
        <v>402927.62</v>
      </c>
      <c r="Q257" s="107">
        <v>414039.21</v>
      </c>
      <c r="R257" s="107">
        <v>425552.51</v>
      </c>
    </row>
    <row r="258" spans="1:18" ht="45">
      <c r="A258" s="12">
        <v>2</v>
      </c>
      <c r="B258" s="75" t="s">
        <v>389</v>
      </c>
      <c r="C258" s="22" t="s">
        <v>388</v>
      </c>
      <c r="D258" s="22" t="s">
        <v>8</v>
      </c>
      <c r="E258" s="107">
        <v>53000</v>
      </c>
      <c r="F258" s="107">
        <v>71000</v>
      </c>
      <c r="G258" s="107">
        <v>71000</v>
      </c>
      <c r="H258" s="107">
        <v>71000</v>
      </c>
      <c r="I258" s="22"/>
      <c r="J258" s="22"/>
      <c r="K258" s="22"/>
      <c r="L258" s="22"/>
      <c r="M258" s="22"/>
      <c r="N258" s="22" t="s">
        <v>8</v>
      </c>
      <c r="O258" s="107">
        <v>67860.27</v>
      </c>
      <c r="P258" s="107">
        <v>86705.94</v>
      </c>
      <c r="Q258" s="107">
        <v>89097.04</v>
      </c>
      <c r="R258" s="107">
        <v>91574.59</v>
      </c>
    </row>
    <row r="259" spans="1:18" ht="45">
      <c r="A259" s="12">
        <v>3</v>
      </c>
      <c r="B259" s="75" t="s">
        <v>390</v>
      </c>
      <c r="C259" s="22" t="s">
        <v>388</v>
      </c>
      <c r="D259" s="22" t="s">
        <v>8</v>
      </c>
      <c r="E259" s="107">
        <v>11000</v>
      </c>
      <c r="F259" s="107">
        <v>15000</v>
      </c>
      <c r="G259" s="107">
        <v>15000</v>
      </c>
      <c r="H259" s="107">
        <v>15000</v>
      </c>
      <c r="I259" s="22"/>
      <c r="J259" s="22"/>
      <c r="K259" s="22"/>
      <c r="L259" s="22"/>
      <c r="M259" s="22"/>
      <c r="N259" s="22" t="s">
        <v>8</v>
      </c>
      <c r="O259" s="107">
        <v>14072.6</v>
      </c>
      <c r="P259" s="107">
        <v>20401.4</v>
      </c>
      <c r="Q259" s="107">
        <v>20964.01</v>
      </c>
      <c r="R259" s="107">
        <v>21546.96</v>
      </c>
    </row>
    <row r="260" spans="1:18" ht="60">
      <c r="A260" s="12">
        <v>4</v>
      </c>
      <c r="B260" s="75" t="s">
        <v>391</v>
      </c>
      <c r="C260" s="22" t="s">
        <v>392</v>
      </c>
      <c r="D260" s="22" t="s">
        <v>8</v>
      </c>
      <c r="E260" s="108">
        <v>1</v>
      </c>
      <c r="F260" s="108">
        <v>1</v>
      </c>
      <c r="G260" s="108">
        <v>1</v>
      </c>
      <c r="H260" s="108">
        <v>1</v>
      </c>
      <c r="I260" s="22"/>
      <c r="J260" s="22"/>
      <c r="K260" s="22"/>
      <c r="L260" s="22"/>
      <c r="M260" s="22"/>
      <c r="N260" s="22" t="s">
        <v>8</v>
      </c>
      <c r="O260" s="109">
        <v>735.82</v>
      </c>
      <c r="P260" s="107">
        <v>252.05</v>
      </c>
      <c r="Q260" s="110">
        <v>0</v>
      </c>
      <c r="R260" s="110">
        <v>0</v>
      </c>
    </row>
    <row r="261" spans="1:18" ht="30.75" customHeight="1">
      <c r="A261" s="12">
        <v>5</v>
      </c>
      <c r="B261" s="75" t="s">
        <v>393</v>
      </c>
      <c r="C261" s="22" t="s">
        <v>392</v>
      </c>
      <c r="D261" s="22" t="s">
        <v>8</v>
      </c>
      <c r="E261" s="108">
        <v>1</v>
      </c>
      <c r="F261" s="108">
        <v>1</v>
      </c>
      <c r="G261" s="108">
        <v>1</v>
      </c>
      <c r="H261" s="108">
        <v>1</v>
      </c>
      <c r="I261" s="22"/>
      <c r="J261" s="22"/>
      <c r="K261" s="22"/>
      <c r="L261" s="22"/>
      <c r="M261" s="22"/>
      <c r="N261" s="22" t="s">
        <v>8</v>
      </c>
      <c r="O261" s="107">
        <v>1544.8</v>
      </c>
      <c r="P261" s="107">
        <v>2500</v>
      </c>
      <c r="Q261" s="110">
        <v>0</v>
      </c>
      <c r="R261" s="110">
        <v>0</v>
      </c>
    </row>
    <row r="262" spans="1:18" ht="15">
      <c r="A262" s="12"/>
      <c r="B262" s="94" t="s">
        <v>0</v>
      </c>
      <c r="C262" s="90"/>
      <c r="D262" s="90" t="s">
        <v>8</v>
      </c>
      <c r="E262" s="90" t="s">
        <v>8</v>
      </c>
      <c r="F262" s="90" t="s">
        <v>8</v>
      </c>
      <c r="G262" s="90" t="s">
        <v>8</v>
      </c>
      <c r="H262" s="90" t="s">
        <v>8</v>
      </c>
      <c r="I262" s="90" t="s">
        <v>8</v>
      </c>
      <c r="J262" s="90" t="s">
        <v>8</v>
      </c>
      <c r="K262" s="90" t="s">
        <v>8</v>
      </c>
      <c r="L262" s="90" t="s">
        <v>8</v>
      </c>
      <c r="M262" s="90" t="s">
        <v>8</v>
      </c>
      <c r="N262" s="90">
        <f>SUM(N257:N261)</f>
        <v>0</v>
      </c>
      <c r="O262" s="90">
        <f>SUM(O257:O261)</f>
        <v>400673.07</v>
      </c>
      <c r="P262" s="90">
        <f>SUM(P257:P261)</f>
        <v>512787.01</v>
      </c>
      <c r="Q262" s="90">
        <f>SUM(Q257:Q261)</f>
        <v>524100.26</v>
      </c>
      <c r="R262" s="90">
        <f>SUM(R257:R261)</f>
        <v>538674.0599999999</v>
      </c>
    </row>
    <row r="263" spans="1:18" ht="19.5" customHeight="1">
      <c r="A263" s="155" t="s">
        <v>336</v>
      </c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</row>
    <row r="264" spans="1:18" ht="30">
      <c r="A264" s="12">
        <v>1</v>
      </c>
      <c r="B264" s="41" t="s">
        <v>322</v>
      </c>
      <c r="C264" s="12" t="s">
        <v>99</v>
      </c>
      <c r="D264" s="56"/>
      <c r="E264" s="111">
        <v>1061160</v>
      </c>
      <c r="F264" s="111">
        <v>1145736</v>
      </c>
      <c r="G264" s="111">
        <v>1018713.6</v>
      </c>
      <c r="H264" s="111">
        <v>1018713.6</v>
      </c>
      <c r="I264" s="56"/>
      <c r="J264" s="56"/>
      <c r="K264" s="56"/>
      <c r="L264" s="56"/>
      <c r="M264" s="56"/>
      <c r="N264" s="56"/>
      <c r="O264" s="56">
        <v>261302.710923473</v>
      </c>
      <c r="P264" s="56">
        <v>259662.209914112</v>
      </c>
      <c r="Q264" s="56">
        <v>271288.425166883</v>
      </c>
      <c r="R264" s="56">
        <v>271288.425166883</v>
      </c>
    </row>
    <row r="265" spans="1:18" ht="30">
      <c r="A265" s="12">
        <v>2</v>
      </c>
      <c r="B265" s="41" t="s">
        <v>323</v>
      </c>
      <c r="C265" s="12" t="s">
        <v>99</v>
      </c>
      <c r="D265" s="56"/>
      <c r="E265" s="111">
        <v>66140</v>
      </c>
      <c r="F265" s="111">
        <v>71968</v>
      </c>
      <c r="G265" s="111">
        <v>63494.4</v>
      </c>
      <c r="H265" s="111">
        <v>63494.4</v>
      </c>
      <c r="I265" s="56"/>
      <c r="J265" s="56"/>
      <c r="K265" s="56"/>
      <c r="L265" s="56"/>
      <c r="M265" s="56"/>
      <c r="N265" s="56"/>
      <c r="O265" s="56">
        <v>17533.0405409914</v>
      </c>
      <c r="P265" s="56">
        <v>17563.1835633155</v>
      </c>
      <c r="Q265" s="56">
        <v>16908.869954142298</v>
      </c>
      <c r="R265" s="56">
        <v>16908.869954142298</v>
      </c>
    </row>
    <row r="266" spans="1:18" ht="30">
      <c r="A266" s="12">
        <v>3</v>
      </c>
      <c r="B266" s="41" t="s">
        <v>324</v>
      </c>
      <c r="C266" s="12" t="s">
        <v>99</v>
      </c>
      <c r="D266" s="56"/>
      <c r="E266" s="111">
        <v>268483</v>
      </c>
      <c r="F266" s="111">
        <v>348483</v>
      </c>
      <c r="G266" s="111">
        <v>257743.68</v>
      </c>
      <c r="H266" s="111">
        <v>257743.68</v>
      </c>
      <c r="I266" s="56"/>
      <c r="J266" s="56"/>
      <c r="K266" s="56"/>
      <c r="L266" s="56"/>
      <c r="M266" s="56"/>
      <c r="N266" s="56"/>
      <c r="O266" s="56">
        <v>71172.10951870281</v>
      </c>
      <c r="P266" s="56">
        <v>85044.3377291971</v>
      </c>
      <c r="Q266" s="56">
        <v>68638.4053809796</v>
      </c>
      <c r="R266" s="56">
        <v>68638.4053809796</v>
      </c>
    </row>
    <row r="267" spans="1:18" ht="30">
      <c r="A267" s="12">
        <v>4</v>
      </c>
      <c r="B267" s="41" t="s">
        <v>325</v>
      </c>
      <c r="C267" s="12" t="s">
        <v>331</v>
      </c>
      <c r="D267" s="56"/>
      <c r="E267" s="111">
        <v>309</v>
      </c>
      <c r="F267" s="111">
        <v>319</v>
      </c>
      <c r="G267" s="111">
        <v>296.64</v>
      </c>
      <c r="H267" s="111">
        <v>296.64</v>
      </c>
      <c r="I267" s="56"/>
      <c r="J267" s="56"/>
      <c r="K267" s="56"/>
      <c r="L267" s="56"/>
      <c r="M267" s="56"/>
      <c r="N267" s="56"/>
      <c r="O267" s="56">
        <v>20081.912753661403</v>
      </c>
      <c r="P267" s="56">
        <v>20077.8492601809</v>
      </c>
      <c r="Q267" s="56">
        <v>78.9966860573023</v>
      </c>
      <c r="R267" s="56">
        <v>78.9966860573023</v>
      </c>
    </row>
    <row r="268" spans="1:18" ht="48.75" customHeight="1">
      <c r="A268" s="12">
        <v>5</v>
      </c>
      <c r="B268" s="41" t="s">
        <v>326</v>
      </c>
      <c r="C268" s="12" t="s">
        <v>332</v>
      </c>
      <c r="D268" s="56"/>
      <c r="E268" s="111">
        <v>522016</v>
      </c>
      <c r="F268" s="111">
        <v>524816</v>
      </c>
      <c r="G268" s="111">
        <v>501135.36</v>
      </c>
      <c r="H268" s="111">
        <v>501135.36</v>
      </c>
      <c r="I268" s="56"/>
      <c r="J268" s="56"/>
      <c r="K268" s="56"/>
      <c r="L268" s="56"/>
      <c r="M268" s="56"/>
      <c r="N268" s="56"/>
      <c r="O268" s="56">
        <v>138381.126263172</v>
      </c>
      <c r="P268" s="56">
        <v>128076.919533195</v>
      </c>
      <c r="Q268" s="56">
        <v>133454.802811938</v>
      </c>
      <c r="R268" s="56">
        <v>133454.802811938</v>
      </c>
    </row>
    <row r="269" spans="1:18" ht="15">
      <c r="A269" s="12"/>
      <c r="B269" s="94" t="s">
        <v>0</v>
      </c>
      <c r="C269" s="90"/>
      <c r="D269" s="90" t="s">
        <v>8</v>
      </c>
      <c r="E269" s="90" t="s">
        <v>8</v>
      </c>
      <c r="F269" s="90" t="s">
        <v>8</v>
      </c>
      <c r="G269" s="90" t="s">
        <v>8</v>
      </c>
      <c r="H269" s="90" t="s">
        <v>8</v>
      </c>
      <c r="I269" s="90" t="s">
        <v>8</v>
      </c>
      <c r="J269" s="90" t="s">
        <v>8</v>
      </c>
      <c r="K269" s="90" t="s">
        <v>8</v>
      </c>
      <c r="L269" s="90" t="s">
        <v>8</v>
      </c>
      <c r="M269" s="90" t="s">
        <v>8</v>
      </c>
      <c r="N269" s="90">
        <f>SUM(N264:N268)</f>
        <v>0</v>
      </c>
      <c r="O269" s="90">
        <f>SUM(O264:O268)</f>
        <v>508470.9000000006</v>
      </c>
      <c r="P269" s="90">
        <f>SUM(P264:P268)</f>
        <v>510424.50000000047</v>
      </c>
      <c r="Q269" s="90">
        <f>SUM(Q264:Q268)</f>
        <v>490369.5000000002</v>
      </c>
      <c r="R269" s="90">
        <f>SUM(R264:R268)</f>
        <v>490369.5000000002</v>
      </c>
    </row>
    <row r="270" spans="1:18" ht="19.5" customHeight="1">
      <c r="A270" s="155" t="s">
        <v>337</v>
      </c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</row>
    <row r="271" spans="1:18" ht="105">
      <c r="A271" s="12">
        <v>1</v>
      </c>
      <c r="B271" s="41" t="s">
        <v>308</v>
      </c>
      <c r="C271" s="12" t="s">
        <v>99</v>
      </c>
      <c r="D271" s="112" t="s">
        <v>8</v>
      </c>
      <c r="E271" s="1">
        <v>155</v>
      </c>
      <c r="F271" s="1">
        <v>150</v>
      </c>
      <c r="G271" s="1">
        <v>150</v>
      </c>
      <c r="H271" s="1">
        <v>150</v>
      </c>
      <c r="I271" s="113"/>
      <c r="J271" s="113"/>
      <c r="K271" s="113"/>
      <c r="L271" s="113"/>
      <c r="M271" s="113"/>
      <c r="N271" s="101"/>
      <c r="O271" s="101">
        <v>36878.30095</v>
      </c>
      <c r="P271" s="101">
        <v>36878.30095</v>
      </c>
      <c r="Q271" s="101">
        <v>36878.30095</v>
      </c>
      <c r="R271" s="101">
        <v>36878.30095</v>
      </c>
    </row>
    <row r="272" spans="1:18" ht="105">
      <c r="A272" s="12">
        <v>2</v>
      </c>
      <c r="B272" s="41" t="s">
        <v>309</v>
      </c>
      <c r="C272" s="12" t="s">
        <v>99</v>
      </c>
      <c r="D272" s="101" t="s">
        <v>8</v>
      </c>
      <c r="E272" s="1">
        <v>59</v>
      </c>
      <c r="F272" s="1">
        <v>62</v>
      </c>
      <c r="G272" s="1">
        <v>62</v>
      </c>
      <c r="H272" s="1">
        <v>62</v>
      </c>
      <c r="I272" s="113"/>
      <c r="J272" s="113"/>
      <c r="K272" s="113"/>
      <c r="L272" s="113"/>
      <c r="M272" s="113"/>
      <c r="N272" s="101"/>
      <c r="O272" s="101">
        <v>8969.61492</v>
      </c>
      <c r="P272" s="101">
        <v>8827.24008</v>
      </c>
      <c r="Q272" s="101">
        <v>8827.24008</v>
      </c>
      <c r="R272" s="101">
        <v>8827.24008</v>
      </c>
    </row>
    <row r="273" spans="1:18" ht="105">
      <c r="A273" s="12">
        <v>3</v>
      </c>
      <c r="B273" s="41" t="s">
        <v>310</v>
      </c>
      <c r="C273" s="12" t="s">
        <v>99</v>
      </c>
      <c r="D273" s="101" t="s">
        <v>8</v>
      </c>
      <c r="E273" s="1">
        <v>84</v>
      </c>
      <c r="F273" s="1">
        <v>86</v>
      </c>
      <c r="G273" s="1">
        <v>87</v>
      </c>
      <c r="H273" s="1">
        <v>87</v>
      </c>
      <c r="I273" s="113"/>
      <c r="J273" s="113"/>
      <c r="K273" s="113"/>
      <c r="L273" s="113"/>
      <c r="M273" s="113"/>
      <c r="N273" s="101"/>
      <c r="O273" s="101">
        <v>9079.323849999999</v>
      </c>
      <c r="P273" s="101">
        <v>8314.74921</v>
      </c>
      <c r="Q273" s="101">
        <v>8314.74921</v>
      </c>
      <c r="R273" s="101">
        <v>8314.74921</v>
      </c>
    </row>
    <row r="274" spans="1:18" ht="90">
      <c r="A274" s="12">
        <v>4</v>
      </c>
      <c r="B274" s="41" t="s">
        <v>311</v>
      </c>
      <c r="C274" s="12" t="s">
        <v>99</v>
      </c>
      <c r="D274" s="101" t="s">
        <v>8</v>
      </c>
      <c r="E274" s="1">
        <v>38</v>
      </c>
      <c r="F274" s="1">
        <v>35</v>
      </c>
      <c r="G274" s="1">
        <v>35</v>
      </c>
      <c r="H274" s="1">
        <v>35</v>
      </c>
      <c r="I274" s="113"/>
      <c r="J274" s="113"/>
      <c r="K274" s="113"/>
      <c r="L274" s="113"/>
      <c r="M274" s="113"/>
      <c r="N274" s="101"/>
      <c r="O274" s="101">
        <v>14896.56267</v>
      </c>
      <c r="P274" s="101">
        <v>15799.38465</v>
      </c>
      <c r="Q274" s="101">
        <v>15799.38465</v>
      </c>
      <c r="R274" s="101">
        <v>15799.38465</v>
      </c>
    </row>
    <row r="275" spans="1:18" ht="105">
      <c r="A275" s="12">
        <v>5</v>
      </c>
      <c r="B275" s="41" t="s">
        <v>103</v>
      </c>
      <c r="C275" s="12" t="s">
        <v>99</v>
      </c>
      <c r="D275" s="101" t="s">
        <v>8</v>
      </c>
      <c r="E275" s="1">
        <v>36</v>
      </c>
      <c r="F275" s="1">
        <v>36</v>
      </c>
      <c r="G275" s="1">
        <v>36</v>
      </c>
      <c r="H275" s="1">
        <v>36</v>
      </c>
      <c r="I275" s="113"/>
      <c r="J275" s="113"/>
      <c r="K275" s="113"/>
      <c r="L275" s="113"/>
      <c r="M275" s="113"/>
      <c r="N275" s="101"/>
      <c r="O275" s="101">
        <v>19277.30673</v>
      </c>
      <c r="P275" s="101">
        <v>21029.789160000004</v>
      </c>
      <c r="Q275" s="101">
        <v>21029.789160000004</v>
      </c>
      <c r="R275" s="101">
        <v>21029.789160000004</v>
      </c>
    </row>
    <row r="276" spans="1:18" ht="105">
      <c r="A276" s="12">
        <v>6</v>
      </c>
      <c r="B276" s="41" t="s">
        <v>312</v>
      </c>
      <c r="C276" s="12" t="s">
        <v>99</v>
      </c>
      <c r="D276" s="101" t="s">
        <v>8</v>
      </c>
      <c r="E276" s="1">
        <v>70</v>
      </c>
      <c r="F276" s="1">
        <v>68</v>
      </c>
      <c r="G276" s="1">
        <v>68</v>
      </c>
      <c r="H276" s="1">
        <v>68</v>
      </c>
      <c r="I276" s="113"/>
      <c r="J276" s="113"/>
      <c r="K276" s="113"/>
      <c r="L276" s="113"/>
      <c r="M276" s="113"/>
      <c r="N276" s="101"/>
      <c r="O276" s="101">
        <v>23790.04108</v>
      </c>
      <c r="P276" s="101">
        <v>23790.04108</v>
      </c>
      <c r="Q276" s="101">
        <v>23790.04108</v>
      </c>
      <c r="R276" s="101">
        <v>23790.04108</v>
      </c>
    </row>
    <row r="277" spans="1:18" ht="90">
      <c r="A277" s="12">
        <v>7</v>
      </c>
      <c r="B277" s="41" t="s">
        <v>313</v>
      </c>
      <c r="C277" s="12" t="s">
        <v>99</v>
      </c>
      <c r="D277" s="101" t="s">
        <v>8</v>
      </c>
      <c r="E277" s="1">
        <v>48</v>
      </c>
      <c r="F277" s="1">
        <v>48</v>
      </c>
      <c r="G277" s="1">
        <v>48</v>
      </c>
      <c r="H277" s="1">
        <v>48</v>
      </c>
      <c r="I277" s="113"/>
      <c r="J277" s="113"/>
      <c r="K277" s="113"/>
      <c r="L277" s="113"/>
      <c r="M277" s="113"/>
      <c r="N277" s="101"/>
      <c r="O277" s="101">
        <v>4967.75</v>
      </c>
      <c r="P277" s="101">
        <v>5963.57</v>
      </c>
      <c r="Q277" s="101">
        <v>5963.57</v>
      </c>
      <c r="R277" s="101">
        <v>5963.57</v>
      </c>
    </row>
    <row r="278" spans="1:18" ht="45">
      <c r="A278" s="12">
        <v>8</v>
      </c>
      <c r="B278" s="41" t="s">
        <v>314</v>
      </c>
      <c r="C278" s="12" t="s">
        <v>369</v>
      </c>
      <c r="D278" s="101" t="s">
        <v>8</v>
      </c>
      <c r="E278" s="1" t="s">
        <v>370</v>
      </c>
      <c r="F278" s="1" t="s">
        <v>370</v>
      </c>
      <c r="G278" s="1" t="s">
        <v>370</v>
      </c>
      <c r="H278" s="1" t="s">
        <v>370</v>
      </c>
      <c r="I278" s="113"/>
      <c r="J278" s="113"/>
      <c r="K278" s="113"/>
      <c r="L278" s="113"/>
      <c r="M278" s="113"/>
      <c r="N278" s="101"/>
      <c r="O278" s="101">
        <v>125.06199999999998</v>
      </c>
      <c r="P278" s="101">
        <v>129.242</v>
      </c>
      <c r="Q278" s="101">
        <v>129.242</v>
      </c>
      <c r="R278" s="101">
        <v>129.242</v>
      </c>
    </row>
    <row r="279" spans="1:18" ht="45">
      <c r="A279" s="12">
        <v>9</v>
      </c>
      <c r="B279" s="92" t="s">
        <v>371</v>
      </c>
      <c r="C279" s="79" t="s">
        <v>99</v>
      </c>
      <c r="D279" s="101" t="s">
        <v>8</v>
      </c>
      <c r="E279" s="114">
        <v>147254</v>
      </c>
      <c r="F279" s="114">
        <v>156042</v>
      </c>
      <c r="G279" s="114">
        <v>163393</v>
      </c>
      <c r="H279" s="114">
        <v>163393</v>
      </c>
      <c r="I279" s="113"/>
      <c r="J279" s="113"/>
      <c r="K279" s="113"/>
      <c r="L279" s="113"/>
      <c r="M279" s="113"/>
      <c r="N279" s="101"/>
      <c r="O279" s="101">
        <v>143163.89</v>
      </c>
      <c r="P279" s="101">
        <v>143163.89</v>
      </c>
      <c r="Q279" s="101">
        <f>143889.89-748.36</f>
        <v>143141.53000000003</v>
      </c>
      <c r="R279" s="101">
        <f>146999.91-3000</f>
        <v>143999.91</v>
      </c>
    </row>
    <row r="280" spans="1:18" ht="45">
      <c r="A280" s="12">
        <v>10</v>
      </c>
      <c r="B280" s="92" t="s">
        <v>372</v>
      </c>
      <c r="C280" s="79" t="s">
        <v>99</v>
      </c>
      <c r="D280" s="101" t="s">
        <v>8</v>
      </c>
      <c r="E280" s="114">
        <v>56562</v>
      </c>
      <c r="F280" s="114">
        <v>61450</v>
      </c>
      <c r="G280" s="114">
        <v>67013</v>
      </c>
      <c r="H280" s="114">
        <v>67013</v>
      </c>
      <c r="I280" s="113"/>
      <c r="J280" s="113"/>
      <c r="K280" s="113"/>
      <c r="L280" s="113"/>
      <c r="M280" s="113"/>
      <c r="N280" s="101"/>
      <c r="O280" s="101">
        <v>50086.2</v>
      </c>
      <c r="P280" s="101">
        <v>50086.2</v>
      </c>
      <c r="Q280" s="101">
        <f>50366.64-500</f>
        <v>49866.64</v>
      </c>
      <c r="R280" s="101">
        <f>50366.64</f>
        <v>50366.64</v>
      </c>
    </row>
    <row r="281" spans="1:18" ht="45">
      <c r="A281" s="12">
        <v>11</v>
      </c>
      <c r="B281" s="92" t="s">
        <v>373</v>
      </c>
      <c r="C281" s="79" t="s">
        <v>99</v>
      </c>
      <c r="D281" s="101" t="s">
        <v>8</v>
      </c>
      <c r="E281" s="114">
        <v>19582</v>
      </c>
      <c r="F281" s="114">
        <v>19799</v>
      </c>
      <c r="G281" s="114">
        <v>20705</v>
      </c>
      <c r="H281" s="114">
        <v>20705</v>
      </c>
      <c r="I281" s="113"/>
      <c r="J281" s="113"/>
      <c r="K281" s="113"/>
      <c r="L281" s="113"/>
      <c r="M281" s="113"/>
      <c r="N281" s="101"/>
      <c r="O281" s="101">
        <v>25706.9</v>
      </c>
      <c r="P281" s="101">
        <v>25706.9</v>
      </c>
      <c r="Q281" s="101">
        <f>25865.73-500</f>
        <v>25365.73</v>
      </c>
      <c r="R281" s="101">
        <f>26426.3-1407.99</f>
        <v>25018.309999999998</v>
      </c>
    </row>
    <row r="282" spans="1:18" ht="30">
      <c r="A282" s="12">
        <v>12</v>
      </c>
      <c r="B282" s="92" t="s">
        <v>374</v>
      </c>
      <c r="C282" s="79" t="s">
        <v>99</v>
      </c>
      <c r="D282" s="101" t="s">
        <v>8</v>
      </c>
      <c r="E282" s="114">
        <v>48850</v>
      </c>
      <c r="F282" s="114">
        <v>50510</v>
      </c>
      <c r="G282" s="114">
        <v>52388</v>
      </c>
      <c r="H282" s="114">
        <v>52388</v>
      </c>
      <c r="I282" s="113"/>
      <c r="J282" s="113"/>
      <c r="K282" s="113"/>
      <c r="L282" s="113"/>
      <c r="M282" s="113"/>
      <c r="N282" s="101"/>
      <c r="O282" s="101">
        <v>27528.31</v>
      </c>
      <c r="P282" s="101">
        <v>27528.31</v>
      </c>
      <c r="Q282" s="101">
        <f>(27528.31*1.005)-500</f>
        <v>27165.951549999998</v>
      </c>
      <c r="R282" s="101">
        <f>(27665.95155*1.0216)-1000</f>
        <v>27263.536103480004</v>
      </c>
    </row>
    <row r="283" spans="1:18" ht="30">
      <c r="A283" s="12">
        <v>13</v>
      </c>
      <c r="B283" s="92" t="s">
        <v>375</v>
      </c>
      <c r="C283" s="79" t="s">
        <v>99</v>
      </c>
      <c r="D283" s="101" t="s">
        <v>8</v>
      </c>
      <c r="E283" s="114">
        <v>3050</v>
      </c>
      <c r="F283" s="114">
        <v>4270</v>
      </c>
      <c r="G283" s="114">
        <v>5282</v>
      </c>
      <c r="H283" s="114">
        <v>5282</v>
      </c>
      <c r="I283" s="113"/>
      <c r="J283" s="113"/>
      <c r="K283" s="113"/>
      <c r="L283" s="113"/>
      <c r="M283" s="113"/>
      <c r="N283" s="101"/>
      <c r="O283" s="101">
        <v>21460.61</v>
      </c>
      <c r="P283" s="101">
        <v>21460.61</v>
      </c>
      <c r="Q283" s="101">
        <f>21597.91-200</f>
        <v>21397.91</v>
      </c>
      <c r="R283" s="101">
        <f>(21597.91*1.0216)-1000</f>
        <v>21064.424856</v>
      </c>
    </row>
    <row r="284" spans="1:18" ht="15">
      <c r="A284" s="12">
        <v>14</v>
      </c>
      <c r="B284" s="92" t="s">
        <v>320</v>
      </c>
      <c r="C284" s="79" t="s">
        <v>329</v>
      </c>
      <c r="D284" s="101" t="s">
        <v>8</v>
      </c>
      <c r="E284" s="1">
        <v>15</v>
      </c>
      <c r="F284" s="1">
        <v>18</v>
      </c>
      <c r="G284" s="1">
        <v>21</v>
      </c>
      <c r="H284" s="1">
        <v>21</v>
      </c>
      <c r="I284" s="113"/>
      <c r="J284" s="113"/>
      <c r="K284" s="113"/>
      <c r="L284" s="113"/>
      <c r="M284" s="113"/>
      <c r="N284" s="101"/>
      <c r="O284" s="101">
        <v>209009.87</v>
      </c>
      <c r="P284" s="101">
        <f>(209009.87+24223.34)-9408.03</f>
        <v>223825.18</v>
      </c>
      <c r="Q284" s="101">
        <f>(210104.97+24508.05)-11206.19</f>
        <v>223406.83</v>
      </c>
      <c r="R284" s="101">
        <f>(210104.97*1.0216)-4000</f>
        <v>210643.23735200003</v>
      </c>
    </row>
    <row r="285" spans="1:18" ht="30">
      <c r="A285" s="12">
        <v>15</v>
      </c>
      <c r="B285" s="92" t="s">
        <v>321</v>
      </c>
      <c r="C285" s="79" t="s">
        <v>330</v>
      </c>
      <c r="D285" s="101" t="s">
        <v>8</v>
      </c>
      <c r="E285" s="1">
        <v>56</v>
      </c>
      <c r="F285" s="1">
        <v>61</v>
      </c>
      <c r="G285" s="1">
        <v>66</v>
      </c>
      <c r="H285" s="1">
        <v>66</v>
      </c>
      <c r="I285" s="113"/>
      <c r="J285" s="113"/>
      <c r="K285" s="113"/>
      <c r="L285" s="113"/>
      <c r="M285" s="113"/>
      <c r="N285" s="101"/>
      <c r="O285" s="101">
        <f>45283.45+16534.09</f>
        <v>61817.53999999999</v>
      </c>
      <c r="P285" s="101">
        <v>45283.45</v>
      </c>
      <c r="Q285" s="101">
        <f>45609.89-300</f>
        <v>45309.89</v>
      </c>
      <c r="R285" s="101">
        <f>46623.06-2000</f>
        <v>44623.06</v>
      </c>
    </row>
    <row r="286" spans="1:18" ht="45">
      <c r="A286" s="12">
        <v>16</v>
      </c>
      <c r="B286" s="92" t="s">
        <v>376</v>
      </c>
      <c r="C286" s="79" t="s">
        <v>99</v>
      </c>
      <c r="D286" s="101" t="s">
        <v>8</v>
      </c>
      <c r="E286" s="1">
        <v>351</v>
      </c>
      <c r="F286" s="1">
        <v>417</v>
      </c>
      <c r="G286" s="1">
        <v>417</v>
      </c>
      <c r="H286" s="1">
        <v>417</v>
      </c>
      <c r="I286" s="113"/>
      <c r="J286" s="113"/>
      <c r="K286" s="113"/>
      <c r="L286" s="113"/>
      <c r="M286" s="113"/>
      <c r="N286" s="101"/>
      <c r="O286" s="101">
        <v>84681.4</v>
      </c>
      <c r="P286" s="101">
        <v>84231.4</v>
      </c>
      <c r="Q286" s="101">
        <v>83952.4</v>
      </c>
      <c r="R286" s="101">
        <v>83952.4</v>
      </c>
    </row>
    <row r="287" spans="1:18" ht="45">
      <c r="A287" s="12">
        <v>17</v>
      </c>
      <c r="B287" s="92" t="s">
        <v>377</v>
      </c>
      <c r="C287" s="79" t="s">
        <v>378</v>
      </c>
      <c r="D287" s="101" t="s">
        <v>8</v>
      </c>
      <c r="E287" s="1">
        <v>147</v>
      </c>
      <c r="F287" s="1">
        <v>147</v>
      </c>
      <c r="G287" s="1">
        <v>147</v>
      </c>
      <c r="H287" s="1">
        <v>147</v>
      </c>
      <c r="I287" s="113"/>
      <c r="J287" s="113"/>
      <c r="K287" s="113"/>
      <c r="L287" s="113"/>
      <c r="M287" s="113"/>
      <c r="N287" s="101"/>
      <c r="O287" s="101">
        <f>48578.54+5100</f>
        <v>53678.54</v>
      </c>
      <c r="P287" s="101">
        <v>53678.54</v>
      </c>
      <c r="Q287" s="101">
        <f>(53678.54+6400)-3651.64</f>
        <v>56426.9</v>
      </c>
      <c r="R287" s="101">
        <f>60078.54-2312.08</f>
        <v>57766.46</v>
      </c>
    </row>
    <row r="288" spans="1:18" ht="45">
      <c r="A288" s="12">
        <v>18</v>
      </c>
      <c r="B288" s="41" t="s">
        <v>328</v>
      </c>
      <c r="C288" s="12" t="s">
        <v>334</v>
      </c>
      <c r="D288" s="101" t="s">
        <v>8</v>
      </c>
      <c r="E288" s="1" t="s">
        <v>379</v>
      </c>
      <c r="F288" s="1" t="s">
        <v>379</v>
      </c>
      <c r="G288" s="1" t="s">
        <v>379</v>
      </c>
      <c r="H288" s="1" t="s">
        <v>379</v>
      </c>
      <c r="I288" s="113"/>
      <c r="J288" s="113"/>
      <c r="K288" s="113"/>
      <c r="L288" s="113"/>
      <c r="M288" s="113"/>
      <c r="N288" s="101"/>
      <c r="O288" s="101">
        <v>69200</v>
      </c>
      <c r="P288" s="101">
        <v>69200</v>
      </c>
      <c r="Q288" s="101">
        <v>69200</v>
      </c>
      <c r="R288" s="101">
        <v>69200</v>
      </c>
    </row>
    <row r="289" spans="1:18" ht="30">
      <c r="A289" s="12">
        <v>19</v>
      </c>
      <c r="B289" s="70" t="s">
        <v>114</v>
      </c>
      <c r="C289" s="1" t="s">
        <v>301</v>
      </c>
      <c r="D289" s="101" t="s">
        <v>8</v>
      </c>
      <c r="E289" s="1">
        <v>11</v>
      </c>
      <c r="F289" s="1">
        <v>10</v>
      </c>
      <c r="G289" s="1">
        <v>11</v>
      </c>
      <c r="H289" s="1">
        <v>11</v>
      </c>
      <c r="I289" s="113"/>
      <c r="J289" s="113"/>
      <c r="K289" s="113"/>
      <c r="L289" s="113"/>
      <c r="M289" s="113"/>
      <c r="N289" s="101"/>
      <c r="O289" s="101">
        <f>3825000/1000</f>
        <v>3825</v>
      </c>
      <c r="P289" s="101">
        <f>3442500/1000</f>
        <v>3442.5</v>
      </c>
      <c r="Q289" s="101">
        <v>3442.5</v>
      </c>
      <c r="R289" s="101">
        <v>3442.5</v>
      </c>
    </row>
    <row r="290" spans="1:18" ht="30">
      <c r="A290" s="12">
        <v>20</v>
      </c>
      <c r="B290" s="70" t="s">
        <v>117</v>
      </c>
      <c r="C290" s="1" t="s">
        <v>301</v>
      </c>
      <c r="D290" s="101" t="s">
        <v>8</v>
      </c>
      <c r="E290" s="1">
        <v>11</v>
      </c>
      <c r="F290" s="1">
        <v>10</v>
      </c>
      <c r="G290" s="1">
        <v>11</v>
      </c>
      <c r="H290" s="1">
        <v>11</v>
      </c>
      <c r="I290" s="113"/>
      <c r="J290" s="113"/>
      <c r="K290" s="113"/>
      <c r="L290" s="113"/>
      <c r="M290" s="113"/>
      <c r="N290" s="101"/>
      <c r="O290" s="101">
        <f>26728000/1000</f>
        <v>26728</v>
      </c>
      <c r="P290" s="101">
        <f>29463890/1000</f>
        <v>29463.89</v>
      </c>
      <c r="Q290" s="101">
        <v>29466.89</v>
      </c>
      <c r="R290" s="101">
        <v>29466.89</v>
      </c>
    </row>
    <row r="291" spans="1:18" ht="45">
      <c r="A291" s="12">
        <v>21</v>
      </c>
      <c r="B291" s="70" t="s">
        <v>118</v>
      </c>
      <c r="C291" s="1" t="s">
        <v>302</v>
      </c>
      <c r="D291" s="101" t="s">
        <v>8</v>
      </c>
      <c r="E291" s="114">
        <v>60000</v>
      </c>
      <c r="F291" s="114">
        <v>65000</v>
      </c>
      <c r="G291" s="114">
        <v>70000</v>
      </c>
      <c r="H291" s="114">
        <v>70000</v>
      </c>
      <c r="I291" s="113"/>
      <c r="J291" s="113"/>
      <c r="K291" s="113"/>
      <c r="L291" s="113"/>
      <c r="M291" s="113"/>
      <c r="N291" s="101"/>
      <c r="O291" s="101">
        <v>500</v>
      </c>
      <c r="P291" s="101">
        <v>500</v>
      </c>
      <c r="Q291" s="101">
        <v>500</v>
      </c>
      <c r="R291" s="101">
        <v>500</v>
      </c>
    </row>
    <row r="292" spans="1:18" ht="120">
      <c r="A292" s="12">
        <v>22</v>
      </c>
      <c r="B292" s="70" t="s">
        <v>121</v>
      </c>
      <c r="C292" s="1" t="s">
        <v>303</v>
      </c>
      <c r="D292" s="101" t="s">
        <v>8</v>
      </c>
      <c r="E292" s="114">
        <v>5</v>
      </c>
      <c r="F292" s="114">
        <v>6</v>
      </c>
      <c r="G292" s="114">
        <v>6</v>
      </c>
      <c r="H292" s="114">
        <v>6</v>
      </c>
      <c r="I292" s="113"/>
      <c r="J292" s="113"/>
      <c r="K292" s="113"/>
      <c r="L292" s="113"/>
      <c r="M292" s="113"/>
      <c r="N292" s="101"/>
      <c r="O292" s="101">
        <v>24646</v>
      </c>
      <c r="P292" s="101">
        <f>27930000/1000</f>
        <v>27930</v>
      </c>
      <c r="Q292" s="101">
        <f>27930000/1000</f>
        <v>27930</v>
      </c>
      <c r="R292" s="101">
        <f>27930000/1000</f>
        <v>27930</v>
      </c>
    </row>
    <row r="293" spans="1:18" ht="135">
      <c r="A293" s="12">
        <v>23</v>
      </c>
      <c r="B293" s="70" t="s">
        <v>123</v>
      </c>
      <c r="C293" s="1" t="s">
        <v>303</v>
      </c>
      <c r="D293" s="101" t="s">
        <v>8</v>
      </c>
      <c r="E293" s="114">
        <v>11</v>
      </c>
      <c r="F293" s="114">
        <v>12</v>
      </c>
      <c r="G293" s="114">
        <v>12</v>
      </c>
      <c r="H293" s="114">
        <v>12</v>
      </c>
      <c r="I293" s="113"/>
      <c r="J293" s="113"/>
      <c r="K293" s="113"/>
      <c r="L293" s="113"/>
      <c r="M293" s="113"/>
      <c r="N293" s="101"/>
      <c r="O293" s="101">
        <v>13000</v>
      </c>
      <c r="P293" s="101">
        <v>11700</v>
      </c>
      <c r="Q293" s="101">
        <v>11700</v>
      </c>
      <c r="R293" s="101">
        <v>11700</v>
      </c>
    </row>
    <row r="294" spans="1:18" ht="150">
      <c r="A294" s="12">
        <v>24</v>
      </c>
      <c r="B294" s="70" t="s">
        <v>124</v>
      </c>
      <c r="C294" s="1" t="s">
        <v>300</v>
      </c>
      <c r="D294" s="101" t="s">
        <v>8</v>
      </c>
      <c r="E294" s="114">
        <v>4</v>
      </c>
      <c r="F294" s="114">
        <v>4</v>
      </c>
      <c r="G294" s="114">
        <v>4</v>
      </c>
      <c r="H294" s="114">
        <v>4</v>
      </c>
      <c r="I294" s="113"/>
      <c r="J294" s="113"/>
      <c r="K294" s="113"/>
      <c r="L294" s="113"/>
      <c r="M294" s="113"/>
      <c r="N294" s="101"/>
      <c r="O294" s="101">
        <v>5000</v>
      </c>
      <c r="P294" s="101">
        <v>4500</v>
      </c>
      <c r="Q294" s="101">
        <v>4500</v>
      </c>
      <c r="R294" s="101">
        <v>4500</v>
      </c>
    </row>
    <row r="295" spans="1:18" ht="165">
      <c r="A295" s="12">
        <v>25</v>
      </c>
      <c r="B295" s="70" t="s">
        <v>126</v>
      </c>
      <c r="C295" s="1" t="s">
        <v>299</v>
      </c>
      <c r="D295" s="101" t="s">
        <v>8</v>
      </c>
      <c r="E295" s="114">
        <v>20</v>
      </c>
      <c r="F295" s="114">
        <v>20</v>
      </c>
      <c r="G295" s="114">
        <v>20</v>
      </c>
      <c r="H295" s="114">
        <v>20</v>
      </c>
      <c r="I295" s="113"/>
      <c r="J295" s="113"/>
      <c r="K295" s="113"/>
      <c r="L295" s="113"/>
      <c r="M295" s="113"/>
      <c r="N295" s="101"/>
      <c r="O295" s="101">
        <v>5200.9</v>
      </c>
      <c r="P295" s="101">
        <v>4680</v>
      </c>
      <c r="Q295" s="101">
        <v>4680</v>
      </c>
      <c r="R295" s="101">
        <v>4680</v>
      </c>
    </row>
    <row r="296" spans="1:18" ht="15">
      <c r="A296" s="12">
        <v>26</v>
      </c>
      <c r="B296" s="41" t="s">
        <v>394</v>
      </c>
      <c r="C296" s="1"/>
      <c r="D296" s="101"/>
      <c r="E296" s="114"/>
      <c r="F296" s="114"/>
      <c r="G296" s="114"/>
      <c r="H296" s="114"/>
      <c r="I296" s="113"/>
      <c r="J296" s="113"/>
      <c r="K296" s="113"/>
      <c r="L296" s="113"/>
      <c r="M296" s="113"/>
      <c r="N296" s="101"/>
      <c r="O296" s="101">
        <f>1795.3+6570</f>
        <v>8365.3</v>
      </c>
      <c r="P296" s="101">
        <f>3651.64</f>
        <v>3651.64</v>
      </c>
      <c r="Q296" s="101">
        <v>3651.64</v>
      </c>
      <c r="R296" s="101">
        <v>3651.64</v>
      </c>
    </row>
    <row r="297" spans="1:18" ht="20.25" customHeight="1">
      <c r="A297" s="12"/>
      <c r="B297" s="94" t="s">
        <v>0</v>
      </c>
      <c r="C297" s="90"/>
      <c r="D297" s="90" t="s">
        <v>8</v>
      </c>
      <c r="E297" s="90" t="s">
        <v>8</v>
      </c>
      <c r="F297" s="90" t="s">
        <v>8</v>
      </c>
      <c r="G297" s="90" t="s">
        <v>8</v>
      </c>
      <c r="H297" s="90" t="s">
        <v>8</v>
      </c>
      <c r="I297" s="90" t="s">
        <v>8</v>
      </c>
      <c r="J297" s="90" t="s">
        <v>8</v>
      </c>
      <c r="K297" s="90" t="s">
        <v>8</v>
      </c>
      <c r="L297" s="90" t="s">
        <v>8</v>
      </c>
      <c r="M297" s="90" t="s">
        <v>8</v>
      </c>
      <c r="N297" s="90">
        <f>SUM(N271:N295)</f>
        <v>0</v>
      </c>
      <c r="O297" s="90">
        <f>SUM(O271:O296)</f>
        <v>951582.4222000001</v>
      </c>
      <c r="P297" s="90">
        <f>SUM(P271:P296)</f>
        <v>950764.82713</v>
      </c>
      <c r="Q297" s="90">
        <f>SUM(Q271:Q296)</f>
        <v>951837.1286800001</v>
      </c>
      <c r="R297" s="90">
        <f>SUM(R271:R296)</f>
        <v>940501.32544148</v>
      </c>
    </row>
    <row r="298" spans="1:18" s="115" customFormat="1" ht="32.25" customHeight="1">
      <c r="A298" s="116"/>
      <c r="B298" s="117" t="s">
        <v>395</v>
      </c>
      <c r="C298" s="116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9">
        <f>N297+N269+N262+N255+N248+N231+N224+N220+N199+N171+N137+N90+N80+N44+N38+N31+N9</f>
        <v>14277371.84359575</v>
      </c>
      <c r="O298" s="119">
        <f>O297+O269+O262+O255+O248+O231+O224+O220+O199+O171+O137+O90+O80+O44+O38+O31+O9</f>
        <v>16978768.6431249</v>
      </c>
      <c r="P298" s="119">
        <f>P297+P269+P262+P255+P248+P231+P224+P220+P199+P171+P137+P90+P80+P44+P38+P31+P9</f>
        <v>17897515.257988974</v>
      </c>
      <c r="Q298" s="119">
        <f>Q297+Q269+Q262+Q255+Q248+Q231+Q224+Q220+Q199+Q171+Q137+Q90+Q80+Q44+Q38+Q31+Q9</f>
        <v>18364662.676204372</v>
      </c>
      <c r="R298" s="119">
        <f>R297+R269+R262+R255+R248+R231+R224+R220+R199+R171+R137+R90+R80+R44+R38+R31+R9</f>
        <v>18504036.704015214</v>
      </c>
    </row>
  </sheetData>
  <sheetProtection/>
  <mergeCells count="29">
    <mergeCell ref="O1:R1"/>
    <mergeCell ref="A270:R270"/>
    <mergeCell ref="A172:R172"/>
    <mergeCell ref="A6:R6"/>
    <mergeCell ref="N82:N83"/>
    <mergeCell ref="A249:R249"/>
    <mergeCell ref="A10:R10"/>
    <mergeCell ref="A33:R33"/>
    <mergeCell ref="A200:R200"/>
    <mergeCell ref="A221:R221"/>
    <mergeCell ref="A256:R256"/>
    <mergeCell ref="A225:R225"/>
    <mergeCell ref="A232:R232"/>
    <mergeCell ref="A138:R138"/>
    <mergeCell ref="A263:R263"/>
    <mergeCell ref="A2:R2"/>
    <mergeCell ref="A91:R91"/>
    <mergeCell ref="A132:A133"/>
    <mergeCell ref="B132:B133"/>
    <mergeCell ref="A81:R81"/>
    <mergeCell ref="A45:R45"/>
    <mergeCell ref="A3:A4"/>
    <mergeCell ref="B3:B4"/>
    <mergeCell ref="C3:C4"/>
    <mergeCell ref="D3:H3"/>
    <mergeCell ref="A39:R39"/>
    <mergeCell ref="I3:M3"/>
    <mergeCell ref="N3:R3"/>
  </mergeCells>
  <printOptions horizontalCentered="1"/>
  <pageMargins left="0.2362204724409449" right="0.2362204724409449" top="0.2755905511811024" bottom="0.2362204724409449" header="0.2362204724409449" footer="0.2362204724409449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Рыжова Наталья Борисовна</dc:creator>
  <cp:keywords/>
  <dc:description/>
  <cp:lastModifiedBy>Елена Александровна Павлова</cp:lastModifiedBy>
  <cp:lastPrinted>2021-08-24T09:13:03Z</cp:lastPrinted>
  <dcterms:created xsi:type="dcterms:W3CDTF">2013-06-19T13:38:31Z</dcterms:created>
  <dcterms:modified xsi:type="dcterms:W3CDTF">2021-08-26T12:59:54Z</dcterms:modified>
  <cp:category/>
  <cp:version/>
  <cp:contentType/>
  <cp:contentStatus/>
</cp:coreProperties>
</file>