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питание_бесплатное" sheetId="1" r:id="rId1"/>
  </sheets>
  <definedNames>
    <definedName name="_xlnm.Print_Titles" localSheetId="0">питание_бесплатное!$B:$B</definedName>
    <definedName name="_xlnm.Print_Area" localSheetId="0">питание_бесплатное!$A$1:$AR$49</definedName>
  </definedNames>
  <calcPr calcId="145621"/>
</workbook>
</file>

<file path=xl/calcChain.xml><?xml version="1.0" encoding="utf-8"?>
<calcChain xmlns="http://schemas.openxmlformats.org/spreadsheetml/2006/main">
  <c r="AA44" i="1" l="1"/>
  <c r="AA47" i="1" s="1"/>
  <c r="AA49" i="1" s="1"/>
  <c r="Z44" i="1"/>
  <c r="Z47" i="1" s="1"/>
  <c r="Z49" i="1" s="1"/>
  <c r="AB49" i="1" s="1"/>
  <c r="Z33" i="1" s="1"/>
  <c r="S37" i="1"/>
  <c r="Z30" i="1"/>
  <c r="AP25" i="1"/>
  <c r="AO25" i="1"/>
  <c r="AI25" i="1"/>
  <c r="AI27" i="1" s="1"/>
  <c r="AH25" i="1"/>
  <c r="AG25" i="1"/>
  <c r="AE25" i="1"/>
  <c r="W25" i="1"/>
  <c r="Q25" i="1"/>
  <c r="P25" i="1"/>
  <c r="O25" i="1"/>
  <c r="M25" i="1"/>
  <c r="L25" i="1"/>
  <c r="K25" i="1"/>
  <c r="J25" i="1"/>
  <c r="I25" i="1"/>
  <c r="H25" i="1"/>
  <c r="G25" i="1"/>
  <c r="F25" i="1"/>
  <c r="E25" i="1"/>
  <c r="D25" i="1"/>
  <c r="C25" i="1"/>
  <c r="AN24" i="1"/>
  <c r="AT24" i="1" s="1"/>
  <c r="AL24" i="1"/>
  <c r="AK24" i="1"/>
  <c r="AJ24" i="1"/>
  <c r="AF24" i="1"/>
  <c r="U24" i="1"/>
  <c r="T24" i="1"/>
  <c r="V24" i="1" s="1"/>
  <c r="S24" i="1"/>
  <c r="R24" i="1"/>
  <c r="R31" i="1" s="1"/>
  <c r="AN23" i="1"/>
  <c r="AT23" i="1" s="1"/>
  <c r="AL23" i="1"/>
  <c r="AK23" i="1"/>
  <c r="AJ23" i="1"/>
  <c r="AF23" i="1"/>
  <c r="U23" i="1"/>
  <c r="T23" i="1"/>
  <c r="R23" i="1"/>
  <c r="N23" i="1"/>
  <c r="S23" i="1" s="1"/>
  <c r="V23" i="1" s="1"/>
  <c r="AT22" i="1"/>
  <c r="AQ22" i="1"/>
  <c r="AR22" i="1" s="1"/>
  <c r="AN22" i="1"/>
  <c r="AL22" i="1"/>
  <c r="AK22" i="1"/>
  <c r="AJ22" i="1"/>
  <c r="AF22" i="1"/>
  <c r="U22" i="1"/>
  <c r="T22" i="1"/>
  <c r="N22" i="1"/>
  <c r="S22" i="1" s="1"/>
  <c r="V22" i="1" s="1"/>
  <c r="AN21" i="1"/>
  <c r="AT21" i="1" s="1"/>
  <c r="AL21" i="1"/>
  <c r="AK21" i="1"/>
  <c r="AJ21" i="1"/>
  <c r="AF21" i="1"/>
  <c r="U21" i="1"/>
  <c r="T21" i="1"/>
  <c r="R21" i="1"/>
  <c r="N21" i="1"/>
  <c r="S21" i="1" s="1"/>
  <c r="V21" i="1" s="1"/>
  <c r="AT20" i="1"/>
  <c r="AQ20" i="1"/>
  <c r="AR20" i="1" s="1"/>
  <c r="AN20" i="1"/>
  <c r="AL20" i="1"/>
  <c r="AK20" i="1"/>
  <c r="AJ20" i="1"/>
  <c r="AF20" i="1"/>
  <c r="U20" i="1"/>
  <c r="T20" i="1"/>
  <c r="N20" i="1"/>
  <c r="S20" i="1" s="1"/>
  <c r="V20" i="1" s="1"/>
  <c r="AN19" i="1"/>
  <c r="AT19" i="1" s="1"/>
  <c r="AL19" i="1"/>
  <c r="AK19" i="1"/>
  <c r="AJ19" i="1"/>
  <c r="AF19" i="1"/>
  <c r="U19" i="1"/>
  <c r="T19" i="1"/>
  <c r="R19" i="1"/>
  <c r="N19" i="1"/>
  <c r="S19" i="1" s="1"/>
  <c r="V19" i="1" s="1"/>
  <c r="AT18" i="1"/>
  <c r="AQ18" i="1"/>
  <c r="AR18" i="1" s="1"/>
  <c r="AN18" i="1"/>
  <c r="AL18" i="1"/>
  <c r="AK18" i="1"/>
  <c r="AJ18" i="1"/>
  <c r="AF18" i="1"/>
  <c r="U18" i="1"/>
  <c r="T18" i="1"/>
  <c r="N18" i="1"/>
  <c r="S18" i="1" s="1"/>
  <c r="V18" i="1" s="1"/>
  <c r="AN17" i="1"/>
  <c r="AT17" i="1" s="1"/>
  <c r="AL17" i="1"/>
  <c r="AK17" i="1"/>
  <c r="AJ17" i="1"/>
  <c r="AF17" i="1"/>
  <c r="U17" i="1"/>
  <c r="T17" i="1"/>
  <c r="R17" i="1"/>
  <c r="N17" i="1"/>
  <c r="S17" i="1" s="1"/>
  <c r="V17" i="1" s="1"/>
  <c r="AT16" i="1"/>
  <c r="AQ16" i="1"/>
  <c r="AR16" i="1" s="1"/>
  <c r="AN16" i="1"/>
  <c r="AL16" i="1"/>
  <c r="AK16" i="1"/>
  <c r="AJ16" i="1"/>
  <c r="AF16" i="1"/>
  <c r="U16" i="1"/>
  <c r="T16" i="1"/>
  <c r="S16" i="1"/>
  <c r="V16" i="1" s="1"/>
  <c r="AC16" i="1" s="1"/>
  <c r="N16" i="1"/>
  <c r="R16" i="1" s="1"/>
  <c r="AN15" i="1"/>
  <c r="AL15" i="1"/>
  <c r="AK15" i="1"/>
  <c r="AJ15" i="1"/>
  <c r="AF15" i="1"/>
  <c r="Z15" i="1"/>
  <c r="AD15" i="1" s="1"/>
  <c r="U15" i="1"/>
  <c r="T15" i="1"/>
  <c r="R15" i="1"/>
  <c r="N15" i="1"/>
  <c r="S15" i="1" s="1"/>
  <c r="V15" i="1" s="1"/>
  <c r="AT14" i="1"/>
  <c r="AQ14" i="1"/>
  <c r="AR14" i="1" s="1"/>
  <c r="AN14" i="1"/>
  <c r="AL14" i="1"/>
  <c r="AK14" i="1"/>
  <c r="AJ14" i="1"/>
  <c r="AF14" i="1"/>
  <c r="Y14" i="1"/>
  <c r="U14" i="1"/>
  <c r="T14" i="1"/>
  <c r="N14" i="1"/>
  <c r="R14" i="1" s="1"/>
  <c r="AN13" i="1"/>
  <c r="AT13" i="1" s="1"/>
  <c r="AL13" i="1"/>
  <c r="AK13" i="1"/>
  <c r="AJ13" i="1"/>
  <c r="AF13" i="1"/>
  <c r="Z13" i="1"/>
  <c r="AD13" i="1" s="1"/>
  <c r="U13" i="1"/>
  <c r="T13" i="1"/>
  <c r="R13" i="1"/>
  <c r="N13" i="1"/>
  <c r="S13" i="1" s="1"/>
  <c r="V13" i="1" s="1"/>
  <c r="AT12" i="1"/>
  <c r="AQ12" i="1"/>
  <c r="AR12" i="1" s="1"/>
  <c r="AN12" i="1"/>
  <c r="AL12" i="1"/>
  <c r="AK12" i="1"/>
  <c r="AJ12" i="1"/>
  <c r="AF12" i="1"/>
  <c r="Y12" i="1"/>
  <c r="U12" i="1"/>
  <c r="T12" i="1"/>
  <c r="N12" i="1"/>
  <c r="R12" i="1" s="1"/>
  <c r="AN11" i="1"/>
  <c r="AT11" i="1" s="1"/>
  <c r="AL11" i="1"/>
  <c r="AK11" i="1"/>
  <c r="AJ11" i="1"/>
  <c r="AF11" i="1"/>
  <c r="Z11" i="1"/>
  <c r="AD11" i="1" s="1"/>
  <c r="U11" i="1"/>
  <c r="T11" i="1"/>
  <c r="R11" i="1"/>
  <c r="N11" i="1"/>
  <c r="S11" i="1" s="1"/>
  <c r="V11" i="1" s="1"/>
  <c r="AT10" i="1"/>
  <c r="AQ10" i="1"/>
  <c r="AR10" i="1" s="1"/>
  <c r="AN10" i="1"/>
  <c r="AL10" i="1"/>
  <c r="AK10" i="1"/>
  <c r="AJ10" i="1"/>
  <c r="AF10" i="1"/>
  <c r="Y10" i="1"/>
  <c r="U10" i="1"/>
  <c r="T10" i="1"/>
  <c r="S10" i="1"/>
  <c r="V10" i="1" s="1"/>
  <c r="AC10" i="1" s="1"/>
  <c r="N10" i="1"/>
  <c r="R10" i="1" s="1"/>
  <c r="AN9" i="1"/>
  <c r="AL9" i="1"/>
  <c r="AK9" i="1"/>
  <c r="AJ9" i="1"/>
  <c r="AF9" i="1"/>
  <c r="Z9" i="1"/>
  <c r="AD9" i="1" s="1"/>
  <c r="U9" i="1"/>
  <c r="T9" i="1"/>
  <c r="R9" i="1"/>
  <c r="N9" i="1"/>
  <c r="S9" i="1" s="1"/>
  <c r="V9" i="1" s="1"/>
  <c r="AT8" i="1"/>
  <c r="AQ8" i="1"/>
  <c r="AR8" i="1" s="1"/>
  <c r="AN8" i="1"/>
  <c r="AL8" i="1"/>
  <c r="AK8" i="1"/>
  <c r="AJ8" i="1"/>
  <c r="AF8" i="1"/>
  <c r="Y8" i="1"/>
  <c r="U8" i="1"/>
  <c r="T8" i="1"/>
  <c r="N8" i="1"/>
  <c r="R8" i="1" s="1"/>
  <c r="AN7" i="1"/>
  <c r="AL7" i="1"/>
  <c r="AL25" i="1" s="1"/>
  <c r="AK7" i="1"/>
  <c r="AK25" i="1" s="1"/>
  <c r="AJ7" i="1"/>
  <c r="AJ25" i="1" s="1"/>
  <c r="AF7" i="1"/>
  <c r="Z7" i="1"/>
  <c r="U7" i="1"/>
  <c r="T7" i="1"/>
  <c r="T25" i="1" s="1"/>
  <c r="R7" i="1"/>
  <c r="N7" i="1"/>
  <c r="AC9" i="1" l="1"/>
  <c r="AB9" i="1" s="1"/>
  <c r="AA9" i="1"/>
  <c r="AN25" i="1"/>
  <c r="AT7" i="1"/>
  <c r="AQ7" i="1"/>
  <c r="AC13" i="1"/>
  <c r="AB13" i="1" s="1"/>
  <c r="AA13" i="1"/>
  <c r="AC17" i="1"/>
  <c r="AD7" i="1"/>
  <c r="S8" i="1"/>
  <c r="V8" i="1" s="1"/>
  <c r="AT9" i="1"/>
  <c r="AQ9" i="1"/>
  <c r="AR9" i="1" s="1"/>
  <c r="AM9" i="1"/>
  <c r="AC11" i="1"/>
  <c r="AB11" i="1" s="1"/>
  <c r="AA11" i="1"/>
  <c r="AC15" i="1"/>
  <c r="AB15" i="1" s="1"/>
  <c r="AA15" i="1"/>
  <c r="S12" i="1"/>
  <c r="S14" i="1"/>
  <c r="V14" i="1" s="1"/>
  <c r="AC20" i="1"/>
  <c r="AC21" i="1"/>
  <c r="AC24" i="1"/>
  <c r="AA24" i="1"/>
  <c r="Z24" i="1"/>
  <c r="AD24" i="1" s="1"/>
  <c r="Z23" i="1"/>
  <c r="AD23" i="1" s="1"/>
  <c r="Y22" i="1"/>
  <c r="Z21" i="1"/>
  <c r="AD21" i="1" s="1"/>
  <c r="Y20" i="1"/>
  <c r="Z19" i="1"/>
  <c r="AD19" i="1" s="1"/>
  <c r="Y18" i="1"/>
  <c r="Y24" i="1"/>
  <c r="Y23" i="1"/>
  <c r="Z22" i="1"/>
  <c r="AD22" i="1" s="1"/>
  <c r="Y21" i="1"/>
  <c r="Z20" i="1"/>
  <c r="AD20" i="1" s="1"/>
  <c r="Y19" i="1"/>
  <c r="Z18" i="1"/>
  <c r="AD18" i="1" s="1"/>
  <c r="Y17" i="1"/>
  <c r="Z16" i="1"/>
  <c r="AD16" i="1" s="1"/>
  <c r="AB16" i="1" s="1"/>
  <c r="Y15" i="1"/>
  <c r="N25" i="1"/>
  <c r="S7" i="1"/>
  <c r="U25" i="1"/>
  <c r="Y7" i="1"/>
  <c r="AF25" i="1"/>
  <c r="AF27" i="1" s="1"/>
  <c r="Z8" i="1"/>
  <c r="AD8" i="1" s="1"/>
  <c r="Y9" i="1"/>
  <c r="Z10" i="1"/>
  <c r="AD10" i="1" s="1"/>
  <c r="AB10" i="1" s="1"/>
  <c r="Y11" i="1"/>
  <c r="AM11" i="1"/>
  <c r="AQ11" i="1"/>
  <c r="AR11" i="1" s="1"/>
  <c r="S38" i="1"/>
  <c r="T35" i="1"/>
  <c r="Z12" i="1"/>
  <c r="AD12" i="1" s="1"/>
  <c r="Y13" i="1"/>
  <c r="AM13" i="1"/>
  <c r="AQ13" i="1"/>
  <c r="AR13" i="1" s="1"/>
  <c r="Z14" i="1"/>
  <c r="AD14" i="1" s="1"/>
  <c r="AT15" i="1"/>
  <c r="AQ15" i="1"/>
  <c r="AR15" i="1" s="1"/>
  <c r="AM15" i="1"/>
  <c r="Y16" i="1"/>
  <c r="Z17" i="1"/>
  <c r="AD17" i="1" s="1"/>
  <c r="AC18" i="1"/>
  <c r="AB18" i="1" s="1"/>
  <c r="AA18" i="1"/>
  <c r="AM18" i="1" s="1"/>
  <c r="AC19" i="1"/>
  <c r="AB19" i="1" s="1"/>
  <c r="AA19" i="1"/>
  <c r="AC22" i="1"/>
  <c r="AB22" i="1" s="1"/>
  <c r="AA22" i="1"/>
  <c r="AM22" i="1" s="1"/>
  <c r="AC23" i="1"/>
  <c r="AB23" i="1" s="1"/>
  <c r="AA23" i="1"/>
  <c r="AQ17" i="1"/>
  <c r="AR17" i="1" s="1"/>
  <c r="R18" i="1"/>
  <c r="R25" i="1" s="1"/>
  <c r="AM19" i="1"/>
  <c r="AQ19" i="1"/>
  <c r="AR19" i="1" s="1"/>
  <c r="R20" i="1"/>
  <c r="AQ21" i="1"/>
  <c r="AR21" i="1" s="1"/>
  <c r="R22" i="1"/>
  <c r="AM23" i="1"/>
  <c r="AQ23" i="1"/>
  <c r="AR23" i="1" s="1"/>
  <c r="AM24" i="1"/>
  <c r="AQ24" i="1"/>
  <c r="AR24" i="1" s="1"/>
  <c r="Y25" i="1" l="1"/>
  <c r="S25" i="1"/>
  <c r="V7" i="1"/>
  <c r="AB24" i="1"/>
  <c r="AB21" i="1"/>
  <c r="AB20" i="1"/>
  <c r="AC14" i="1"/>
  <c r="AB14" i="1" s="1"/>
  <c r="AA14" i="1"/>
  <c r="AM14" i="1" s="1"/>
  <c r="AD25" i="1"/>
  <c r="AB17" i="1"/>
  <c r="AA10" i="1"/>
  <c r="AM10" i="1" s="1"/>
  <c r="AQ25" i="1"/>
  <c r="AR7" i="1"/>
  <c r="AR25" i="1" s="1"/>
  <c r="AA21" i="1"/>
  <c r="AM21" i="1" s="1"/>
  <c r="AA20" i="1"/>
  <c r="AM20" i="1" s="1"/>
  <c r="AA16" i="1"/>
  <c r="AM16" i="1" s="1"/>
  <c r="S35" i="1"/>
  <c r="V12" i="1"/>
  <c r="AA8" i="1"/>
  <c r="AM8" i="1" s="1"/>
  <c r="AC8" i="1"/>
  <c r="AB8" i="1" s="1"/>
  <c r="Z25" i="1"/>
  <c r="AA17" i="1"/>
  <c r="AM17" i="1" s="1"/>
  <c r="AT25" i="1"/>
  <c r="V25" i="1" l="1"/>
  <c r="AC7" i="1"/>
  <c r="AA7" i="1"/>
  <c r="AC12" i="1"/>
  <c r="AB12" i="1" s="1"/>
  <c r="AA12" i="1"/>
  <c r="AM12" i="1" s="1"/>
  <c r="AA25" i="1" l="1"/>
  <c r="AM7" i="1"/>
  <c r="AM25" i="1" s="1"/>
  <c r="AC25" i="1"/>
  <c r="AB7" i="1"/>
  <c r="AB25" i="1" s="1"/>
  <c r="AN31" i="1" s="1"/>
</calcChain>
</file>

<file path=xl/comments1.xml><?xml version="1.0" encoding="utf-8"?>
<comments xmlns="http://schemas.openxmlformats.org/spreadsheetml/2006/main">
  <authors>
    <author>Юлия Васильевна ЕГОРОВА</author>
  </authors>
  <commentList>
    <comment ref="Z30" authorId="0">
      <text>
        <r>
          <rPr>
            <b/>
            <sz val="9"/>
            <color indexed="81"/>
            <rFont val="Tahoma"/>
            <family val="2"/>
            <charset val="204"/>
          </rPr>
          <t>Юлия Васильевна ЕГОРОВА:</t>
        </r>
        <r>
          <rPr>
            <sz val="9"/>
            <color indexed="81"/>
            <rFont val="Tahoma"/>
            <family val="2"/>
            <charset val="204"/>
          </rPr>
          <t xml:space="preserve">
с 01.09.2021</t>
        </r>
      </text>
    </comment>
  </commentList>
</comments>
</file>

<file path=xl/sharedStrings.xml><?xml version="1.0" encoding="utf-8"?>
<sst xmlns="http://schemas.openxmlformats.org/spreadsheetml/2006/main" count="76" uniqueCount="69">
  <si>
    <t>Расчет объема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области, на 2022 год</t>
  </si>
  <si>
    <t>№№</t>
  </si>
  <si>
    <t>Наименование муниципальных образований</t>
  </si>
  <si>
    <t>Всего планируемое количество обучающихся</t>
  </si>
  <si>
    <t>Прогнозируемое количество обучающихся 5-11 классов на 2022 год по категориям установленным Социальным кодексом</t>
  </si>
  <si>
    <t>Потребность в средствах на питание и молоко, тыс. руб.</t>
  </si>
  <si>
    <t xml:space="preserve"> % невыходов</t>
  </si>
  <si>
    <t>Расчет средств на реализацию полномочий</t>
  </si>
  <si>
    <t>Общая потребность в средствах на 2022 год, тыс.руб.</t>
  </si>
  <si>
    <t>Утверждено на 2021 год, тыс.руб.</t>
  </si>
  <si>
    <t>Численность КЦ</t>
  </si>
  <si>
    <t>в проект бюджета на 2022-2024гг</t>
  </si>
  <si>
    <t>Обучающиеся из категории детей, находящихся в трудной жизненной ситуации, в т.ч. дети-инвалиды</t>
  </si>
  <si>
    <t>в т.ч. дети-инвалиды(ст.2 обл.з-на № 15-оз</t>
  </si>
  <si>
    <t>Состоящие на учете в противотуберкулезном диспансере</t>
  </si>
  <si>
    <t>Один из родителей (оба родителя) которых погиб (погибли) при выполнении служебных обязанностей в качестве военнослужащего, гражданина, призванного на военные сборы, лица рядового,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сотрудника учреждений и органов уголовно-исполнительной системы</t>
  </si>
  <si>
    <t>Усыновленным детям</t>
  </si>
  <si>
    <t>Лицам с ограниченными возможностями здоровья</t>
  </si>
  <si>
    <t>Детям из приемных семей, отвечающих критериям нуждаемости, установленным частью 5 статьи 1.7</t>
  </si>
  <si>
    <t>Детям из многодетных семей, отвечающих критериям нуждаемости, установленным частью 5 статьи 1.7</t>
  </si>
  <si>
    <t>Детям из семей, отвечающих критериям нуждаемости, установленным частью 6 статьи 1.7</t>
  </si>
  <si>
    <t>льготная категория из 1-4 классов</t>
  </si>
  <si>
    <t>ИТОГО, имеющих право на бесплатное питание</t>
  </si>
  <si>
    <t>1-4 классы, чел.</t>
  </si>
  <si>
    <t>Всего получающих бесплатное питание и молоко, включая частных ОУ</t>
  </si>
  <si>
    <t xml:space="preserve">На бесплатное питание </t>
  </si>
  <si>
    <t xml:space="preserve">На бесплатное молоко </t>
  </si>
  <si>
    <t>На горячее питание частных ОУ</t>
  </si>
  <si>
    <t>Потребность в средствах на 2022 год, тыс.руб.</t>
  </si>
  <si>
    <t xml:space="preserve"> ИТОГО Численность специалистов, осуществляющих гос.полномочия</t>
  </si>
  <si>
    <t>только на зарплату</t>
  </si>
  <si>
    <t xml:space="preserve">Потребность на осуществление государственных полномочий в средствах на 2022 год, тыс.руб. </t>
  </si>
  <si>
    <t>Всего</t>
  </si>
  <si>
    <t>в том числе на обеспечение полномочий</t>
  </si>
  <si>
    <t>в том числе на реализацию полномочий</t>
  </si>
  <si>
    <t>4 % к 2021г</t>
  </si>
  <si>
    <t>в АЦК</t>
  </si>
  <si>
    <t>всего 1-4 классы</t>
  </si>
  <si>
    <t>в том числе  частных ОУ</t>
  </si>
  <si>
    <t xml:space="preserve"> % невыходов (частных ОУ)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</si>
  <si>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</si>
  <si>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</si>
  <si>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</si>
  <si>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</si>
  <si>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</si>
  <si>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</si>
  <si>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</si>
  <si>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</si>
  <si>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</si>
  <si>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</si>
  <si>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</si>
  <si>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</si>
  <si>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</si>
  <si>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</si>
  <si>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</si>
  <si>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</si>
  <si>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</si>
  <si>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</si>
  <si>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>ВСЕГО</t>
  </si>
  <si>
    <t>Стоимость льготного питания в день</t>
  </si>
  <si>
    <t>оклад ведущего специалиста</t>
  </si>
  <si>
    <t>Количество учебных дней</t>
  </si>
  <si>
    <t>кол-во должностных окладов в год</t>
  </si>
  <si>
    <t>Стоимость 0,2 л молока</t>
  </si>
  <si>
    <t>начисления</t>
  </si>
  <si>
    <t>Стоимость горячего питания в день</t>
  </si>
  <si>
    <t>с 01.01.2022</t>
  </si>
  <si>
    <t>с 01.09.2022</t>
  </si>
  <si>
    <t>приложение 20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</si>
</sst>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0.0"/>
    <numFmt numFmtId="165" formatCode="_(* #,##0.00_);_(* \(#,##0.00\);_(* \-??_);_(@_)"/>
    <numFmt numFmtId="166" formatCode="_(* #,##0.0_);_(* \(#,##0.0\);_(* \-??_);_(@_)"/>
    <numFmt numFmtId="167" formatCode="_-* #,##0.0_р_._-;\-* #,##0.0_р_._-;_-* \-??_р_._-;_-@_-"/>
    <numFmt numFmtId="168" formatCode="#,##0.0"/>
    <numFmt numFmtId="169" formatCode="0.0%"/>
    <numFmt numFmtId="170" formatCode="#,##0.00000000"/>
    <numFmt numFmtId="171" formatCode="_-* #,##0.0\ _₽_-;\-* #,##0.0\ _₽_-;_-* &quot;-&quot;?\ _₽_-;_-@_-"/>
    <numFmt numFmtId="172" formatCode="_(* #,##0.000_);_(* \(#,##0.000\);_(* \-??_);_(@_)"/>
    <numFmt numFmtId="173" formatCode="_(* #,##0.00_);_(* \(#,##0.00\);_(* &quot;-&quot;??_);_(@_)"/>
    <numFmt numFmtId="174" formatCode="_(* #,##0.0_);_(* \(#,##0.0\);_(* &quot;-&quot;??_);_(@_)"/>
    <numFmt numFmtId="175" formatCode="[Blue]\+#,##0.00;[Red]\-#,##0.00;&quot;-&quot;"/>
    <numFmt numFmtId="176" formatCode="00"/>
    <numFmt numFmtId="177" formatCode="#,##0.00;[Red]\-#,##0.00;&quot;-&quot;"/>
    <numFmt numFmtId="178" formatCode="#,##0;[Red]\-#,##0;&quot;-&quot;"/>
    <numFmt numFmtId="179" formatCode="_-* #,##0.00_р_._-;\-* #,##0.00_р_._-;_-* \-??_р_._-;_-@_-"/>
  </numFmts>
  <fonts count="45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color rgb="FFFF0000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b/>
      <sz val="10"/>
      <name val="Arial Cyr"/>
      <family val="2"/>
      <charset val="204"/>
    </font>
    <font>
      <sz val="10"/>
      <color theme="0"/>
      <name val="Arial Cyr"/>
      <charset val="204"/>
    </font>
    <font>
      <i/>
      <sz val="10"/>
      <color indexed="9"/>
      <name val="Arial Cyr"/>
      <family val="2"/>
      <charset val="204"/>
    </font>
    <font>
      <b/>
      <sz val="10"/>
      <color indexed="9"/>
      <name val="Arial"/>
      <family val="2"/>
      <charset val="204"/>
    </font>
    <font>
      <b/>
      <sz val="9"/>
      <name val="Arial Cyr"/>
      <charset val="204"/>
    </font>
    <font>
      <sz val="9"/>
      <color indexed="9"/>
      <name val="Arial"/>
      <family val="2"/>
      <charset val="204"/>
    </font>
    <font>
      <sz val="10"/>
      <color rgb="FF7030A0"/>
      <name val="Arial Cyr"/>
      <charset val="204"/>
    </font>
    <font>
      <sz val="9"/>
      <color rgb="FF7030A0"/>
      <name val="Arial"/>
      <family val="2"/>
      <charset val="204"/>
    </font>
    <font>
      <i/>
      <sz val="10"/>
      <color indexed="22"/>
      <name val="Arial Cyr"/>
      <family val="2"/>
      <charset val="204"/>
    </font>
    <font>
      <b/>
      <sz val="10"/>
      <color indexed="22"/>
      <name val="Arial"/>
      <family val="2"/>
      <charset val="204"/>
    </font>
    <font>
      <sz val="10"/>
      <name val="Arial Cyr"/>
      <family val="2"/>
      <charset val="204"/>
    </font>
    <font>
      <sz val="10"/>
      <color rgb="FFC0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0.499984740745262"/>
      <name val="Arial Cyr"/>
      <charset val="204"/>
    </font>
    <font>
      <b/>
      <sz val="10"/>
      <color theme="1" tint="0.499984740745262"/>
      <name val="Arial Cyr"/>
      <charset val="204"/>
    </font>
    <font>
      <sz val="10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1"/>
    </font>
    <font>
      <b/>
      <sz val="10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b/>
      <sz val="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09">
    <xf numFmtId="0" fontId="0" fillId="0" borderId="0"/>
    <xf numFmtId="9" fontId="2" fillId="0" borderId="0" applyFont="0" applyFill="0" applyBorder="0" applyAlignment="0" applyProtection="0"/>
    <xf numFmtId="0" fontId="2" fillId="0" borderId="0"/>
    <xf numFmtId="173" fontId="2" fillId="0" borderId="0" applyFont="0" applyFill="0" applyBorder="0" applyAlignment="0" applyProtection="0"/>
    <xf numFmtId="0" fontId="36" fillId="0" borderId="0"/>
    <xf numFmtId="0" fontId="37" fillId="0" borderId="20">
      <alignment horizontal="left" indent="1"/>
    </xf>
    <xf numFmtId="0" fontId="38" fillId="0" borderId="21">
      <alignment horizontal="left" inden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169" fontId="41" fillId="0" borderId="0" applyFont="0" applyFill="0" applyBorder="0" applyProtection="0">
      <alignment horizontal="right" vertical="center" indent="1"/>
    </xf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Border="0" applyProtection="0"/>
    <xf numFmtId="9" fontId="2" fillId="0" borderId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175" fontId="42" fillId="2" borderId="0" applyFont="0" applyFill="0" applyBorder="0" applyAlignment="0" applyProtection="0">
      <alignment horizontal="right" indent="1"/>
    </xf>
    <xf numFmtId="0" fontId="43" fillId="0" borderId="0" applyFill="0" applyBorder="0">
      <alignment horizontal="center" vertical="center" wrapText="1"/>
    </xf>
    <xf numFmtId="176" fontId="44" fillId="3" borderId="0">
      <alignment horizontal="right" vertical="center" indent="1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Border="0" applyProtection="0"/>
    <xf numFmtId="165" fontId="2" fillId="0" borderId="0" applyFill="0" applyBorder="0" applyAlignment="0" applyProtection="0"/>
    <xf numFmtId="177" fontId="41" fillId="0" borderId="0" applyFont="0" applyFill="0" applyBorder="0" applyProtection="0">
      <alignment horizontal="right" vertical="center" indent="1"/>
    </xf>
    <xf numFmtId="173" fontId="2" fillId="0" borderId="0" applyFont="0" applyFill="0" applyBorder="0" applyAlignment="0" applyProtection="0"/>
    <xf numFmtId="165" fontId="2" fillId="0" borderId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ill="0" applyBorder="0" applyAlignment="0" applyProtection="0"/>
    <xf numFmtId="178" fontId="41" fillId="0" borderId="0" applyFont="0" applyFill="0" applyBorder="0" applyProtection="0">
      <alignment horizontal="right" vertical="center" indent="1"/>
    </xf>
    <xf numFmtId="165" fontId="2" fillId="0" borderId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Border="0" applyProtection="0"/>
    <xf numFmtId="165" fontId="2" fillId="0" borderId="0" applyBorder="0" applyProtection="0"/>
    <xf numFmtId="17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Border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ill="0" applyBorder="0" applyAlignment="0" applyProtection="0"/>
    <xf numFmtId="179" fontId="11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9" fontId="11" fillId="0" borderId="0" applyFill="0" applyBorder="0" applyAlignment="0" applyProtection="0"/>
    <xf numFmtId="165" fontId="2" fillId="0" borderId="0" applyBorder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118">
    <xf numFmtId="0" fontId="0" fillId="0" borderId="0" xfId="0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horizontal="center" wrapText="1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8" fillId="0" borderId="5" xfId="2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 applyProtection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</xf>
    <xf numFmtId="0" fontId="2" fillId="0" borderId="4" xfId="2" applyNumberFormat="1" applyFont="1" applyFill="1" applyBorder="1" applyAlignment="1" applyProtection="1">
      <alignment horizontal="center" vertical="center" wrapText="1"/>
    </xf>
    <xf numFmtId="0" fontId="2" fillId="0" borderId="17" xfId="2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/>
    </xf>
    <xf numFmtId="0" fontId="11" fillId="0" borderId="1" xfId="2" applyNumberFormat="1" applyFont="1" applyFill="1" applyBorder="1" applyAlignment="1" applyProtection="1"/>
    <xf numFmtId="0" fontId="12" fillId="0" borderId="1" xfId="2" applyNumberFormat="1" applyFont="1" applyFill="1" applyBorder="1" applyAlignment="1" applyProtection="1">
      <alignment horizontal="center"/>
    </xf>
    <xf numFmtId="1" fontId="11" fillId="0" borderId="1" xfId="2" applyNumberFormat="1" applyFont="1" applyFill="1" applyBorder="1" applyAlignment="1">
      <alignment horizontal="center"/>
    </xf>
    <xf numFmtId="164" fontId="11" fillId="0" borderId="1" xfId="2" applyNumberFormat="1" applyFont="1" applyFill="1" applyBorder="1" applyAlignment="1" applyProtection="1">
      <alignment horizontal="center"/>
    </xf>
    <xf numFmtId="165" fontId="11" fillId="0" borderId="1" xfId="2" applyNumberFormat="1" applyFont="1" applyFill="1" applyBorder="1" applyAlignment="1" applyProtection="1"/>
    <xf numFmtId="165" fontId="11" fillId="0" borderId="1" xfId="2" applyNumberFormat="1" applyFont="1" applyFill="1" applyBorder="1" applyAlignment="1">
      <alignment horizontal="right"/>
    </xf>
    <xf numFmtId="166" fontId="13" fillId="0" borderId="1" xfId="2" applyNumberFormat="1" applyFont="1" applyFill="1" applyBorder="1" applyAlignment="1">
      <alignment horizontal="right"/>
    </xf>
    <xf numFmtId="167" fontId="11" fillId="0" borderId="1" xfId="2" applyNumberFormat="1" applyFont="1" applyFill="1" applyBorder="1" applyAlignment="1" applyProtection="1">
      <alignment horizontal="center"/>
    </xf>
    <xf numFmtId="167" fontId="14" fillId="0" borderId="1" xfId="2" applyNumberFormat="1" applyFont="1" applyFill="1" applyBorder="1" applyAlignment="1">
      <alignment horizontal="right"/>
    </xf>
    <xf numFmtId="166" fontId="11" fillId="0" borderId="1" xfId="2" applyNumberFormat="1" applyFont="1" applyFill="1" applyBorder="1" applyAlignment="1">
      <alignment horizontal="right"/>
    </xf>
    <xf numFmtId="166" fontId="13" fillId="0" borderId="1" xfId="2" applyNumberFormat="1" applyFont="1" applyFill="1" applyBorder="1" applyAlignment="1">
      <alignment horizontal="right" vertical="center" wrapText="1"/>
    </xf>
    <xf numFmtId="166" fontId="11" fillId="0" borderId="1" xfId="2" applyNumberFormat="1" applyFont="1" applyFill="1" applyBorder="1" applyAlignment="1">
      <alignment horizontal="right" vertical="center" wrapText="1"/>
    </xf>
    <xf numFmtId="168" fontId="2" fillId="0" borderId="18" xfId="0" applyNumberFormat="1" applyFont="1" applyFill="1" applyBorder="1" applyAlignment="1" applyProtection="1"/>
    <xf numFmtId="168" fontId="2" fillId="0" borderId="3" xfId="0" applyNumberFormat="1" applyFont="1" applyFill="1" applyBorder="1" applyAlignment="1" applyProtection="1"/>
    <xf numFmtId="168" fontId="11" fillId="0" borderId="3" xfId="0" applyNumberFormat="1" applyFont="1" applyFill="1" applyBorder="1" applyAlignment="1" applyProtection="1"/>
    <xf numFmtId="168" fontId="11" fillId="0" borderId="0" xfId="0" applyNumberFormat="1" applyFont="1" applyFill="1" applyBorder="1" applyAlignment="1" applyProtection="1"/>
    <xf numFmtId="0" fontId="11" fillId="0" borderId="0" xfId="2" applyNumberFormat="1" applyFont="1" applyFill="1" applyBorder="1" applyAlignment="1" applyProtection="1"/>
    <xf numFmtId="3" fontId="12" fillId="0" borderId="1" xfId="2" applyNumberFormat="1" applyFont="1" applyFill="1" applyBorder="1" applyAlignment="1" applyProtection="1">
      <alignment horizontal="center"/>
    </xf>
    <xf numFmtId="166" fontId="15" fillId="0" borderId="1" xfId="2" applyNumberFormat="1" applyFont="1" applyFill="1" applyBorder="1" applyAlignment="1">
      <alignment horizontal="right" vertical="center" wrapText="1"/>
    </xf>
    <xf numFmtId="165" fontId="11" fillId="2" borderId="1" xfId="2" applyNumberFormat="1" applyFont="1" applyFill="1" applyBorder="1" applyAlignment="1" applyProtection="1"/>
    <xf numFmtId="165" fontId="11" fillId="2" borderId="1" xfId="2" applyNumberFormat="1" applyFont="1" applyFill="1" applyBorder="1" applyAlignment="1">
      <alignment horizontal="right"/>
    </xf>
    <xf numFmtId="166" fontId="16" fillId="0" borderId="1" xfId="2" applyNumberFormat="1" applyFont="1" applyFill="1" applyBorder="1" applyAlignment="1">
      <alignment horizontal="right"/>
    </xf>
    <xf numFmtId="166" fontId="17" fillId="0" borderId="1" xfId="2" applyNumberFormat="1" applyFont="1" applyFill="1" applyBorder="1" applyAlignment="1">
      <alignment horizontal="right" vertical="center" wrapText="1"/>
    </xf>
    <xf numFmtId="0" fontId="13" fillId="0" borderId="1" xfId="2" applyNumberFormat="1" applyFont="1" applyFill="1" applyBorder="1" applyAlignment="1" applyProtection="1">
      <alignment horizontal="center"/>
    </xf>
    <xf numFmtId="0" fontId="13" fillId="0" borderId="1" xfId="2" applyNumberFormat="1" applyFont="1" applyFill="1" applyBorder="1" applyAlignment="1" applyProtection="1"/>
    <xf numFmtId="0" fontId="18" fillId="0" borderId="1" xfId="2" applyNumberFormat="1" applyFont="1" applyFill="1" applyBorder="1" applyAlignment="1" applyProtection="1">
      <alignment horizontal="center"/>
    </xf>
    <xf numFmtId="166" fontId="13" fillId="0" borderId="1" xfId="2" applyNumberFormat="1" applyFont="1" applyFill="1" applyBorder="1"/>
    <xf numFmtId="166" fontId="13" fillId="0" borderId="1" xfId="2" applyNumberFormat="1" applyFont="1" applyFill="1" applyBorder="1" applyAlignment="1" applyProtection="1">
      <alignment horizontal="right"/>
    </xf>
    <xf numFmtId="164" fontId="13" fillId="0" borderId="1" xfId="2" applyNumberFormat="1" applyFont="1" applyFill="1" applyBorder="1" applyAlignment="1" applyProtection="1">
      <alignment horizontal="center"/>
    </xf>
    <xf numFmtId="167" fontId="13" fillId="0" borderId="1" xfId="2" applyNumberFormat="1" applyFont="1" applyFill="1" applyBorder="1" applyAlignment="1" applyProtection="1">
      <alignment horizontal="center"/>
    </xf>
    <xf numFmtId="166" fontId="13" fillId="0" borderId="2" xfId="2" applyNumberFormat="1" applyFont="1" applyFill="1" applyBorder="1" applyAlignment="1">
      <alignment horizontal="right"/>
    </xf>
    <xf numFmtId="166" fontId="13" fillId="0" borderId="3" xfId="2" applyNumberFormat="1" applyFont="1" applyFill="1" applyBorder="1" applyAlignment="1">
      <alignment horizontal="right"/>
    </xf>
    <xf numFmtId="166" fontId="13" fillId="0" borderId="18" xfId="2" applyNumberFormat="1" applyFont="1" applyFill="1" applyBorder="1" applyAlignment="1">
      <alignment horizontal="right"/>
    </xf>
    <xf numFmtId="168" fontId="13" fillId="0" borderId="18" xfId="0" applyNumberFormat="1" applyFont="1" applyFill="1" applyBorder="1" applyAlignment="1" applyProtection="1"/>
    <xf numFmtId="168" fontId="13" fillId="0" borderId="3" xfId="0" applyNumberFormat="1" applyFont="1" applyFill="1" applyBorder="1" applyAlignment="1" applyProtection="1"/>
    <xf numFmtId="168" fontId="13" fillId="0" borderId="0" xfId="0" applyNumberFormat="1" applyFont="1" applyFill="1" applyBorder="1" applyAlignment="1" applyProtection="1"/>
    <xf numFmtId="0" fontId="13" fillId="0" borderId="0" xfId="2" applyNumberFormat="1" applyFont="1" applyFill="1" applyBorder="1" applyAlignment="1" applyProtection="1"/>
    <xf numFmtId="0" fontId="19" fillId="0" borderId="0" xfId="2" applyNumberFormat="1" applyFont="1" applyFill="1" applyBorder="1" applyAlignment="1" applyProtection="1">
      <alignment horizontal="center"/>
    </xf>
    <xf numFmtId="168" fontId="19" fillId="0" borderId="0" xfId="0" applyNumberFormat="1" applyFont="1" applyFill="1" applyBorder="1" applyAlignment="1" applyProtection="1">
      <alignment horizontal="center"/>
    </xf>
    <xf numFmtId="0" fontId="20" fillId="0" borderId="0" xfId="2" applyNumberFormat="1" applyFont="1" applyFill="1" applyBorder="1" applyAlignment="1" applyProtection="1">
      <alignment horizontal="center"/>
    </xf>
    <xf numFmtId="0" fontId="21" fillId="0" borderId="0" xfId="2" applyNumberFormat="1" applyFont="1" applyFill="1" applyBorder="1" applyAlignment="1" applyProtection="1"/>
    <xf numFmtId="169" fontId="22" fillId="0" borderId="0" xfId="1" applyNumberFormat="1" applyFont="1" applyFill="1" applyBorder="1" applyAlignment="1">
      <alignment wrapText="1"/>
    </xf>
    <xf numFmtId="2" fontId="22" fillId="0" borderId="0" xfId="1" applyNumberFormat="1" applyFont="1" applyFill="1" applyBorder="1" applyAlignment="1">
      <alignment wrapText="1"/>
    </xf>
    <xf numFmtId="168" fontId="23" fillId="0" borderId="0" xfId="0" applyNumberFormat="1" applyFont="1" applyFill="1" applyBorder="1" applyAlignment="1" applyProtection="1"/>
    <xf numFmtId="0" fontId="24" fillId="0" borderId="0" xfId="2" applyNumberFormat="1" applyFont="1" applyFill="1" applyBorder="1" applyAlignment="1" applyProtection="1">
      <alignment horizontal="center"/>
    </xf>
    <xf numFmtId="170" fontId="25" fillId="0" borderId="0" xfId="0" applyNumberFormat="1" applyFont="1" applyFill="1" applyBorder="1" applyAlignment="1" applyProtection="1"/>
    <xf numFmtId="168" fontId="25" fillId="0" borderId="0" xfId="0" applyNumberFormat="1" applyFont="1" applyFill="1" applyBorder="1" applyAlignment="1" applyProtection="1"/>
    <xf numFmtId="0" fontId="26" fillId="0" borderId="0" xfId="2" applyNumberFormat="1" applyFont="1" applyFill="1" applyBorder="1" applyAlignment="1" applyProtection="1">
      <alignment horizontal="center"/>
    </xf>
    <xf numFmtId="0" fontId="27" fillId="0" borderId="0" xfId="2" applyNumberFormat="1" applyFont="1" applyFill="1" applyBorder="1" applyAlignment="1" applyProtection="1"/>
    <xf numFmtId="0" fontId="18" fillId="0" borderId="0" xfId="2" applyNumberFormat="1" applyFont="1" applyFill="1" applyBorder="1" applyAlignment="1" applyProtection="1">
      <alignment horizontal="center"/>
    </xf>
    <xf numFmtId="0" fontId="11" fillId="0" borderId="0" xfId="2" applyNumberFormat="1" applyFont="1" applyFill="1" applyBorder="1" applyAlignment="1" applyProtection="1">
      <alignment horizontal="center"/>
    </xf>
    <xf numFmtId="171" fontId="26" fillId="0" borderId="0" xfId="2" applyNumberFormat="1" applyFont="1" applyFill="1" applyBorder="1" applyAlignment="1" applyProtection="1">
      <alignment horizontal="center"/>
    </xf>
    <xf numFmtId="0" fontId="28" fillId="0" borderId="1" xfId="2" applyNumberFormat="1" applyFont="1" applyFill="1" applyBorder="1" applyAlignment="1" applyProtection="1">
      <alignment horizontal="left"/>
    </xf>
    <xf numFmtId="0" fontId="28" fillId="0" borderId="1" xfId="2" applyNumberFormat="1" applyFont="1" applyFill="1" applyBorder="1" applyAlignment="1" applyProtection="1">
      <alignment horizontal="center"/>
    </xf>
    <xf numFmtId="0" fontId="2" fillId="0" borderId="1" xfId="2" applyNumberFormat="1" applyFont="1" applyFill="1" applyBorder="1" applyAlignment="1" applyProtection="1"/>
    <xf numFmtId="0" fontId="2" fillId="0" borderId="3" xfId="2" applyNumberFormat="1" applyFont="1" applyFill="1" applyBorder="1" applyAlignment="1" applyProtection="1">
      <alignment horizontal="left" vertical="center"/>
    </xf>
    <xf numFmtId="0" fontId="2" fillId="0" borderId="3" xfId="2" applyNumberFormat="1" applyFont="1" applyFill="1" applyBorder="1" applyAlignment="1" applyProtection="1">
      <alignment horizontal="right" vertical="center"/>
    </xf>
    <xf numFmtId="166" fontId="2" fillId="0" borderId="19" xfId="2" applyNumberFormat="1" applyFont="1" applyFill="1" applyBorder="1" applyAlignment="1">
      <alignment vertical="center" wrapText="1"/>
    </xf>
    <xf numFmtId="166" fontId="29" fillId="0" borderId="19" xfId="2" applyNumberFormat="1" applyFont="1" applyFill="1" applyBorder="1" applyAlignment="1">
      <alignment vertical="center" wrapText="1"/>
    </xf>
    <xf numFmtId="1" fontId="2" fillId="0" borderId="0" xfId="2" applyNumberFormat="1" applyFont="1" applyFill="1" applyBorder="1" applyAlignment="1" applyProtection="1"/>
    <xf numFmtId="172" fontId="2" fillId="0" borderId="19" xfId="2" applyNumberFormat="1" applyFont="1" applyFill="1" applyBorder="1" applyAlignment="1">
      <alignment vertical="center" wrapText="1"/>
    </xf>
    <xf numFmtId="172" fontId="29" fillId="0" borderId="19" xfId="2" applyNumberFormat="1" applyFont="1" applyFill="1" applyBorder="1" applyAlignment="1">
      <alignment vertical="center" wrapText="1"/>
    </xf>
    <xf numFmtId="169" fontId="2" fillId="0" borderId="0" xfId="1" applyNumberFormat="1" applyFont="1" applyFill="1" applyBorder="1" applyAlignment="1" applyProtection="1"/>
    <xf numFmtId="174" fontId="28" fillId="0" borderId="0" xfId="3" applyNumberFormat="1" applyFont="1" applyFill="1" applyBorder="1"/>
    <xf numFmtId="166" fontId="2" fillId="0" borderId="0" xfId="2" applyNumberFormat="1" applyFont="1" applyFill="1" applyBorder="1" applyAlignment="1" applyProtection="1"/>
    <xf numFmtId="171" fontId="2" fillId="0" borderId="0" xfId="2" applyNumberFormat="1" applyFont="1" applyFill="1" applyBorder="1" applyAlignment="1" applyProtection="1"/>
    <xf numFmtId="0" fontId="28" fillId="0" borderId="0" xfId="2" applyNumberFormat="1" applyFont="1" applyFill="1" applyBorder="1" applyAlignment="1" applyProtection="1">
      <alignment horizontal="center"/>
    </xf>
    <xf numFmtId="0" fontId="2" fillId="0" borderId="3" xfId="2" applyNumberFormat="1" applyFont="1" applyFill="1" applyBorder="1" applyAlignment="1" applyProtection="1">
      <alignment horizontal="right" vertical="center" wrapText="1"/>
    </xf>
    <xf numFmtId="171" fontId="18" fillId="0" borderId="0" xfId="2" applyNumberFormat="1" applyFont="1" applyFill="1" applyBorder="1" applyAlignment="1" applyProtection="1">
      <alignment horizontal="center"/>
    </xf>
    <xf numFmtId="0" fontId="30" fillId="0" borderId="0" xfId="2" applyNumberFormat="1" applyFont="1" applyFill="1" applyBorder="1" applyAlignment="1" applyProtection="1"/>
    <xf numFmtId="43" fontId="31" fillId="0" borderId="0" xfId="2" applyNumberFormat="1" applyFont="1" applyFill="1" applyBorder="1" applyAlignment="1" applyProtection="1">
      <alignment horizontal="center"/>
    </xf>
    <xf numFmtId="171" fontId="29" fillId="0" borderId="0" xfId="2" applyNumberFormat="1" applyFont="1" applyFill="1" applyBorder="1" applyAlignment="1" applyProtection="1"/>
    <xf numFmtId="4" fontId="31" fillId="0" borderId="0" xfId="2" applyNumberFormat="1" applyFont="1" applyFill="1" applyBorder="1" applyAlignment="1" applyProtection="1">
      <alignment horizontal="center"/>
    </xf>
    <xf numFmtId="0" fontId="32" fillId="0" borderId="0" xfId="2" applyNumberFormat="1" applyFont="1" applyFill="1" applyBorder="1" applyAlignment="1" applyProtection="1">
      <alignment horizontal="center"/>
    </xf>
    <xf numFmtId="0" fontId="33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right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1" fontId="4" fillId="0" borderId="8" xfId="2" applyNumberFormat="1" applyFont="1" applyFill="1" applyBorder="1" applyAlignment="1" applyProtection="1">
      <alignment horizontal="center" vertical="top" wrapText="1"/>
    </xf>
    <xf numFmtId="1" fontId="4" fillId="0" borderId="12" xfId="2" applyNumberFormat="1" applyFont="1" applyFill="1" applyBorder="1" applyAlignment="1" applyProtection="1">
      <alignment horizontal="center" vertical="top" wrapText="1"/>
    </xf>
    <xf numFmtId="1" fontId="4" fillId="0" borderId="9" xfId="2" applyNumberFormat="1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7" fillId="0" borderId="3" xfId="2" applyNumberFormat="1" applyFont="1" applyFill="1" applyBorder="1" applyAlignment="1" applyProtection="1">
      <alignment horizontal="center" vertical="center" wrapText="1"/>
    </xf>
    <xf numFmtId="0" fontId="7" fillId="0" borderId="4" xfId="2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2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top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2" fillId="0" borderId="6" xfId="2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8" fillId="0" borderId="15" xfId="2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</cellXfs>
  <cellStyles count="409">
    <cellStyle name="Excel Built-in Normal" xfId="4"/>
    <cellStyle name="Заголовок 1 2" xfId="5"/>
    <cellStyle name="Заголовок 2 2" xfId="6"/>
    <cellStyle name="Обычный" xfId="0" builtinId="0"/>
    <cellStyle name="Обычный 10" xfId="7"/>
    <cellStyle name="Обычный 10 2" xfId="8"/>
    <cellStyle name="Обычный 10 2 2" xfId="9"/>
    <cellStyle name="Обычный 10 2 2 2" xfId="10"/>
    <cellStyle name="Обычный 10 2 3" xfId="11"/>
    <cellStyle name="Обычный 10 3" xfId="12"/>
    <cellStyle name="Обычный 10 3 2" xfId="13"/>
    <cellStyle name="Обычный 11" xfId="14"/>
    <cellStyle name="Обычный 11 2" xfId="15"/>
    <cellStyle name="Обычный 12" xfId="16"/>
    <cellStyle name="Обычный 12 2" xfId="2"/>
    <cellStyle name="Обычный 13" xfId="17"/>
    <cellStyle name="Обычный 13 2" xfId="18"/>
    <cellStyle name="Обычный 14" xfId="19"/>
    <cellStyle name="Обычный 14 2" xfId="20"/>
    <cellStyle name="Обычный 15" xfId="21"/>
    <cellStyle name="Обычный 15 2" xfId="22"/>
    <cellStyle name="Обычный 16" xfId="23"/>
    <cellStyle name="Обычный 16 2" xfId="24"/>
    <cellStyle name="Обычный 17" xfId="25"/>
    <cellStyle name="Обычный 17 2" xfId="26"/>
    <cellStyle name="Обычный 18" xfId="27"/>
    <cellStyle name="Обычный 18 2" xfId="28"/>
    <cellStyle name="Обычный 19" xfId="29"/>
    <cellStyle name="Обычный 19 2" xfId="30"/>
    <cellStyle name="Обычный 2" xfId="31"/>
    <cellStyle name="Обычный 2 2" xfId="32"/>
    <cellStyle name="Обычный 2 2 2" xfId="33"/>
    <cellStyle name="Обычный 2 2 2 2" xfId="34"/>
    <cellStyle name="Обычный 2 2 3" xfId="35"/>
    <cellStyle name="Обычный 2 2 3 2" xfId="36"/>
    <cellStyle name="Обычный 2 2 4" xfId="37"/>
    <cellStyle name="Обычный 2 3" xfId="38"/>
    <cellStyle name="Обычный 2 3 2" xfId="39"/>
    <cellStyle name="Обычный 2 4" xfId="40"/>
    <cellStyle name="Обычный 2 4 2" xfId="41"/>
    <cellStyle name="Обычный 2 5" xfId="42"/>
    <cellStyle name="Обычный 2_Расчет норматива" xfId="43"/>
    <cellStyle name="Обычный 20" xfId="44"/>
    <cellStyle name="Обычный 20 2" xfId="45"/>
    <cellStyle name="Обычный 21" xfId="46"/>
    <cellStyle name="Обычный 22" xfId="47"/>
    <cellStyle name="Обычный 23" xfId="48"/>
    <cellStyle name="Обычный 24" xfId="49"/>
    <cellStyle name="Обычный 25" xfId="50"/>
    <cellStyle name="Обычный 26" xfId="51"/>
    <cellStyle name="Обычный 27" xfId="52"/>
    <cellStyle name="Обычный 3" xfId="53"/>
    <cellStyle name="Обычный 3 2" xfId="54"/>
    <cellStyle name="Обычный 3 2 2" xfId="55"/>
    <cellStyle name="Обычный 3 3" xfId="56"/>
    <cellStyle name="Обычный 3 3 2" xfId="57"/>
    <cellStyle name="Обычный 3 4" xfId="58"/>
    <cellStyle name="Обычный 4" xfId="59"/>
    <cellStyle name="Обычный 4 2" xfId="60"/>
    <cellStyle name="Обычный 4 2 2" xfId="61"/>
    <cellStyle name="Обычный 4 3" xfId="62"/>
    <cellStyle name="Обычный 5" xfId="63"/>
    <cellStyle name="Обычный 5 2" xfId="64"/>
    <cellStyle name="Обычный 5 2 2" xfId="65"/>
    <cellStyle name="Обычный 5 3" xfId="66"/>
    <cellStyle name="Обычный 5 4" xfId="67"/>
    <cellStyle name="Обычный 6" xfId="68"/>
    <cellStyle name="Обычный 6 2" xfId="69"/>
    <cellStyle name="Обычный 6 2 2" xfId="70"/>
    <cellStyle name="Обычный 6 3" xfId="71"/>
    <cellStyle name="Обычный 7" xfId="72"/>
    <cellStyle name="Обычный 7 2" xfId="73"/>
    <cellStyle name="Обычный 7 2 2" xfId="74"/>
    <cellStyle name="Обычный 7 3" xfId="75"/>
    <cellStyle name="Обычный 8" xfId="76"/>
    <cellStyle name="Обычный 8 2" xfId="77"/>
    <cellStyle name="Обычный 8 2 2" xfId="78"/>
    <cellStyle name="Обычный 8 2 2 2" xfId="79"/>
    <cellStyle name="Обычный 8 2 3" xfId="80"/>
    <cellStyle name="Обычный 8 3" xfId="81"/>
    <cellStyle name="Обычный 8 3 2" xfId="82"/>
    <cellStyle name="Обычный 9" xfId="83"/>
    <cellStyle name="Обычный 9 2" xfId="84"/>
    <cellStyle name="Обычный 9 2 2" xfId="85"/>
    <cellStyle name="Обычный 9 2 2 2" xfId="86"/>
    <cellStyle name="Обычный 9 2 3" xfId="87"/>
    <cellStyle name="Обычный 9 3" xfId="88"/>
    <cellStyle name="Обычный 9 3 2" xfId="89"/>
    <cellStyle name="Процентный" xfId="1" builtinId="5"/>
    <cellStyle name="Процентный 10" xfId="90"/>
    <cellStyle name="Процентный 10 2" xfId="91"/>
    <cellStyle name="Процентный 11" xfId="92"/>
    <cellStyle name="Процентный 11 2" xfId="93"/>
    <cellStyle name="Процентный 12" xfId="94"/>
    <cellStyle name="Процентный 13" xfId="95"/>
    <cellStyle name="Процентный 14" xfId="96"/>
    <cellStyle name="Процентный 15" xfId="97"/>
    <cellStyle name="Процентный 2" xfId="98"/>
    <cellStyle name="Процентный 2 10" xfId="99"/>
    <cellStyle name="Процентный 2 11" xfId="100"/>
    <cellStyle name="Процентный 2 2" xfId="101"/>
    <cellStyle name="Процентный 2 2 2" xfId="102"/>
    <cellStyle name="Процентный 2 2 2 2" xfId="103"/>
    <cellStyle name="Процентный 2 2 3" xfId="104"/>
    <cellStyle name="Процентный 2 2_Школы" xfId="105"/>
    <cellStyle name="Процентный 2 3" xfId="106"/>
    <cellStyle name="Процентный 2 3 2" xfId="107"/>
    <cellStyle name="Процентный 2 4" xfId="108"/>
    <cellStyle name="Процентный 2 4 2" xfId="109"/>
    <cellStyle name="Процентный 2 5" xfId="110"/>
    <cellStyle name="Процентный 2 5 2" xfId="111"/>
    <cellStyle name="Процентный 2 6" xfId="112"/>
    <cellStyle name="Процентный 2 6 2" xfId="113"/>
    <cellStyle name="Процентный 2 7" xfId="114"/>
    <cellStyle name="Процентный 2 7 2" xfId="115"/>
    <cellStyle name="Процентный 2 8" xfId="116"/>
    <cellStyle name="Процентный 2 9" xfId="117"/>
    <cellStyle name="Процентный 2_Школы" xfId="118"/>
    <cellStyle name="Процентный 3" xfId="119"/>
    <cellStyle name="Процентный 3 10" xfId="120"/>
    <cellStyle name="Процентный 3 11" xfId="121"/>
    <cellStyle name="Процентный 3 2" xfId="122"/>
    <cellStyle name="Процентный 3 2 10" xfId="123"/>
    <cellStyle name="Процентный 3 2 2" xfId="124"/>
    <cellStyle name="Процентный 3 2 2 2" xfId="125"/>
    <cellStyle name="Процентный 3 2 2 2 2" xfId="126"/>
    <cellStyle name="Процентный 3 2 2 3" xfId="127"/>
    <cellStyle name="Процентный 3 2 2_Школы" xfId="128"/>
    <cellStyle name="Процентный 3 2 3" xfId="129"/>
    <cellStyle name="Процентный 3 2 3 2" xfId="130"/>
    <cellStyle name="Процентный 3 2 4" xfId="131"/>
    <cellStyle name="Процентный 3 2 4 2" xfId="132"/>
    <cellStyle name="Процентный 3 2 5" xfId="133"/>
    <cellStyle name="Процентный 3 2 5 2" xfId="134"/>
    <cellStyle name="Процентный 3 2 6" xfId="135"/>
    <cellStyle name="Процентный 3 2 6 2" xfId="136"/>
    <cellStyle name="Процентный 3 2 7" xfId="137"/>
    <cellStyle name="Процентный 3 2 8" xfId="138"/>
    <cellStyle name="Процентный 3 2 9" xfId="139"/>
    <cellStyle name="Процентный 3 2_Школы" xfId="140"/>
    <cellStyle name="Процентный 3 3" xfId="141"/>
    <cellStyle name="Процентный 3 3 10" xfId="142"/>
    <cellStyle name="Процентный 3 3 2" xfId="143"/>
    <cellStyle name="Процентный 3 3 2 2" xfId="144"/>
    <cellStyle name="Процентный 3 3 2 2 2" xfId="145"/>
    <cellStyle name="Процентный 3 3 2 3" xfId="146"/>
    <cellStyle name="Процентный 3 3 2_Школы" xfId="147"/>
    <cellStyle name="Процентный 3 3 3" xfId="148"/>
    <cellStyle name="Процентный 3 3 3 2" xfId="149"/>
    <cellStyle name="Процентный 3 3 4" xfId="150"/>
    <cellStyle name="Процентный 3 3 4 2" xfId="151"/>
    <cellStyle name="Процентный 3 3 5" xfId="152"/>
    <cellStyle name="Процентный 3 3 5 2" xfId="153"/>
    <cellStyle name="Процентный 3 3 6" xfId="154"/>
    <cellStyle name="Процентный 3 3 6 2" xfId="155"/>
    <cellStyle name="Процентный 3 3 7" xfId="156"/>
    <cellStyle name="Процентный 3 3 8" xfId="157"/>
    <cellStyle name="Процентный 3 3 9" xfId="158"/>
    <cellStyle name="Процентный 3 3_Школы" xfId="159"/>
    <cellStyle name="Процентный 3 4" xfId="160"/>
    <cellStyle name="Процентный 3 4 10" xfId="161"/>
    <cellStyle name="Процентный 3 4 2" xfId="162"/>
    <cellStyle name="Процентный 3 4 2 2" xfId="163"/>
    <cellStyle name="Процентный 3 4 2 2 2" xfId="164"/>
    <cellStyle name="Процентный 3 4 2 3" xfId="165"/>
    <cellStyle name="Процентный 3 4 2_Школы" xfId="166"/>
    <cellStyle name="Процентный 3 4 3" xfId="167"/>
    <cellStyle name="Процентный 3 4 3 2" xfId="168"/>
    <cellStyle name="Процентный 3 4 4" xfId="169"/>
    <cellStyle name="Процентный 3 4 5" xfId="170"/>
    <cellStyle name="Процентный 3 4 6" xfId="171"/>
    <cellStyle name="Процентный 3 4 7" xfId="172"/>
    <cellStyle name="Процентный 3 4 8" xfId="173"/>
    <cellStyle name="Процентный 3 4 9" xfId="174"/>
    <cellStyle name="Процентный 3 4_Школы" xfId="175"/>
    <cellStyle name="Процентный 3 5" xfId="176"/>
    <cellStyle name="Процентный 3 5 2" xfId="177"/>
    <cellStyle name="Процентный 3 5 2 2" xfId="178"/>
    <cellStyle name="Процентный 3 5 3" xfId="179"/>
    <cellStyle name="Процентный 3 5_Школы" xfId="180"/>
    <cellStyle name="Процентный 3 6" xfId="181"/>
    <cellStyle name="Процентный 3 6 2" xfId="182"/>
    <cellStyle name="Процентный 3 7" xfId="183"/>
    <cellStyle name="Процентный 3 7 2" xfId="184"/>
    <cellStyle name="Процентный 3 8" xfId="185"/>
    <cellStyle name="Процентный 3 8 2" xfId="186"/>
    <cellStyle name="Процентный 3 9" xfId="187"/>
    <cellStyle name="Процентный 3 9 2" xfId="188"/>
    <cellStyle name="Процентный 3_Школы" xfId="189"/>
    <cellStyle name="Процентный 4" xfId="190"/>
    <cellStyle name="Процентный 4 10" xfId="191"/>
    <cellStyle name="Процентный 4 2" xfId="192"/>
    <cellStyle name="Процентный 4 2 2" xfId="193"/>
    <cellStyle name="Процентный 4 2 2 2" xfId="194"/>
    <cellStyle name="Процентный 4 2 3" xfId="195"/>
    <cellStyle name="Процентный 4 2_Школы" xfId="196"/>
    <cellStyle name="Процентный 4 3" xfId="197"/>
    <cellStyle name="Процентный 4 3 2" xfId="198"/>
    <cellStyle name="Процентный 4 4" xfId="199"/>
    <cellStyle name="Процентный 4 4 2" xfId="200"/>
    <cellStyle name="Процентный 4 5" xfId="201"/>
    <cellStyle name="Процентный 4 5 2" xfId="202"/>
    <cellStyle name="Процентный 4 6" xfId="203"/>
    <cellStyle name="Процентный 4 6 2" xfId="204"/>
    <cellStyle name="Процентный 4 7" xfId="205"/>
    <cellStyle name="Процентный 4 8" xfId="206"/>
    <cellStyle name="Процентный 4 9" xfId="207"/>
    <cellStyle name="Процентный 4_Школы" xfId="208"/>
    <cellStyle name="Процентный 5" xfId="209"/>
    <cellStyle name="Процентный 5 2" xfId="210"/>
    <cellStyle name="Процентный 5 2 2" xfId="211"/>
    <cellStyle name="Процентный 5 3" xfId="212"/>
    <cellStyle name="Процентный 5_Школы" xfId="213"/>
    <cellStyle name="Процентный 6" xfId="214"/>
    <cellStyle name="Процентный 6 2" xfId="215"/>
    <cellStyle name="Процентный 6 2 2" xfId="216"/>
    <cellStyle name="Процентный 6 3" xfId="217"/>
    <cellStyle name="Процентный 7" xfId="218"/>
    <cellStyle name="Процентный 7 2" xfId="219"/>
    <cellStyle name="Процентный 8" xfId="220"/>
    <cellStyle name="Процентный 8 2" xfId="221"/>
    <cellStyle name="Процентный 9" xfId="222"/>
    <cellStyle name="Процентный 9 2" xfId="223"/>
    <cellStyle name="Таб: +|-" xfId="224"/>
    <cellStyle name="Таб: Графа" xfId="225"/>
    <cellStyle name="Таб: Номер" xfId="226"/>
    <cellStyle name="Финансовый 10" xfId="227"/>
    <cellStyle name="Финансовый 10 2" xfId="228"/>
    <cellStyle name="Финансовый 11" xfId="229"/>
    <cellStyle name="Финансовый 11 2" xfId="230"/>
    <cellStyle name="Финансовый 12" xfId="231"/>
    <cellStyle name="Финансовый 12 2" xfId="232"/>
    <cellStyle name="Финансовый 13" xfId="3"/>
    <cellStyle name="Финансовый 14" xfId="233"/>
    <cellStyle name="Финансовый 15" xfId="234"/>
    <cellStyle name="Финансовый 16" xfId="235"/>
    <cellStyle name="Финансовый 17" xfId="236"/>
    <cellStyle name="Финансовый 2" xfId="237"/>
    <cellStyle name="Финансовый 2 10" xfId="238"/>
    <cellStyle name="Финансовый 2 11" xfId="239"/>
    <cellStyle name="Финансовый 2 12" xfId="240"/>
    <cellStyle name="Финансовый 2 2" xfId="241"/>
    <cellStyle name="Финансовый 2 2 10" xfId="242"/>
    <cellStyle name="Финансовый 2 2 11" xfId="243"/>
    <cellStyle name="Финансовый 2 2 2" xfId="244"/>
    <cellStyle name="Финансовый 2 2 2 2" xfId="245"/>
    <cellStyle name="Финансовый 2 2 2 2 2" xfId="246"/>
    <cellStyle name="Финансовый 2 2 2 3" xfId="247"/>
    <cellStyle name="Финансовый 2 2 2_Школы" xfId="248"/>
    <cellStyle name="Финансовый 2 2 3" xfId="249"/>
    <cellStyle name="Финансовый 2 2 3 2" xfId="250"/>
    <cellStyle name="Финансовый 2 2 4" xfId="251"/>
    <cellStyle name="Финансовый 2 2 4 2" xfId="252"/>
    <cellStyle name="Финансовый 2 2 5" xfId="253"/>
    <cellStyle name="Финансовый 2 2 5 2" xfId="254"/>
    <cellStyle name="Финансовый 2 2 6" xfId="255"/>
    <cellStyle name="Финансовый 2 2 6 2" xfId="256"/>
    <cellStyle name="Финансовый 2 2 7" xfId="257"/>
    <cellStyle name="Финансовый 2 2 8" xfId="258"/>
    <cellStyle name="Финансовый 2 2 9" xfId="259"/>
    <cellStyle name="Финансовый 2 2_Школы" xfId="260"/>
    <cellStyle name="Финансовый 2 3" xfId="261"/>
    <cellStyle name="Финансовый 2 3 2" xfId="262"/>
    <cellStyle name="Финансовый 2 3 2 2" xfId="263"/>
    <cellStyle name="Финансовый 2 3 3" xfId="264"/>
    <cellStyle name="Финансовый 2 3_Школы" xfId="265"/>
    <cellStyle name="Финансовый 2 4" xfId="266"/>
    <cellStyle name="Финансовый 2 4 2" xfId="267"/>
    <cellStyle name="Финансовый 2 5" xfId="268"/>
    <cellStyle name="Финансовый 2 5 2" xfId="269"/>
    <cellStyle name="Финансовый 2 6" xfId="270"/>
    <cellStyle name="Финансовый 2 6 2" xfId="271"/>
    <cellStyle name="Финансовый 2 7" xfId="272"/>
    <cellStyle name="Финансовый 2 7 2" xfId="273"/>
    <cellStyle name="Финансовый 2 8" xfId="274"/>
    <cellStyle name="Финансовый 2 8 2" xfId="275"/>
    <cellStyle name="Финансовый 2 9" xfId="276"/>
    <cellStyle name="Финансовый 2_Школы" xfId="277"/>
    <cellStyle name="Финансовый 3" xfId="278"/>
    <cellStyle name="Финансовый 3 10" xfId="279"/>
    <cellStyle name="Финансовый 3 11" xfId="280"/>
    <cellStyle name="Финансовый 3 2" xfId="281"/>
    <cellStyle name="Финансовый 3 2 2" xfId="282"/>
    <cellStyle name="Финансовый 3 2 2 2" xfId="283"/>
    <cellStyle name="Финансовый 3 2 3" xfId="284"/>
    <cellStyle name="Финансовый 3 2_Школы" xfId="285"/>
    <cellStyle name="Финансовый 3 3" xfId="286"/>
    <cellStyle name="Финансовый 3 3 2" xfId="287"/>
    <cellStyle name="Финансовый 3 4" xfId="288"/>
    <cellStyle name="Финансовый 3 4 2" xfId="289"/>
    <cellStyle name="Финансовый 3 5" xfId="290"/>
    <cellStyle name="Финансовый 3 5 2" xfId="291"/>
    <cellStyle name="Финансовый 3 6" xfId="292"/>
    <cellStyle name="Финансовый 3 6 2" xfId="293"/>
    <cellStyle name="Финансовый 3 7" xfId="294"/>
    <cellStyle name="Финансовый 3 8" xfId="295"/>
    <cellStyle name="Финансовый 3 9" xfId="296"/>
    <cellStyle name="Финансовый 3_Школы" xfId="297"/>
    <cellStyle name="Финансовый 4" xfId="298"/>
    <cellStyle name="Финансовый 4 10" xfId="299"/>
    <cellStyle name="Финансовый 4 11" xfId="300"/>
    <cellStyle name="Финансовый 4 2" xfId="301"/>
    <cellStyle name="Финансовый 4 2 10" xfId="302"/>
    <cellStyle name="Финансовый 4 2 2" xfId="303"/>
    <cellStyle name="Финансовый 4 2 2 2" xfId="304"/>
    <cellStyle name="Финансовый 4 2 2 2 2" xfId="305"/>
    <cellStyle name="Финансовый 4 2 2 3" xfId="306"/>
    <cellStyle name="Финансовый 4 2 2_Школы" xfId="307"/>
    <cellStyle name="Финансовый 4 2 3" xfId="308"/>
    <cellStyle name="Финансовый 4 2 3 2" xfId="309"/>
    <cellStyle name="Финансовый 4 2 4" xfId="310"/>
    <cellStyle name="Финансовый 4 2 4 2" xfId="311"/>
    <cellStyle name="Финансовый 4 2 5" xfId="312"/>
    <cellStyle name="Финансовый 4 2 5 2" xfId="313"/>
    <cellStyle name="Финансовый 4 2 6" xfId="314"/>
    <cellStyle name="Финансовый 4 2 6 2" xfId="315"/>
    <cellStyle name="Финансовый 4 2 7" xfId="316"/>
    <cellStyle name="Финансовый 4 2 8" xfId="317"/>
    <cellStyle name="Финансовый 4 2 9" xfId="318"/>
    <cellStyle name="Финансовый 4 2_Школы" xfId="319"/>
    <cellStyle name="Финансовый 4 3" xfId="320"/>
    <cellStyle name="Финансовый 4 3 10" xfId="321"/>
    <cellStyle name="Финансовый 4 3 2" xfId="322"/>
    <cellStyle name="Финансовый 4 3 2 2" xfId="323"/>
    <cellStyle name="Финансовый 4 3 2 2 2" xfId="324"/>
    <cellStyle name="Финансовый 4 3 2 3" xfId="325"/>
    <cellStyle name="Финансовый 4 3 2_Школы" xfId="326"/>
    <cellStyle name="Финансовый 4 3 3" xfId="327"/>
    <cellStyle name="Финансовый 4 3 3 2" xfId="328"/>
    <cellStyle name="Финансовый 4 3 4" xfId="329"/>
    <cellStyle name="Финансовый 4 3 4 2" xfId="330"/>
    <cellStyle name="Финансовый 4 3 5" xfId="331"/>
    <cellStyle name="Финансовый 4 3 5 2" xfId="332"/>
    <cellStyle name="Финансовый 4 3 6" xfId="333"/>
    <cellStyle name="Финансовый 4 3 6 2" xfId="334"/>
    <cellStyle name="Финансовый 4 3 7" xfId="335"/>
    <cellStyle name="Финансовый 4 3 8" xfId="336"/>
    <cellStyle name="Финансовый 4 3 9" xfId="337"/>
    <cellStyle name="Финансовый 4 3_Школы" xfId="338"/>
    <cellStyle name="Финансовый 4 4" xfId="339"/>
    <cellStyle name="Финансовый 4 4 10" xfId="340"/>
    <cellStyle name="Финансовый 4 4 2" xfId="341"/>
    <cellStyle name="Финансовый 4 4 2 2" xfId="342"/>
    <cellStyle name="Финансовый 4 4 2 2 2" xfId="343"/>
    <cellStyle name="Финансовый 4 4 2 3" xfId="344"/>
    <cellStyle name="Финансовый 4 4 2_Школы" xfId="345"/>
    <cellStyle name="Финансовый 4 4 3" xfId="346"/>
    <cellStyle name="Финансовый 4 4 3 2" xfId="347"/>
    <cellStyle name="Финансовый 4 4 4" xfId="348"/>
    <cellStyle name="Финансовый 4 4 4 2" xfId="349"/>
    <cellStyle name="Финансовый 4 4 5" xfId="350"/>
    <cellStyle name="Финансовый 4 4 6" xfId="351"/>
    <cellStyle name="Финансовый 4 4 7" xfId="352"/>
    <cellStyle name="Финансовый 4 4 8" xfId="353"/>
    <cellStyle name="Финансовый 4 4 9" xfId="354"/>
    <cellStyle name="Финансовый 4 4_Школы" xfId="355"/>
    <cellStyle name="Финансовый 4 5" xfId="356"/>
    <cellStyle name="Финансовый 4 5 2" xfId="357"/>
    <cellStyle name="Финансовый 4 5 2 2" xfId="358"/>
    <cellStyle name="Финансовый 4 5 3" xfId="359"/>
    <cellStyle name="Финансовый 4 5_Школы" xfId="360"/>
    <cellStyle name="Финансовый 4 6" xfId="361"/>
    <cellStyle name="Финансовый 4 6 2" xfId="362"/>
    <cellStyle name="Финансовый 4 7" xfId="363"/>
    <cellStyle name="Финансовый 4 7 2" xfId="364"/>
    <cellStyle name="Финансовый 4 8" xfId="365"/>
    <cellStyle name="Финансовый 4 8 2" xfId="366"/>
    <cellStyle name="Финансовый 4 9" xfId="367"/>
    <cellStyle name="Финансовый 4 9 2" xfId="368"/>
    <cellStyle name="Финансовый 4_Школы" xfId="369"/>
    <cellStyle name="Финансовый 5" xfId="370"/>
    <cellStyle name="Финансовый 5 10" xfId="371"/>
    <cellStyle name="Финансовый 5 11" xfId="372"/>
    <cellStyle name="Финансовый 5 2" xfId="373"/>
    <cellStyle name="Финансовый 5 2 2" xfId="374"/>
    <cellStyle name="Финансовый 5 2 2 2" xfId="375"/>
    <cellStyle name="Финансовый 5 2 3" xfId="376"/>
    <cellStyle name="Финансовый 5 2_Школы" xfId="377"/>
    <cellStyle name="Финансовый 5 3" xfId="378"/>
    <cellStyle name="Финансовый 5 3 2" xfId="379"/>
    <cellStyle name="Финансовый 5 4" xfId="380"/>
    <cellStyle name="Финансовый 5 4 2" xfId="381"/>
    <cellStyle name="Финансовый 5 5" xfId="382"/>
    <cellStyle name="Финансовый 5 5 2" xfId="383"/>
    <cellStyle name="Финансовый 5 6" xfId="384"/>
    <cellStyle name="Финансовый 5 6 2" xfId="385"/>
    <cellStyle name="Финансовый 5 7" xfId="386"/>
    <cellStyle name="Финансовый 5 7 2" xfId="387"/>
    <cellStyle name="Финансовый 5 8" xfId="388"/>
    <cellStyle name="Финансовый 5 9" xfId="389"/>
    <cellStyle name="Финансовый 5_Школы" xfId="390"/>
    <cellStyle name="Финансовый 6" xfId="391"/>
    <cellStyle name="Финансовый 6 2" xfId="392"/>
    <cellStyle name="Финансовый 6 2 2" xfId="393"/>
    <cellStyle name="Финансовый 6 3" xfId="394"/>
    <cellStyle name="Финансовый 6 4" xfId="395"/>
    <cellStyle name="Финансовый 6_Школы" xfId="396"/>
    <cellStyle name="Финансовый 7" xfId="397"/>
    <cellStyle name="Финансовый 7 2" xfId="398"/>
    <cellStyle name="Финансовый 7 2 2" xfId="399"/>
    <cellStyle name="Финансовый 7 3" xfId="400"/>
    <cellStyle name="Финансовый 7 3 2" xfId="401"/>
    <cellStyle name="Финансовый 7 4" xfId="402"/>
    <cellStyle name="Финансовый 7 4 2" xfId="403"/>
    <cellStyle name="Финансовый 7 5" xfId="404"/>
    <cellStyle name="Финансовый 8" xfId="405"/>
    <cellStyle name="Финансовый 8 2" xfId="406"/>
    <cellStyle name="Финансовый 9" xfId="407"/>
    <cellStyle name="Финансовый 9 2" xfId="4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T53"/>
  <sheetViews>
    <sheetView tabSelected="1" view="pageBreakPreview" zoomScaleNormal="90" zoomScaleSheetLayoutView="100" workbookViewId="0">
      <pane xSplit="3" ySplit="6" topLeftCell="P7" activePane="bottomRight" state="frozen"/>
      <selection activeCell="D26" sqref="D26"/>
      <selection pane="topRight" activeCell="D26" sqref="D26"/>
      <selection pane="bottomLeft" activeCell="D26" sqref="D26"/>
      <selection pane="bottomRight" activeCell="B2" sqref="B2:R2"/>
    </sheetView>
  </sheetViews>
  <sheetFormatPr defaultColWidth="9.140625" defaultRowHeight="12.75" x14ac:dyDescent="0.2"/>
  <cols>
    <col min="1" max="1" width="5.42578125" style="1" customWidth="1"/>
    <col min="2" max="2" width="16.7109375" style="2" customWidth="1"/>
    <col min="3" max="3" width="8.140625" style="2" customWidth="1"/>
    <col min="4" max="4" width="15.28515625" style="2" customWidth="1"/>
    <col min="5" max="5" width="14.28515625" style="2" customWidth="1"/>
    <col min="6" max="6" width="13.140625" style="2" customWidth="1"/>
    <col min="7" max="7" width="20.85546875" style="2" customWidth="1"/>
    <col min="8" max="9" width="13.140625" style="2" customWidth="1"/>
    <col min="10" max="10" width="15.5703125" style="2" customWidth="1"/>
    <col min="11" max="11" width="19" style="2" customWidth="1"/>
    <col min="12" max="12" width="16" style="2" customWidth="1"/>
    <col min="13" max="13" width="8.85546875" style="2" hidden="1" customWidth="1"/>
    <col min="14" max="20" width="13.140625" style="2" customWidth="1"/>
    <col min="21" max="21" width="10.140625" style="2" customWidth="1"/>
    <col min="22" max="22" width="0.140625" style="2" customWidth="1"/>
    <col min="23" max="23" width="9.85546875" style="2" customWidth="1"/>
    <col min="24" max="24" width="15.5703125" style="2" customWidth="1"/>
    <col min="25" max="25" width="14.28515625" style="2" customWidth="1"/>
    <col min="26" max="26" width="13.140625" style="2" customWidth="1"/>
    <col min="27" max="27" width="13.42578125" style="2" hidden="1" customWidth="1"/>
    <col min="28" max="28" width="0.140625" style="2" customWidth="1"/>
    <col min="29" max="29" width="14.28515625" style="2" hidden="1" customWidth="1"/>
    <col min="30" max="30" width="12.140625" style="2" hidden="1" customWidth="1"/>
    <col min="31" max="31" width="14.85546875" style="2" hidden="1" customWidth="1"/>
    <col min="32" max="32" width="11.5703125" style="2" hidden="1" customWidth="1"/>
    <col min="33" max="38" width="13.5703125" style="2" hidden="1" customWidth="1"/>
    <col min="39" max="39" width="13.140625" style="2" customWidth="1"/>
    <col min="40" max="45" width="13.28515625" style="2" customWidth="1"/>
    <col min="46" max="46" width="9.140625" style="2" hidden="1" customWidth="1"/>
    <col min="47" max="16384" width="9.140625" style="2"/>
  </cols>
  <sheetData>
    <row r="1" spans="1:46" x14ac:dyDescent="0.2">
      <c r="AR1" s="89" t="s">
        <v>68</v>
      </c>
    </row>
    <row r="2" spans="1:46" ht="36" customHeight="1" x14ac:dyDescent="0.2">
      <c r="A2" s="3"/>
      <c r="B2" s="97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4" spans="1:46" s="4" customFormat="1" ht="33" customHeight="1" x14ac:dyDescent="0.2">
      <c r="A4" s="90" t="s">
        <v>1</v>
      </c>
      <c r="B4" s="91" t="s">
        <v>2</v>
      </c>
      <c r="C4" s="91" t="s">
        <v>3</v>
      </c>
      <c r="D4" s="91" t="s">
        <v>4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 t="s">
        <v>5</v>
      </c>
      <c r="T4" s="91"/>
      <c r="U4" s="91"/>
      <c r="V4" s="91"/>
      <c r="W4" s="107" t="s">
        <v>6</v>
      </c>
      <c r="X4" s="91" t="s">
        <v>7</v>
      </c>
      <c r="Y4" s="91"/>
      <c r="Z4" s="91"/>
      <c r="AA4" s="99" t="s">
        <v>8</v>
      </c>
      <c r="AB4" s="101" t="s">
        <v>8</v>
      </c>
      <c r="AC4" s="101"/>
      <c r="AD4" s="101"/>
      <c r="AE4" s="102" t="s">
        <v>9</v>
      </c>
      <c r="AG4" s="5"/>
      <c r="AH4" s="5"/>
      <c r="AI4" s="5"/>
      <c r="AJ4" s="5"/>
      <c r="AK4" s="5"/>
      <c r="AL4" s="5"/>
      <c r="AM4" s="116" t="s">
        <v>10</v>
      </c>
      <c r="AN4" s="117" t="s">
        <v>11</v>
      </c>
      <c r="AO4" s="117"/>
      <c r="AP4" s="117"/>
      <c r="AQ4" s="110"/>
      <c r="AR4" s="111"/>
      <c r="AS4" s="6"/>
      <c r="AT4" s="6"/>
    </row>
    <row r="5" spans="1:46" s="4" customFormat="1" ht="25.5" customHeight="1" x14ac:dyDescent="0.2">
      <c r="A5" s="90"/>
      <c r="B5" s="91"/>
      <c r="C5" s="91"/>
      <c r="D5" s="106" t="s">
        <v>12</v>
      </c>
      <c r="E5" s="106" t="s">
        <v>13</v>
      </c>
      <c r="F5" s="106" t="s">
        <v>14</v>
      </c>
      <c r="G5" s="106" t="s">
        <v>15</v>
      </c>
      <c r="H5" s="106" t="s">
        <v>16</v>
      </c>
      <c r="I5" s="106" t="s">
        <v>17</v>
      </c>
      <c r="J5" s="106" t="s">
        <v>18</v>
      </c>
      <c r="K5" s="106" t="s">
        <v>19</v>
      </c>
      <c r="L5" s="106" t="s">
        <v>20</v>
      </c>
      <c r="M5" s="92" t="s">
        <v>21</v>
      </c>
      <c r="N5" s="92" t="s">
        <v>22</v>
      </c>
      <c r="O5" s="94" t="s">
        <v>23</v>
      </c>
      <c r="P5" s="95"/>
      <c r="Q5" s="96"/>
      <c r="R5" s="91" t="s">
        <v>24</v>
      </c>
      <c r="S5" s="91" t="s">
        <v>25</v>
      </c>
      <c r="T5" s="91" t="s">
        <v>26</v>
      </c>
      <c r="U5" s="91" t="s">
        <v>27</v>
      </c>
      <c r="V5" s="91" t="s">
        <v>28</v>
      </c>
      <c r="W5" s="107"/>
      <c r="X5" s="91" t="s">
        <v>29</v>
      </c>
      <c r="Y5" s="91" t="s">
        <v>30</v>
      </c>
      <c r="Z5" s="91" t="s">
        <v>31</v>
      </c>
      <c r="AA5" s="100"/>
      <c r="AB5" s="105" t="s">
        <v>32</v>
      </c>
      <c r="AC5" s="105" t="s">
        <v>33</v>
      </c>
      <c r="AD5" s="105" t="s">
        <v>34</v>
      </c>
      <c r="AE5" s="103"/>
      <c r="AF5" s="108" t="s">
        <v>35</v>
      </c>
      <c r="AG5" s="7"/>
      <c r="AH5" s="7"/>
      <c r="AI5" s="7"/>
      <c r="AJ5" s="7"/>
      <c r="AK5" s="7"/>
      <c r="AL5" s="7"/>
      <c r="AM5" s="116"/>
      <c r="AN5" s="109">
        <v>2022</v>
      </c>
      <c r="AO5" s="110"/>
      <c r="AP5" s="111"/>
      <c r="AQ5" s="112">
        <v>2023</v>
      </c>
      <c r="AR5" s="112">
        <v>2024</v>
      </c>
      <c r="AS5" s="8"/>
      <c r="AT5" s="8" t="s">
        <v>36</v>
      </c>
    </row>
    <row r="6" spans="1:46" s="4" customFormat="1" ht="45" customHeight="1" x14ac:dyDescent="0.2">
      <c r="A6" s="90"/>
      <c r="B6" s="91"/>
      <c r="C6" s="91"/>
      <c r="D6" s="106"/>
      <c r="E6" s="106"/>
      <c r="F6" s="106"/>
      <c r="G6" s="106"/>
      <c r="H6" s="106"/>
      <c r="I6" s="106"/>
      <c r="J6" s="106"/>
      <c r="K6" s="106"/>
      <c r="L6" s="106"/>
      <c r="M6" s="93"/>
      <c r="N6" s="93"/>
      <c r="O6" s="9" t="s">
        <v>37</v>
      </c>
      <c r="P6" s="9" t="s">
        <v>38</v>
      </c>
      <c r="Q6" s="9" t="s">
        <v>39</v>
      </c>
      <c r="R6" s="91"/>
      <c r="S6" s="91"/>
      <c r="T6" s="91"/>
      <c r="U6" s="91"/>
      <c r="V6" s="91"/>
      <c r="W6" s="107"/>
      <c r="X6" s="91"/>
      <c r="Y6" s="91"/>
      <c r="Z6" s="91"/>
      <c r="AA6" s="100"/>
      <c r="AB6" s="91"/>
      <c r="AC6" s="91"/>
      <c r="AD6" s="91"/>
      <c r="AE6" s="104"/>
      <c r="AF6" s="108"/>
      <c r="AG6" s="114">
        <v>10340</v>
      </c>
      <c r="AH6" s="115"/>
      <c r="AI6" s="115"/>
      <c r="AJ6" s="114"/>
      <c r="AK6" s="115"/>
      <c r="AL6" s="115"/>
      <c r="AM6" s="116"/>
      <c r="AN6" s="10" t="s">
        <v>32</v>
      </c>
      <c r="AO6" s="11" t="s">
        <v>33</v>
      </c>
      <c r="AP6" s="11" t="s">
        <v>34</v>
      </c>
      <c r="AQ6" s="113"/>
      <c r="AR6" s="113"/>
      <c r="AS6" s="12"/>
      <c r="AT6" s="12"/>
    </row>
    <row r="7" spans="1:46" s="30" customFormat="1" ht="12" customHeight="1" x14ac:dyDescent="0.2">
      <c r="A7" s="13">
        <v>1</v>
      </c>
      <c r="B7" s="14" t="s">
        <v>40</v>
      </c>
      <c r="C7" s="15">
        <v>4381</v>
      </c>
      <c r="D7" s="16">
        <v>47</v>
      </c>
      <c r="E7" s="16">
        <v>14</v>
      </c>
      <c r="F7" s="16">
        <v>1</v>
      </c>
      <c r="G7" s="16">
        <v>1</v>
      </c>
      <c r="H7" s="16">
        <v>3</v>
      </c>
      <c r="I7" s="16">
        <v>95</v>
      </c>
      <c r="J7" s="16">
        <v>4</v>
      </c>
      <c r="K7" s="16">
        <v>189</v>
      </c>
      <c r="L7" s="16">
        <v>142</v>
      </c>
      <c r="M7" s="16"/>
      <c r="N7" s="16">
        <f>D7+F7+G7+H7+I7+J7+K7+L7-M7</f>
        <v>482</v>
      </c>
      <c r="O7" s="16">
        <v>1772</v>
      </c>
      <c r="P7" s="16"/>
      <c r="Q7" s="17">
        <v>0</v>
      </c>
      <c r="R7" s="16">
        <f>N7+O7</f>
        <v>2254</v>
      </c>
      <c r="S7" s="18">
        <f t="shared" ref="S7:S23" si="0">ROUND(N7*$G$31*$G$30*(100-W7)/100/1000,1)</f>
        <v>7655.4</v>
      </c>
      <c r="T7" s="19">
        <f t="shared" ref="T7:T23" si="1">ROUND(O7*$G$31*$G$32*(100-W7)/100/1000,1)</f>
        <v>3518</v>
      </c>
      <c r="U7" s="19">
        <f t="shared" ref="U7:U23" si="2">ROUND(P7*$G$31*$G$33*(100-Q7)/100/1000,1)</f>
        <v>0</v>
      </c>
      <c r="V7" s="20">
        <f>ROUND(S7+T7+U7,1)</f>
        <v>11173.4</v>
      </c>
      <c r="W7" s="17">
        <v>14.5</v>
      </c>
      <c r="X7" s="21">
        <v>0.5</v>
      </c>
      <c r="Y7" s="22">
        <f>ROUND(X7*$Z$33*1000,1)</f>
        <v>570350</v>
      </c>
      <c r="Z7" s="23">
        <f>ROUND(X7*$Z$33*1.2,1)</f>
        <v>684.4</v>
      </c>
      <c r="AA7" s="24">
        <f>V7+Z7</f>
        <v>11857.8</v>
      </c>
      <c r="AB7" s="25">
        <f>AC7+AD7</f>
        <v>11857.8</v>
      </c>
      <c r="AC7" s="25">
        <f>V7</f>
        <v>11173.4</v>
      </c>
      <c r="AD7" s="25">
        <f>Z7</f>
        <v>684.4</v>
      </c>
      <c r="AE7" s="25">
        <v>11643.599999999999</v>
      </c>
      <c r="AF7" s="26">
        <f t="shared" ref="AF7:AF24" si="3">ROUND(AE7*1.04,1)</f>
        <v>12109.3</v>
      </c>
      <c r="AG7" s="27">
        <v>31617.8</v>
      </c>
      <c r="AH7" s="27">
        <v>30942.399999999998</v>
      </c>
      <c r="AI7" s="27">
        <v>675.4</v>
      </c>
      <c r="AJ7" s="27" t="e">
        <f>#REF!-AG7</f>
        <v>#REF!</v>
      </c>
      <c r="AK7" s="27" t="e">
        <f>#REF!-AH7</f>
        <v>#REF!</v>
      </c>
      <c r="AL7" s="27" t="e">
        <f>#REF!-AI7</f>
        <v>#REF!</v>
      </c>
      <c r="AM7" s="27">
        <f>ROUND(AN7/(AA7/R7),0)</f>
        <v>2144</v>
      </c>
      <c r="AN7" s="28">
        <f>AO7+AP7</f>
        <v>11277.8</v>
      </c>
      <c r="AO7" s="28">
        <v>10626.9</v>
      </c>
      <c r="AP7" s="28">
        <v>650.9</v>
      </c>
      <c r="AQ7" s="28">
        <f>AN7</f>
        <v>11277.8</v>
      </c>
      <c r="AR7" s="28">
        <f>AQ7</f>
        <v>11277.8</v>
      </c>
      <c r="AS7" s="29"/>
      <c r="AT7" s="29">
        <f t="shared" ref="AT7:AT24" si="4">AN7*1000</f>
        <v>11277800</v>
      </c>
    </row>
    <row r="8" spans="1:46" s="30" customFormat="1" x14ac:dyDescent="0.2">
      <c r="A8" s="13">
        <v>2</v>
      </c>
      <c r="B8" s="14" t="s">
        <v>41</v>
      </c>
      <c r="C8" s="15">
        <v>4232</v>
      </c>
      <c r="D8" s="16">
        <v>124</v>
      </c>
      <c r="E8" s="16">
        <v>21</v>
      </c>
      <c r="F8" s="16">
        <v>79</v>
      </c>
      <c r="G8" s="16">
        <v>2</v>
      </c>
      <c r="H8" s="16">
        <v>6</v>
      </c>
      <c r="I8" s="16">
        <v>81</v>
      </c>
      <c r="J8" s="16">
        <v>14</v>
      </c>
      <c r="K8" s="16">
        <v>349</v>
      </c>
      <c r="L8" s="16">
        <v>321</v>
      </c>
      <c r="M8" s="16"/>
      <c r="N8" s="16">
        <f>D8+F8+G8+H8+I8+J8+K8+L8-M8</f>
        <v>976</v>
      </c>
      <c r="O8" s="16">
        <v>1815</v>
      </c>
      <c r="P8" s="16"/>
      <c r="Q8" s="17">
        <v>9</v>
      </c>
      <c r="R8" s="16">
        <f t="shared" ref="R8:R23" si="5">N8+O8</f>
        <v>2791</v>
      </c>
      <c r="S8" s="18">
        <f t="shared" si="0"/>
        <v>16498.5</v>
      </c>
      <c r="T8" s="19">
        <f t="shared" si="1"/>
        <v>3835.1</v>
      </c>
      <c r="U8" s="19">
        <f t="shared" si="2"/>
        <v>0</v>
      </c>
      <c r="V8" s="20">
        <f>ROUND(S8+T8+U8,1)</f>
        <v>20333.599999999999</v>
      </c>
      <c r="W8" s="17">
        <v>9</v>
      </c>
      <c r="X8" s="21">
        <v>0.5</v>
      </c>
      <c r="Y8" s="22">
        <f>ROUND(X8*$Z$33*1000,1)</f>
        <v>570350</v>
      </c>
      <c r="Z8" s="23">
        <f t="shared" ref="Z8:Z24" si="6">ROUND(X8*$Z$33*1.2,1)</f>
        <v>684.4</v>
      </c>
      <c r="AA8" s="24">
        <f t="shared" ref="AA8:AA24" si="7">V8+Z8</f>
        <v>21018</v>
      </c>
      <c r="AB8" s="25">
        <f>AC8+AD8</f>
        <v>21018</v>
      </c>
      <c r="AC8" s="25">
        <f>V8</f>
        <v>20333.599999999999</v>
      </c>
      <c r="AD8" s="25">
        <f>Z8</f>
        <v>684.4</v>
      </c>
      <c r="AE8" s="25">
        <v>20015.8</v>
      </c>
      <c r="AF8" s="26">
        <f t="shared" si="3"/>
        <v>20816.400000000001</v>
      </c>
      <c r="AG8" s="27">
        <v>38687.9</v>
      </c>
      <c r="AH8" s="27">
        <v>38012.5</v>
      </c>
      <c r="AI8" s="27">
        <v>675.4</v>
      </c>
      <c r="AJ8" s="27" t="e">
        <f>#REF!-AG8</f>
        <v>#REF!</v>
      </c>
      <c r="AK8" s="27" t="e">
        <f>#REF!-AH8</f>
        <v>#REF!</v>
      </c>
      <c r="AL8" s="27" t="e">
        <f>#REF!-AI8</f>
        <v>#REF!</v>
      </c>
      <c r="AM8" s="27">
        <f t="shared" ref="AM8:AM24" si="8">ROUND(AN8/(AA8/R8),0)</f>
        <v>2654</v>
      </c>
      <c r="AN8" s="28">
        <f t="shared" ref="AN8:AN24" si="9">AO8+AP8</f>
        <v>19989.900000000001</v>
      </c>
      <c r="AO8" s="28">
        <v>19339</v>
      </c>
      <c r="AP8" s="28">
        <v>650.9</v>
      </c>
      <c r="AQ8" s="28">
        <f t="shared" ref="AQ8:AQ24" si="10">AN8</f>
        <v>19989.900000000001</v>
      </c>
      <c r="AR8" s="28">
        <f t="shared" ref="AR8:AR24" si="11">AQ8</f>
        <v>19989.900000000001</v>
      </c>
      <c r="AS8" s="29"/>
      <c r="AT8" s="29">
        <f t="shared" si="4"/>
        <v>19989900</v>
      </c>
    </row>
    <row r="9" spans="1:46" s="30" customFormat="1" x14ac:dyDescent="0.2">
      <c r="A9" s="13">
        <v>3</v>
      </c>
      <c r="B9" s="14" t="s">
        <v>42</v>
      </c>
      <c r="C9" s="31">
        <v>7490</v>
      </c>
      <c r="D9" s="16">
        <v>207</v>
      </c>
      <c r="E9" s="16">
        <v>38</v>
      </c>
      <c r="F9" s="16">
        <v>15</v>
      </c>
      <c r="G9" s="16">
        <v>0</v>
      </c>
      <c r="H9" s="16">
        <v>9</v>
      </c>
      <c r="I9" s="16">
        <v>243</v>
      </c>
      <c r="J9" s="16">
        <v>14</v>
      </c>
      <c r="K9" s="16">
        <v>366</v>
      </c>
      <c r="L9" s="16">
        <v>376</v>
      </c>
      <c r="M9" s="16"/>
      <c r="N9" s="16">
        <f t="shared" ref="N9:N23" si="12">D9+F9+G9+H9+I9+J9+K9+L9-M9</f>
        <v>1230</v>
      </c>
      <c r="O9" s="16">
        <v>3194</v>
      </c>
      <c r="P9" s="16"/>
      <c r="Q9" s="17">
        <v>0</v>
      </c>
      <c r="R9" s="16">
        <f t="shared" si="5"/>
        <v>4424</v>
      </c>
      <c r="S9" s="18">
        <f t="shared" si="0"/>
        <v>19923.900000000001</v>
      </c>
      <c r="T9" s="19">
        <f t="shared" si="1"/>
        <v>6467.2</v>
      </c>
      <c r="U9" s="19">
        <f t="shared" si="2"/>
        <v>0</v>
      </c>
      <c r="V9" s="20">
        <f>ROUND(S9+T9+U9,1)-0.1</f>
        <v>26391</v>
      </c>
      <c r="W9" s="17">
        <v>12.8</v>
      </c>
      <c r="X9" s="21">
        <v>0.8</v>
      </c>
      <c r="Y9" s="22">
        <f t="shared" ref="Y9:Y24" si="13">ROUND(X9*$Z$33*1000,1)</f>
        <v>912560</v>
      </c>
      <c r="Z9" s="23">
        <f t="shared" si="6"/>
        <v>1095.0999999999999</v>
      </c>
      <c r="AA9" s="24">
        <f t="shared" si="7"/>
        <v>27486.1</v>
      </c>
      <c r="AB9" s="25">
        <f t="shared" ref="AB9:AB24" si="14">AC9+AD9</f>
        <v>27486.1</v>
      </c>
      <c r="AC9" s="25">
        <f t="shared" ref="AC9:AC24" si="15">V9</f>
        <v>26391</v>
      </c>
      <c r="AD9" s="25">
        <f t="shared" ref="AD9:AD24" si="16">Z9</f>
        <v>1095.0999999999999</v>
      </c>
      <c r="AE9" s="25">
        <v>25790.899999999998</v>
      </c>
      <c r="AF9" s="26">
        <f t="shared" si="3"/>
        <v>26822.5</v>
      </c>
      <c r="AG9" s="27">
        <v>58763.3</v>
      </c>
      <c r="AH9" s="27">
        <v>57682.600000000006</v>
      </c>
      <c r="AI9" s="27">
        <v>1080.7</v>
      </c>
      <c r="AJ9" s="27" t="e">
        <f>#REF!-AG9</f>
        <v>#REF!</v>
      </c>
      <c r="AK9" s="27" t="e">
        <f>#REF!-AH9</f>
        <v>#REF!</v>
      </c>
      <c r="AL9" s="27" t="e">
        <f>#REF!-AI9</f>
        <v>#REF!</v>
      </c>
      <c r="AM9" s="27">
        <f t="shared" si="8"/>
        <v>4208</v>
      </c>
      <c r="AN9" s="28">
        <f t="shared" si="9"/>
        <v>26141.599999999999</v>
      </c>
      <c r="AO9" s="28">
        <v>25100.1</v>
      </c>
      <c r="AP9" s="28">
        <v>1041.5</v>
      </c>
      <c r="AQ9" s="28">
        <f t="shared" si="10"/>
        <v>26141.599999999999</v>
      </c>
      <c r="AR9" s="28">
        <f t="shared" si="11"/>
        <v>26141.599999999999</v>
      </c>
      <c r="AS9" s="29"/>
      <c r="AT9" s="29">
        <f t="shared" si="4"/>
        <v>26141600</v>
      </c>
    </row>
    <row r="10" spans="1:46" s="30" customFormat="1" x14ac:dyDescent="0.2">
      <c r="A10" s="13">
        <v>4</v>
      </c>
      <c r="B10" s="14" t="s">
        <v>43</v>
      </c>
      <c r="C10" s="15">
        <v>49226</v>
      </c>
      <c r="D10" s="16">
        <v>197</v>
      </c>
      <c r="E10" s="16">
        <v>66</v>
      </c>
      <c r="F10" s="16">
        <v>33</v>
      </c>
      <c r="G10" s="16">
        <v>5</v>
      </c>
      <c r="H10" s="16">
        <v>8</v>
      </c>
      <c r="I10" s="16">
        <v>372</v>
      </c>
      <c r="J10" s="16">
        <v>20</v>
      </c>
      <c r="K10" s="16">
        <v>1197</v>
      </c>
      <c r="L10" s="16">
        <v>478</v>
      </c>
      <c r="M10" s="16"/>
      <c r="N10" s="16">
        <f t="shared" si="12"/>
        <v>2310</v>
      </c>
      <c r="O10" s="16">
        <v>23994</v>
      </c>
      <c r="P10" s="16"/>
      <c r="Q10" s="17">
        <v>0</v>
      </c>
      <c r="R10" s="16">
        <f t="shared" si="5"/>
        <v>26304</v>
      </c>
      <c r="S10" s="18">
        <f t="shared" si="0"/>
        <v>37452.300000000003</v>
      </c>
      <c r="T10" s="19">
        <f t="shared" si="1"/>
        <v>48627.199999999997</v>
      </c>
      <c r="U10" s="19">
        <f t="shared" si="2"/>
        <v>0</v>
      </c>
      <c r="V10" s="20">
        <f t="shared" ref="V10:V23" si="17">ROUND(S10+T10+U10,1)</f>
        <v>86079.5</v>
      </c>
      <c r="W10" s="17">
        <v>12.72</v>
      </c>
      <c r="X10" s="21">
        <v>1</v>
      </c>
      <c r="Y10" s="22">
        <f t="shared" si="13"/>
        <v>1140700</v>
      </c>
      <c r="Z10" s="23">
        <f t="shared" si="6"/>
        <v>1368.8</v>
      </c>
      <c r="AA10" s="24">
        <f t="shared" si="7"/>
        <v>87448.3</v>
      </c>
      <c r="AB10" s="25">
        <f t="shared" si="14"/>
        <v>87448.3</v>
      </c>
      <c r="AC10" s="25">
        <f t="shared" si="15"/>
        <v>86079.5</v>
      </c>
      <c r="AD10" s="25">
        <f t="shared" si="16"/>
        <v>1368.8</v>
      </c>
      <c r="AE10" s="25">
        <v>76643.3</v>
      </c>
      <c r="AF10" s="26">
        <f t="shared" si="3"/>
        <v>79709</v>
      </c>
      <c r="AG10" s="27">
        <v>336966.6</v>
      </c>
      <c r="AH10" s="27">
        <v>335615.8</v>
      </c>
      <c r="AI10" s="27">
        <v>1350.8</v>
      </c>
      <c r="AJ10" s="27" t="e">
        <f>#REF!-AG10</f>
        <v>#REF!</v>
      </c>
      <c r="AK10" s="27" t="e">
        <f>#REF!-AH10</f>
        <v>#REF!</v>
      </c>
      <c r="AL10" s="27" t="e">
        <f>#REF!-AI10</f>
        <v>#REF!</v>
      </c>
      <c r="AM10" s="27">
        <f t="shared" si="8"/>
        <v>25017</v>
      </c>
      <c r="AN10" s="28">
        <f t="shared" si="9"/>
        <v>83170.900000000009</v>
      </c>
      <c r="AO10" s="28">
        <v>81869.100000000006</v>
      </c>
      <c r="AP10" s="28">
        <v>1301.8</v>
      </c>
      <c r="AQ10" s="28">
        <f t="shared" si="10"/>
        <v>83170.900000000009</v>
      </c>
      <c r="AR10" s="28">
        <f t="shared" si="11"/>
        <v>83170.900000000009</v>
      </c>
      <c r="AS10" s="29"/>
      <c r="AT10" s="29">
        <f t="shared" si="4"/>
        <v>83170900.000000015</v>
      </c>
    </row>
    <row r="11" spans="1:46" s="30" customFormat="1" x14ac:dyDescent="0.2">
      <c r="A11" s="13">
        <v>5</v>
      </c>
      <c r="B11" s="14" t="s">
        <v>44</v>
      </c>
      <c r="C11" s="15">
        <v>17185</v>
      </c>
      <c r="D11" s="16">
        <v>1561</v>
      </c>
      <c r="E11" s="16">
        <v>136</v>
      </c>
      <c r="F11" s="16">
        <v>12</v>
      </c>
      <c r="G11" s="16">
        <v>3</v>
      </c>
      <c r="H11" s="16">
        <v>12</v>
      </c>
      <c r="I11" s="16">
        <v>390</v>
      </c>
      <c r="J11" s="16">
        <v>17</v>
      </c>
      <c r="K11" s="16">
        <v>791</v>
      </c>
      <c r="L11" s="16">
        <v>629</v>
      </c>
      <c r="M11" s="16"/>
      <c r="N11" s="16">
        <f t="shared" si="12"/>
        <v>3415</v>
      </c>
      <c r="O11" s="16">
        <v>7343</v>
      </c>
      <c r="P11" s="16"/>
      <c r="Q11" s="17">
        <v>0</v>
      </c>
      <c r="R11" s="16">
        <f t="shared" si="5"/>
        <v>10758</v>
      </c>
      <c r="S11" s="18">
        <f t="shared" si="0"/>
        <v>58044.9</v>
      </c>
      <c r="T11" s="19">
        <f t="shared" si="1"/>
        <v>15601.2</v>
      </c>
      <c r="U11" s="19">
        <f t="shared" si="2"/>
        <v>0</v>
      </c>
      <c r="V11" s="20">
        <f t="shared" si="17"/>
        <v>73646.100000000006</v>
      </c>
      <c r="W11" s="17">
        <v>8.5</v>
      </c>
      <c r="X11" s="21">
        <v>1</v>
      </c>
      <c r="Y11" s="22">
        <f t="shared" si="13"/>
        <v>1140700</v>
      </c>
      <c r="Z11" s="23">
        <f>ROUND(X11*$Z$33*1.2,1)</f>
        <v>1368.8</v>
      </c>
      <c r="AA11" s="24">
        <f t="shared" si="7"/>
        <v>75014.900000000009</v>
      </c>
      <c r="AB11" s="25">
        <f t="shared" si="14"/>
        <v>75014.900000000009</v>
      </c>
      <c r="AC11" s="25">
        <f t="shared" si="15"/>
        <v>73646.100000000006</v>
      </c>
      <c r="AD11" s="32">
        <f t="shared" si="16"/>
        <v>1368.8</v>
      </c>
      <c r="AE11" s="25">
        <v>75039.600000000006</v>
      </c>
      <c r="AF11" s="26">
        <f t="shared" si="3"/>
        <v>78041.2</v>
      </c>
      <c r="AG11" s="27">
        <v>155276.29999999999</v>
      </c>
      <c r="AH11" s="27">
        <v>153925.5</v>
      </c>
      <c r="AI11" s="27">
        <v>1350.8</v>
      </c>
      <c r="AJ11" s="27" t="e">
        <f>#REF!-AG11</f>
        <v>#REF!</v>
      </c>
      <c r="AK11" s="27" t="e">
        <f>#REF!-AH11</f>
        <v>#REF!</v>
      </c>
      <c r="AL11" s="27" t="e">
        <f>#REF!-AI11</f>
        <v>#REF!</v>
      </c>
      <c r="AM11" s="27">
        <f t="shared" si="8"/>
        <v>10232</v>
      </c>
      <c r="AN11" s="28">
        <f t="shared" si="9"/>
        <v>71346.3</v>
      </c>
      <c r="AO11" s="28">
        <v>70044.5</v>
      </c>
      <c r="AP11" s="28">
        <v>1301.8</v>
      </c>
      <c r="AQ11" s="28">
        <f t="shared" si="10"/>
        <v>71346.3</v>
      </c>
      <c r="AR11" s="28">
        <f t="shared" si="11"/>
        <v>71346.3</v>
      </c>
      <c r="AS11" s="29"/>
      <c r="AT11" s="29">
        <f t="shared" si="4"/>
        <v>71346300</v>
      </c>
    </row>
    <row r="12" spans="1:46" s="30" customFormat="1" x14ac:dyDescent="0.2">
      <c r="A12" s="13">
        <v>6</v>
      </c>
      <c r="B12" s="14" t="s">
        <v>45</v>
      </c>
      <c r="C12" s="15">
        <v>20899</v>
      </c>
      <c r="D12" s="16">
        <v>535</v>
      </c>
      <c r="E12" s="16">
        <v>78</v>
      </c>
      <c r="F12" s="16">
        <v>31</v>
      </c>
      <c r="G12" s="16">
        <v>3</v>
      </c>
      <c r="H12" s="16">
        <v>15</v>
      </c>
      <c r="I12" s="16">
        <v>517</v>
      </c>
      <c r="J12" s="16">
        <v>100</v>
      </c>
      <c r="K12" s="16">
        <v>1080</v>
      </c>
      <c r="L12" s="16">
        <v>707</v>
      </c>
      <c r="M12" s="16"/>
      <c r="N12" s="16">
        <f t="shared" si="12"/>
        <v>2988</v>
      </c>
      <c r="O12" s="16">
        <v>9200</v>
      </c>
      <c r="P12" s="16">
        <v>186</v>
      </c>
      <c r="Q12" s="17">
        <v>7.8604000000000003</v>
      </c>
      <c r="R12" s="16">
        <f t="shared" si="5"/>
        <v>12188</v>
      </c>
      <c r="S12" s="33">
        <f>ROUND(N12*$G$31*$G$30*(100-W12)/100/1000,1)</f>
        <v>54903.7</v>
      </c>
      <c r="T12" s="34">
        <f>ROUND(O12*$G$31*$G$32*(100-W12)/100/1000,1)</f>
        <v>21130.9</v>
      </c>
      <c r="U12" s="19">
        <f>ROUND(P12*$G$31*$G$33*(100-Q12)/100/1000,1)</f>
        <v>3183.5</v>
      </c>
      <c r="V12" s="20">
        <f>ROUND(S12+T12+U12,1)</f>
        <v>79218.100000000006</v>
      </c>
      <c r="W12" s="17">
        <v>1.0834999999999999</v>
      </c>
      <c r="X12" s="21">
        <v>1</v>
      </c>
      <c r="Y12" s="22">
        <f t="shared" si="13"/>
        <v>1140700</v>
      </c>
      <c r="Z12" s="23">
        <f t="shared" si="6"/>
        <v>1368.8</v>
      </c>
      <c r="AA12" s="24">
        <f t="shared" si="7"/>
        <v>80586.900000000009</v>
      </c>
      <c r="AB12" s="25">
        <f t="shared" si="14"/>
        <v>80586.900000000009</v>
      </c>
      <c r="AC12" s="25">
        <f t="shared" si="15"/>
        <v>79218.100000000006</v>
      </c>
      <c r="AD12" s="25">
        <f t="shared" si="16"/>
        <v>1368.8</v>
      </c>
      <c r="AE12" s="25">
        <v>66856.7</v>
      </c>
      <c r="AF12" s="26">
        <f t="shared" si="3"/>
        <v>69531</v>
      </c>
      <c r="AG12" s="27">
        <v>170920.6</v>
      </c>
      <c r="AH12" s="27">
        <v>169569.80000000002</v>
      </c>
      <c r="AI12" s="27">
        <v>1350.8</v>
      </c>
      <c r="AJ12" s="27" t="e">
        <f>#REF!-AG12</f>
        <v>#REF!</v>
      </c>
      <c r="AK12" s="27" t="e">
        <f>#REF!-AH12</f>
        <v>#REF!</v>
      </c>
      <c r="AL12" s="27" t="e">
        <f>#REF!-AI12</f>
        <v>#REF!</v>
      </c>
      <c r="AM12" s="27">
        <f t="shared" si="8"/>
        <v>11592</v>
      </c>
      <c r="AN12" s="28">
        <f t="shared" si="9"/>
        <v>76645.100000000006</v>
      </c>
      <c r="AO12" s="28">
        <v>75343.3</v>
      </c>
      <c r="AP12" s="28">
        <v>1301.8</v>
      </c>
      <c r="AQ12" s="28">
        <f t="shared" si="10"/>
        <v>76645.100000000006</v>
      </c>
      <c r="AR12" s="28">
        <f t="shared" si="11"/>
        <v>76645.100000000006</v>
      </c>
      <c r="AS12" s="29"/>
      <c r="AT12" s="29">
        <f t="shared" si="4"/>
        <v>76645100</v>
      </c>
    </row>
    <row r="13" spans="1:46" s="30" customFormat="1" x14ac:dyDescent="0.2">
      <c r="A13" s="13">
        <v>7</v>
      </c>
      <c r="B13" s="14" t="s">
        <v>46</v>
      </c>
      <c r="C13" s="15">
        <v>7590</v>
      </c>
      <c r="D13" s="16">
        <v>91</v>
      </c>
      <c r="E13" s="16">
        <v>26</v>
      </c>
      <c r="F13" s="16">
        <v>28</v>
      </c>
      <c r="G13" s="16">
        <v>0</v>
      </c>
      <c r="H13" s="16">
        <v>2</v>
      </c>
      <c r="I13" s="16">
        <v>269</v>
      </c>
      <c r="J13" s="16">
        <v>1</v>
      </c>
      <c r="K13" s="16">
        <v>462</v>
      </c>
      <c r="L13" s="16">
        <v>367</v>
      </c>
      <c r="M13" s="16"/>
      <c r="N13" s="16">
        <f t="shared" si="12"/>
        <v>1220</v>
      </c>
      <c r="O13" s="16">
        <v>3332</v>
      </c>
      <c r="P13" s="16">
        <v>50</v>
      </c>
      <c r="Q13" s="17">
        <v>8</v>
      </c>
      <c r="R13" s="16">
        <f t="shared" si="5"/>
        <v>4552</v>
      </c>
      <c r="S13" s="18">
        <f t="shared" si="0"/>
        <v>20464.400000000001</v>
      </c>
      <c r="T13" s="19">
        <f t="shared" si="1"/>
        <v>6986.4</v>
      </c>
      <c r="U13" s="19">
        <f t="shared" si="2"/>
        <v>854.5</v>
      </c>
      <c r="V13" s="20">
        <f t="shared" si="17"/>
        <v>28305.3</v>
      </c>
      <c r="W13" s="17">
        <v>9.6999999999999993</v>
      </c>
      <c r="X13" s="21">
        <v>0.8</v>
      </c>
      <c r="Y13" s="22">
        <f t="shared" si="13"/>
        <v>912560</v>
      </c>
      <c r="Z13" s="23">
        <f t="shared" si="6"/>
        <v>1095.0999999999999</v>
      </c>
      <c r="AA13" s="24">
        <f t="shared" si="7"/>
        <v>29400.399999999998</v>
      </c>
      <c r="AB13" s="25">
        <f t="shared" si="14"/>
        <v>29400.399999999998</v>
      </c>
      <c r="AC13" s="25">
        <f t="shared" si="15"/>
        <v>28305.3</v>
      </c>
      <c r="AD13" s="25">
        <f t="shared" si="16"/>
        <v>1095.0999999999999</v>
      </c>
      <c r="AE13" s="25">
        <v>40034.9</v>
      </c>
      <c r="AF13" s="26">
        <f t="shared" si="3"/>
        <v>41636.300000000003</v>
      </c>
      <c r="AG13" s="27">
        <v>72470.100000000006</v>
      </c>
      <c r="AH13" s="27">
        <v>71389.400000000009</v>
      </c>
      <c r="AI13" s="27">
        <v>1080.7</v>
      </c>
      <c r="AJ13" s="27" t="e">
        <f>#REF!-AG13</f>
        <v>#REF!</v>
      </c>
      <c r="AK13" s="27" t="e">
        <f>#REF!-AH13</f>
        <v>#REF!</v>
      </c>
      <c r="AL13" s="27" t="e">
        <f>#REF!-AI13</f>
        <v>#REF!</v>
      </c>
      <c r="AM13" s="27">
        <f t="shared" si="8"/>
        <v>4329</v>
      </c>
      <c r="AN13" s="28">
        <f t="shared" si="9"/>
        <v>27962.3</v>
      </c>
      <c r="AO13" s="28">
        <v>26920.799999999999</v>
      </c>
      <c r="AP13" s="28">
        <v>1041.5</v>
      </c>
      <c r="AQ13" s="28">
        <f t="shared" si="10"/>
        <v>27962.3</v>
      </c>
      <c r="AR13" s="28">
        <f t="shared" si="11"/>
        <v>27962.3</v>
      </c>
      <c r="AS13" s="29"/>
      <c r="AT13" s="29">
        <f t="shared" si="4"/>
        <v>27962300</v>
      </c>
    </row>
    <row r="14" spans="1:46" s="30" customFormat="1" x14ac:dyDescent="0.2">
      <c r="A14" s="13">
        <v>8</v>
      </c>
      <c r="B14" s="14" t="s">
        <v>47</v>
      </c>
      <c r="C14" s="15">
        <v>7087</v>
      </c>
      <c r="D14" s="16">
        <v>190</v>
      </c>
      <c r="E14" s="16">
        <v>21</v>
      </c>
      <c r="F14" s="16">
        <v>8</v>
      </c>
      <c r="G14" s="16">
        <v>0</v>
      </c>
      <c r="H14" s="16">
        <v>1</v>
      </c>
      <c r="I14" s="16">
        <v>0</v>
      </c>
      <c r="J14" s="16">
        <v>14</v>
      </c>
      <c r="K14" s="16">
        <v>327</v>
      </c>
      <c r="L14" s="16">
        <v>143</v>
      </c>
      <c r="M14" s="16"/>
      <c r="N14" s="16">
        <f t="shared" si="12"/>
        <v>683</v>
      </c>
      <c r="O14" s="16">
        <v>3044</v>
      </c>
      <c r="P14" s="16">
        <v>31</v>
      </c>
      <c r="Q14" s="17">
        <v>1.4</v>
      </c>
      <c r="R14" s="16">
        <f t="shared" si="5"/>
        <v>3727</v>
      </c>
      <c r="S14" s="18">
        <f t="shared" si="0"/>
        <v>11418.7</v>
      </c>
      <c r="T14" s="19">
        <f t="shared" si="1"/>
        <v>6361.4</v>
      </c>
      <c r="U14" s="19">
        <f>ROUND(P14*$G$31*$G$33*(100-Q14)/100/1000,1)</f>
        <v>567.79999999999995</v>
      </c>
      <c r="V14" s="20">
        <f t="shared" si="17"/>
        <v>18347.900000000001</v>
      </c>
      <c r="W14" s="17">
        <v>10</v>
      </c>
      <c r="X14" s="21">
        <v>0.8</v>
      </c>
      <c r="Y14" s="22">
        <f t="shared" si="13"/>
        <v>912560</v>
      </c>
      <c r="Z14" s="23">
        <f t="shared" si="6"/>
        <v>1095.0999999999999</v>
      </c>
      <c r="AA14" s="24">
        <f t="shared" si="7"/>
        <v>19443</v>
      </c>
      <c r="AB14" s="25">
        <f t="shared" si="14"/>
        <v>19443</v>
      </c>
      <c r="AC14" s="25">
        <f t="shared" si="15"/>
        <v>18347.900000000001</v>
      </c>
      <c r="AD14" s="25">
        <f t="shared" si="16"/>
        <v>1095.0999999999999</v>
      </c>
      <c r="AE14" s="25">
        <v>19937.8</v>
      </c>
      <c r="AF14" s="26">
        <f t="shared" si="3"/>
        <v>20735.3</v>
      </c>
      <c r="AG14" s="27">
        <v>57897.8</v>
      </c>
      <c r="AH14" s="27">
        <v>56817.100000000006</v>
      </c>
      <c r="AI14" s="27">
        <v>1080.7</v>
      </c>
      <c r="AJ14" s="27" t="e">
        <f>#REF!-AG14</f>
        <v>#REF!</v>
      </c>
      <c r="AK14" s="27" t="e">
        <f>#REF!-AH14</f>
        <v>#REF!</v>
      </c>
      <c r="AL14" s="27" t="e">
        <f>#REF!-AI14</f>
        <v>#REF!</v>
      </c>
      <c r="AM14" s="27">
        <f t="shared" si="8"/>
        <v>3545</v>
      </c>
      <c r="AN14" s="28">
        <f t="shared" si="9"/>
        <v>18491.900000000001</v>
      </c>
      <c r="AO14" s="28">
        <v>17450.400000000001</v>
      </c>
      <c r="AP14" s="28">
        <v>1041.5</v>
      </c>
      <c r="AQ14" s="28">
        <f t="shared" si="10"/>
        <v>18491.900000000001</v>
      </c>
      <c r="AR14" s="28">
        <f t="shared" si="11"/>
        <v>18491.900000000001</v>
      </c>
      <c r="AS14" s="29"/>
      <c r="AT14" s="29">
        <f t="shared" si="4"/>
        <v>18491900</v>
      </c>
    </row>
    <row r="15" spans="1:46" s="30" customFormat="1" x14ac:dyDescent="0.2">
      <c r="A15" s="13">
        <v>9</v>
      </c>
      <c r="B15" s="14" t="s">
        <v>48</v>
      </c>
      <c r="C15" s="15">
        <v>9365</v>
      </c>
      <c r="D15" s="16">
        <v>298</v>
      </c>
      <c r="E15" s="16">
        <v>27</v>
      </c>
      <c r="F15" s="16">
        <v>28</v>
      </c>
      <c r="G15" s="16">
        <v>1</v>
      </c>
      <c r="H15" s="16">
        <v>2</v>
      </c>
      <c r="I15" s="16">
        <v>137</v>
      </c>
      <c r="J15" s="16">
        <v>0</v>
      </c>
      <c r="K15" s="16">
        <v>365</v>
      </c>
      <c r="L15" s="16">
        <v>184</v>
      </c>
      <c r="M15" s="16"/>
      <c r="N15" s="16">
        <f t="shared" si="12"/>
        <v>1015</v>
      </c>
      <c r="O15" s="16">
        <v>4219</v>
      </c>
      <c r="P15" s="16"/>
      <c r="Q15" s="17">
        <v>0</v>
      </c>
      <c r="R15" s="16">
        <f t="shared" si="5"/>
        <v>5234</v>
      </c>
      <c r="S15" s="18">
        <f t="shared" si="0"/>
        <v>17930.8</v>
      </c>
      <c r="T15" s="19">
        <f t="shared" si="1"/>
        <v>9316.5</v>
      </c>
      <c r="U15" s="19">
        <f t="shared" si="2"/>
        <v>0</v>
      </c>
      <c r="V15" s="20">
        <f t="shared" si="17"/>
        <v>27247.3</v>
      </c>
      <c r="W15" s="17">
        <v>4.9000000000000004</v>
      </c>
      <c r="X15" s="21">
        <v>1</v>
      </c>
      <c r="Y15" s="22">
        <f t="shared" si="13"/>
        <v>1140700</v>
      </c>
      <c r="Z15" s="23">
        <f t="shared" si="6"/>
        <v>1368.8</v>
      </c>
      <c r="AA15" s="24">
        <f t="shared" si="7"/>
        <v>28616.1</v>
      </c>
      <c r="AB15" s="25">
        <f t="shared" si="14"/>
        <v>28616.1</v>
      </c>
      <c r="AC15" s="25">
        <f t="shared" si="15"/>
        <v>27247.3</v>
      </c>
      <c r="AD15" s="25">
        <f t="shared" si="16"/>
        <v>1368.8</v>
      </c>
      <c r="AE15" s="25">
        <v>27381.9</v>
      </c>
      <c r="AF15" s="26">
        <f t="shared" si="3"/>
        <v>28477.200000000001</v>
      </c>
      <c r="AG15" s="27">
        <v>76313.3</v>
      </c>
      <c r="AH15" s="27">
        <v>75097.5</v>
      </c>
      <c r="AI15" s="27">
        <v>1215.8</v>
      </c>
      <c r="AJ15" s="27" t="e">
        <f>#REF!-AG15</f>
        <v>#REF!</v>
      </c>
      <c r="AK15" s="27" t="e">
        <f>#REF!-AH15</f>
        <v>#REF!</v>
      </c>
      <c r="AL15" s="27" t="e">
        <f>#REF!-AI15</f>
        <v>#REF!</v>
      </c>
      <c r="AM15" s="27">
        <f t="shared" si="8"/>
        <v>4978</v>
      </c>
      <c r="AN15" s="28">
        <f t="shared" si="9"/>
        <v>27216.3</v>
      </c>
      <c r="AO15" s="28">
        <v>25914.5</v>
      </c>
      <c r="AP15" s="28">
        <v>1301.8</v>
      </c>
      <c r="AQ15" s="28">
        <f t="shared" si="10"/>
        <v>27216.3</v>
      </c>
      <c r="AR15" s="28">
        <f t="shared" si="11"/>
        <v>27216.3</v>
      </c>
      <c r="AS15" s="29"/>
      <c r="AT15" s="29">
        <f t="shared" si="4"/>
        <v>27216300</v>
      </c>
    </row>
    <row r="16" spans="1:46" s="30" customFormat="1" x14ac:dyDescent="0.2">
      <c r="A16" s="13">
        <v>10</v>
      </c>
      <c r="B16" s="14" t="s">
        <v>49</v>
      </c>
      <c r="C16" s="15">
        <v>2645</v>
      </c>
      <c r="D16" s="16">
        <v>55</v>
      </c>
      <c r="E16" s="16">
        <v>17</v>
      </c>
      <c r="F16" s="16">
        <v>12</v>
      </c>
      <c r="G16" s="16">
        <v>0</v>
      </c>
      <c r="H16" s="16">
        <v>0</v>
      </c>
      <c r="I16" s="16">
        <v>144</v>
      </c>
      <c r="J16" s="16">
        <v>5</v>
      </c>
      <c r="K16" s="16">
        <v>114</v>
      </c>
      <c r="L16" s="16">
        <v>316</v>
      </c>
      <c r="M16" s="16"/>
      <c r="N16" s="16">
        <f>D16+F16+G16+H16+I16+J16+K16+L16-M16</f>
        <v>646</v>
      </c>
      <c r="O16" s="16">
        <v>1105</v>
      </c>
      <c r="P16" s="16"/>
      <c r="Q16" s="17">
        <v>0</v>
      </c>
      <c r="R16" s="16">
        <f t="shared" si="5"/>
        <v>1751</v>
      </c>
      <c r="S16" s="18">
        <f t="shared" si="0"/>
        <v>10080.1</v>
      </c>
      <c r="T16" s="19">
        <f t="shared" si="1"/>
        <v>2155.3000000000002</v>
      </c>
      <c r="U16" s="19">
        <f t="shared" si="2"/>
        <v>0</v>
      </c>
      <c r="V16" s="20">
        <f t="shared" si="17"/>
        <v>12235.4</v>
      </c>
      <c r="W16" s="17">
        <v>16</v>
      </c>
      <c r="X16" s="21">
        <v>0.3</v>
      </c>
      <c r="Y16" s="22">
        <f t="shared" si="13"/>
        <v>342210</v>
      </c>
      <c r="Z16" s="23">
        <f t="shared" si="6"/>
        <v>410.7</v>
      </c>
      <c r="AA16" s="24">
        <f t="shared" si="7"/>
        <v>12646.1</v>
      </c>
      <c r="AB16" s="25">
        <f t="shared" si="14"/>
        <v>12646.1</v>
      </c>
      <c r="AC16" s="25">
        <f t="shared" si="15"/>
        <v>12235.4</v>
      </c>
      <c r="AD16" s="25">
        <f t="shared" si="16"/>
        <v>410.7</v>
      </c>
      <c r="AE16" s="25">
        <v>13042.5</v>
      </c>
      <c r="AF16" s="26">
        <f t="shared" si="3"/>
        <v>13564.2</v>
      </c>
      <c r="AG16" s="27">
        <v>23991.7</v>
      </c>
      <c r="AH16" s="27">
        <v>23586.400000000001</v>
      </c>
      <c r="AI16" s="27">
        <v>405.3</v>
      </c>
      <c r="AJ16" s="27" t="e">
        <f>#REF!-AG16</f>
        <v>#REF!</v>
      </c>
      <c r="AK16" s="27" t="e">
        <f>#REF!-AH16</f>
        <v>#REF!</v>
      </c>
      <c r="AL16" s="27" t="e">
        <f>#REF!-AI16</f>
        <v>#REF!</v>
      </c>
      <c r="AM16" s="27">
        <f t="shared" si="8"/>
        <v>1665</v>
      </c>
      <c r="AN16" s="28">
        <f t="shared" si="9"/>
        <v>12027.5</v>
      </c>
      <c r="AO16" s="28">
        <v>11636.9</v>
      </c>
      <c r="AP16" s="28">
        <v>390.6</v>
      </c>
      <c r="AQ16" s="28">
        <f t="shared" si="10"/>
        <v>12027.5</v>
      </c>
      <c r="AR16" s="28">
        <f t="shared" si="11"/>
        <v>12027.5</v>
      </c>
      <c r="AS16" s="29"/>
      <c r="AT16" s="29">
        <f t="shared" si="4"/>
        <v>12027500</v>
      </c>
    </row>
    <row r="17" spans="1:46" s="30" customFormat="1" x14ac:dyDescent="0.2">
      <c r="A17" s="13">
        <v>11</v>
      </c>
      <c r="B17" s="14" t="s">
        <v>50</v>
      </c>
      <c r="C17" s="15">
        <v>7000</v>
      </c>
      <c r="D17" s="16">
        <v>248</v>
      </c>
      <c r="E17" s="16">
        <v>48</v>
      </c>
      <c r="F17" s="16">
        <v>10</v>
      </c>
      <c r="G17" s="16">
        <v>0</v>
      </c>
      <c r="H17" s="16">
        <v>5</v>
      </c>
      <c r="I17" s="16">
        <v>193</v>
      </c>
      <c r="J17" s="16">
        <v>8</v>
      </c>
      <c r="K17" s="16">
        <v>487</v>
      </c>
      <c r="L17" s="16">
        <v>367</v>
      </c>
      <c r="M17" s="16"/>
      <c r="N17" s="16">
        <f t="shared" si="12"/>
        <v>1318</v>
      </c>
      <c r="O17" s="16">
        <v>3688</v>
      </c>
      <c r="P17" s="16"/>
      <c r="Q17" s="17">
        <v>0</v>
      </c>
      <c r="R17" s="16">
        <f t="shared" si="5"/>
        <v>5006</v>
      </c>
      <c r="S17" s="18">
        <f t="shared" si="0"/>
        <v>23087.599999999999</v>
      </c>
      <c r="T17" s="19">
        <f t="shared" si="1"/>
        <v>8075.4</v>
      </c>
      <c r="U17" s="19">
        <f t="shared" si="2"/>
        <v>0</v>
      </c>
      <c r="V17" s="20">
        <f t="shared" si="17"/>
        <v>31163</v>
      </c>
      <c r="W17" s="17">
        <v>5.7</v>
      </c>
      <c r="X17" s="21">
        <v>0.8</v>
      </c>
      <c r="Y17" s="22">
        <f t="shared" si="13"/>
        <v>912560</v>
      </c>
      <c r="Z17" s="23">
        <f t="shared" si="6"/>
        <v>1095.0999999999999</v>
      </c>
      <c r="AA17" s="24">
        <f t="shared" si="7"/>
        <v>32258.1</v>
      </c>
      <c r="AB17" s="25">
        <f t="shared" si="14"/>
        <v>32258.1</v>
      </c>
      <c r="AC17" s="25">
        <f t="shared" si="15"/>
        <v>31163</v>
      </c>
      <c r="AD17" s="25">
        <f t="shared" si="16"/>
        <v>1095.0999999999999</v>
      </c>
      <c r="AE17" s="25">
        <v>18481.099999999999</v>
      </c>
      <c r="AF17" s="26">
        <f t="shared" si="3"/>
        <v>19220.3</v>
      </c>
      <c r="AG17" s="27">
        <v>54347.7</v>
      </c>
      <c r="AH17" s="27">
        <v>53402.1</v>
      </c>
      <c r="AI17" s="27">
        <v>945.6</v>
      </c>
      <c r="AJ17" s="27" t="e">
        <f>#REF!-AG17</f>
        <v>#REF!</v>
      </c>
      <c r="AK17" s="27" t="e">
        <f>#REF!-AH17</f>
        <v>#REF!</v>
      </c>
      <c r="AL17" s="27" t="e">
        <f>#REF!-AI17</f>
        <v>#REF!</v>
      </c>
      <c r="AM17" s="27">
        <f t="shared" si="8"/>
        <v>4761</v>
      </c>
      <c r="AN17" s="28">
        <f t="shared" si="9"/>
        <v>30680.2</v>
      </c>
      <c r="AO17" s="28">
        <v>29638.7</v>
      </c>
      <c r="AP17" s="28">
        <v>1041.5</v>
      </c>
      <c r="AQ17" s="28">
        <f t="shared" si="10"/>
        <v>30680.2</v>
      </c>
      <c r="AR17" s="28">
        <f t="shared" si="11"/>
        <v>30680.2</v>
      </c>
      <c r="AS17" s="29"/>
      <c r="AT17" s="29">
        <f t="shared" si="4"/>
        <v>30680200</v>
      </c>
    </row>
    <row r="18" spans="1:46" s="30" customFormat="1" x14ac:dyDescent="0.2">
      <c r="A18" s="13">
        <v>12</v>
      </c>
      <c r="B18" s="14" t="s">
        <v>51</v>
      </c>
      <c r="C18" s="15">
        <v>5777</v>
      </c>
      <c r="D18" s="16">
        <v>153</v>
      </c>
      <c r="E18" s="16">
        <v>30</v>
      </c>
      <c r="F18" s="16">
        <v>280</v>
      </c>
      <c r="G18" s="16">
        <v>0</v>
      </c>
      <c r="H18" s="16">
        <v>6</v>
      </c>
      <c r="I18" s="16">
        <v>338</v>
      </c>
      <c r="J18" s="16">
        <v>32</v>
      </c>
      <c r="K18" s="16">
        <v>310</v>
      </c>
      <c r="L18" s="16">
        <v>483</v>
      </c>
      <c r="M18" s="16"/>
      <c r="N18" s="16">
        <f t="shared" si="12"/>
        <v>1602</v>
      </c>
      <c r="O18" s="16">
        <v>2423</v>
      </c>
      <c r="P18" s="16"/>
      <c r="Q18" s="17">
        <v>0</v>
      </c>
      <c r="R18" s="16">
        <f t="shared" si="5"/>
        <v>4025</v>
      </c>
      <c r="S18" s="18">
        <f t="shared" si="0"/>
        <v>28270.799999999999</v>
      </c>
      <c r="T18" s="19">
        <f t="shared" si="1"/>
        <v>5344.9</v>
      </c>
      <c r="U18" s="19">
        <f t="shared" si="2"/>
        <v>0</v>
      </c>
      <c r="V18" s="20">
        <f t="shared" si="17"/>
        <v>33615.699999999997</v>
      </c>
      <c r="W18" s="17">
        <v>5</v>
      </c>
      <c r="X18" s="21">
        <v>0.6</v>
      </c>
      <c r="Y18" s="22">
        <f t="shared" si="13"/>
        <v>684420</v>
      </c>
      <c r="Z18" s="23">
        <f t="shared" si="6"/>
        <v>821.3</v>
      </c>
      <c r="AA18" s="24">
        <f t="shared" si="7"/>
        <v>34437</v>
      </c>
      <c r="AB18" s="25">
        <f t="shared" si="14"/>
        <v>34437</v>
      </c>
      <c r="AC18" s="25">
        <f t="shared" si="15"/>
        <v>33615.699999999997</v>
      </c>
      <c r="AD18" s="25">
        <f t="shared" si="16"/>
        <v>821.3</v>
      </c>
      <c r="AE18" s="25">
        <v>33601.799999999996</v>
      </c>
      <c r="AF18" s="26">
        <f t="shared" si="3"/>
        <v>34945.9</v>
      </c>
      <c r="AG18" s="27">
        <v>59955.4</v>
      </c>
      <c r="AH18" s="27">
        <v>59144.9</v>
      </c>
      <c r="AI18" s="27">
        <v>810.5</v>
      </c>
      <c r="AJ18" s="27" t="e">
        <f>#REF!-AG18</f>
        <v>#REF!</v>
      </c>
      <c r="AK18" s="27" t="e">
        <f>#REF!-AH18</f>
        <v>#REF!</v>
      </c>
      <c r="AL18" s="27" t="e">
        <f>#REF!-AI18</f>
        <v>#REF!</v>
      </c>
      <c r="AM18" s="27">
        <f t="shared" si="8"/>
        <v>3828</v>
      </c>
      <c r="AN18" s="28">
        <f t="shared" si="9"/>
        <v>32752.5</v>
      </c>
      <c r="AO18" s="28">
        <v>31971.4</v>
      </c>
      <c r="AP18" s="28">
        <v>781.1</v>
      </c>
      <c r="AQ18" s="28">
        <f t="shared" si="10"/>
        <v>32752.5</v>
      </c>
      <c r="AR18" s="28">
        <f t="shared" si="11"/>
        <v>32752.5</v>
      </c>
      <c r="AS18" s="29"/>
      <c r="AT18" s="29">
        <f t="shared" si="4"/>
        <v>32752500</v>
      </c>
    </row>
    <row r="19" spans="1:46" s="30" customFormat="1" x14ac:dyDescent="0.2">
      <c r="A19" s="13">
        <v>13</v>
      </c>
      <c r="B19" s="14" t="s">
        <v>52</v>
      </c>
      <c r="C19" s="15">
        <v>2781</v>
      </c>
      <c r="D19" s="16">
        <v>59</v>
      </c>
      <c r="E19" s="16">
        <v>31</v>
      </c>
      <c r="F19" s="16">
        <v>18</v>
      </c>
      <c r="G19" s="16">
        <v>0</v>
      </c>
      <c r="H19" s="16">
        <v>2</v>
      </c>
      <c r="I19" s="16">
        <v>37</v>
      </c>
      <c r="J19" s="16">
        <v>2</v>
      </c>
      <c r="K19" s="16">
        <v>211</v>
      </c>
      <c r="L19" s="16">
        <v>345</v>
      </c>
      <c r="M19" s="16"/>
      <c r="N19" s="16">
        <f>D19+F19+G19+H19+I19+J19+K19+L19-M19</f>
        <v>674</v>
      </c>
      <c r="O19" s="16">
        <v>1120</v>
      </c>
      <c r="P19" s="16"/>
      <c r="Q19" s="17">
        <v>0</v>
      </c>
      <c r="R19" s="16">
        <f t="shared" si="5"/>
        <v>1794</v>
      </c>
      <c r="S19" s="18">
        <f t="shared" si="0"/>
        <v>11956.8</v>
      </c>
      <c r="T19" s="19">
        <f t="shared" si="1"/>
        <v>2483.6</v>
      </c>
      <c r="U19" s="19">
        <f t="shared" si="2"/>
        <v>0</v>
      </c>
      <c r="V19" s="20">
        <f t="shared" si="17"/>
        <v>14440.4</v>
      </c>
      <c r="W19" s="17">
        <v>4.5</v>
      </c>
      <c r="X19" s="21">
        <v>0.3</v>
      </c>
      <c r="Y19" s="22">
        <f>ROUND(X19*$Z$33*1000,1)</f>
        <v>342210</v>
      </c>
      <c r="Z19" s="23">
        <f t="shared" si="6"/>
        <v>410.7</v>
      </c>
      <c r="AA19" s="24">
        <f t="shared" si="7"/>
        <v>14851.1</v>
      </c>
      <c r="AB19" s="25">
        <f t="shared" si="14"/>
        <v>14851.1</v>
      </c>
      <c r="AC19" s="25">
        <f t="shared" si="15"/>
        <v>14440.4</v>
      </c>
      <c r="AD19" s="25">
        <f t="shared" si="16"/>
        <v>410.7</v>
      </c>
      <c r="AE19" s="25">
        <v>23384.6</v>
      </c>
      <c r="AF19" s="26">
        <f t="shared" si="3"/>
        <v>24320</v>
      </c>
      <c r="AG19" s="27">
        <v>33968.699999999997</v>
      </c>
      <c r="AH19" s="27">
        <v>33563.399999999994</v>
      </c>
      <c r="AI19" s="27">
        <v>405.3</v>
      </c>
      <c r="AJ19" s="27" t="e">
        <f>#REF!-AG19</f>
        <v>#REF!</v>
      </c>
      <c r="AK19" s="27" t="e">
        <f>#REF!-AH19</f>
        <v>#REF!</v>
      </c>
      <c r="AL19" s="27" t="e">
        <f>#REF!-AI19</f>
        <v>#REF!</v>
      </c>
      <c r="AM19" s="27">
        <f t="shared" si="8"/>
        <v>1706</v>
      </c>
      <c r="AN19" s="28">
        <f t="shared" si="9"/>
        <v>14124.7</v>
      </c>
      <c r="AO19" s="28">
        <v>13734.1</v>
      </c>
      <c r="AP19" s="28">
        <v>390.6</v>
      </c>
      <c r="AQ19" s="28">
        <f t="shared" si="10"/>
        <v>14124.7</v>
      </c>
      <c r="AR19" s="28">
        <f t="shared" si="11"/>
        <v>14124.7</v>
      </c>
      <c r="AS19" s="29"/>
      <c r="AT19" s="29">
        <f t="shared" si="4"/>
        <v>14124700</v>
      </c>
    </row>
    <row r="20" spans="1:46" s="30" customFormat="1" x14ac:dyDescent="0.2">
      <c r="A20" s="13">
        <v>14</v>
      </c>
      <c r="B20" s="14" t="s">
        <v>53</v>
      </c>
      <c r="C20" s="15">
        <v>5340</v>
      </c>
      <c r="D20" s="16">
        <v>29</v>
      </c>
      <c r="E20" s="16">
        <v>29</v>
      </c>
      <c r="F20" s="16">
        <v>20</v>
      </c>
      <c r="G20" s="16">
        <v>1</v>
      </c>
      <c r="H20" s="16">
        <v>0</v>
      </c>
      <c r="I20" s="16">
        <v>214</v>
      </c>
      <c r="J20" s="16">
        <v>24</v>
      </c>
      <c r="K20" s="16">
        <v>294</v>
      </c>
      <c r="L20" s="16">
        <v>222</v>
      </c>
      <c r="M20" s="16"/>
      <c r="N20" s="16">
        <f t="shared" si="12"/>
        <v>804</v>
      </c>
      <c r="O20" s="16">
        <v>2396</v>
      </c>
      <c r="P20" s="16">
        <v>11</v>
      </c>
      <c r="Q20" s="17">
        <v>0</v>
      </c>
      <c r="R20" s="16">
        <f t="shared" si="5"/>
        <v>3200</v>
      </c>
      <c r="S20" s="18">
        <f>ROUND(N20*$G$31*$G$30*(100-W20)/100/1000,1)</f>
        <v>12993.5</v>
      </c>
      <c r="T20" s="19">
        <f t="shared" si="1"/>
        <v>4840.3</v>
      </c>
      <c r="U20" s="19">
        <f t="shared" si="2"/>
        <v>204.3</v>
      </c>
      <c r="V20" s="35">
        <f t="shared" si="17"/>
        <v>18038.099999999999</v>
      </c>
      <c r="W20" s="17">
        <v>13</v>
      </c>
      <c r="X20" s="21">
        <v>0.6</v>
      </c>
      <c r="Y20" s="22">
        <f t="shared" si="13"/>
        <v>684420</v>
      </c>
      <c r="Z20" s="23">
        <f t="shared" si="6"/>
        <v>821.3</v>
      </c>
      <c r="AA20" s="24">
        <f t="shared" si="7"/>
        <v>18859.399999999998</v>
      </c>
      <c r="AB20" s="25">
        <f t="shared" si="14"/>
        <v>18859.399999999998</v>
      </c>
      <c r="AC20" s="36">
        <f t="shared" si="15"/>
        <v>18038.099999999999</v>
      </c>
      <c r="AD20" s="25">
        <f t="shared" si="16"/>
        <v>821.3</v>
      </c>
      <c r="AE20" s="25">
        <v>16410.2</v>
      </c>
      <c r="AF20" s="26">
        <f t="shared" si="3"/>
        <v>17066.599999999999</v>
      </c>
      <c r="AG20" s="27">
        <v>42229.599999999999</v>
      </c>
      <c r="AH20" s="27">
        <v>41419.1</v>
      </c>
      <c r="AI20" s="27">
        <v>810.5</v>
      </c>
      <c r="AJ20" s="27" t="e">
        <f>#REF!-AG20</f>
        <v>#REF!</v>
      </c>
      <c r="AK20" s="27" t="e">
        <f>#REF!-AH20</f>
        <v>#REF!</v>
      </c>
      <c r="AL20" s="27" t="e">
        <f>#REF!-AI20</f>
        <v>#REF!</v>
      </c>
      <c r="AM20" s="27">
        <f t="shared" si="8"/>
        <v>3043</v>
      </c>
      <c r="AN20" s="28">
        <f t="shared" si="9"/>
        <v>17936.899999999998</v>
      </c>
      <c r="AO20" s="28">
        <v>17155.8</v>
      </c>
      <c r="AP20" s="28">
        <v>781.1</v>
      </c>
      <c r="AQ20" s="28">
        <f t="shared" si="10"/>
        <v>17936.899999999998</v>
      </c>
      <c r="AR20" s="28">
        <f t="shared" si="11"/>
        <v>17936.899999999998</v>
      </c>
      <c r="AS20" s="29"/>
      <c r="AT20" s="29">
        <f t="shared" si="4"/>
        <v>17936899.999999996</v>
      </c>
    </row>
    <row r="21" spans="1:46" s="30" customFormat="1" x14ac:dyDescent="0.2">
      <c r="A21" s="13">
        <v>15</v>
      </c>
      <c r="B21" s="14" t="s">
        <v>54</v>
      </c>
      <c r="C21" s="15">
        <v>3582</v>
      </c>
      <c r="D21" s="16">
        <v>413</v>
      </c>
      <c r="E21" s="16">
        <v>8</v>
      </c>
      <c r="F21" s="16">
        <v>7</v>
      </c>
      <c r="G21" s="16">
        <v>0</v>
      </c>
      <c r="H21" s="16">
        <v>2</v>
      </c>
      <c r="I21" s="16">
        <v>134</v>
      </c>
      <c r="J21" s="16">
        <v>26</v>
      </c>
      <c r="K21" s="16">
        <v>154</v>
      </c>
      <c r="L21" s="16">
        <v>99</v>
      </c>
      <c r="M21" s="16"/>
      <c r="N21" s="16">
        <f t="shared" si="12"/>
        <v>835</v>
      </c>
      <c r="O21" s="16">
        <v>1540</v>
      </c>
      <c r="P21" s="16"/>
      <c r="Q21" s="17">
        <v>0</v>
      </c>
      <c r="R21" s="16">
        <f t="shared" si="5"/>
        <v>2375</v>
      </c>
      <c r="S21" s="18">
        <f t="shared" si="0"/>
        <v>14797.5</v>
      </c>
      <c r="T21" s="19">
        <f t="shared" si="1"/>
        <v>3411.4</v>
      </c>
      <c r="U21" s="19">
        <f t="shared" si="2"/>
        <v>0</v>
      </c>
      <c r="V21" s="20">
        <f t="shared" si="17"/>
        <v>18208.900000000001</v>
      </c>
      <c r="W21" s="17">
        <v>4.5999999999999996</v>
      </c>
      <c r="X21" s="21">
        <v>0.4</v>
      </c>
      <c r="Y21" s="22">
        <f t="shared" si="13"/>
        <v>456280</v>
      </c>
      <c r="Z21" s="23">
        <f t="shared" si="6"/>
        <v>547.5</v>
      </c>
      <c r="AA21" s="24">
        <f t="shared" si="7"/>
        <v>18756.400000000001</v>
      </c>
      <c r="AB21" s="25">
        <f t="shared" si="14"/>
        <v>18756.400000000001</v>
      </c>
      <c r="AC21" s="25">
        <f t="shared" si="15"/>
        <v>18208.900000000001</v>
      </c>
      <c r="AD21" s="25">
        <f t="shared" si="16"/>
        <v>547.5</v>
      </c>
      <c r="AE21" s="25">
        <v>19811.400000000001</v>
      </c>
      <c r="AF21" s="26">
        <f t="shared" si="3"/>
        <v>20603.900000000001</v>
      </c>
      <c r="AG21" s="27">
        <v>35195.4</v>
      </c>
      <c r="AH21" s="27">
        <v>34655.1</v>
      </c>
      <c r="AI21" s="27">
        <v>540.29999999999995</v>
      </c>
      <c r="AJ21" s="27" t="e">
        <f>#REF!-AG21</f>
        <v>#REF!</v>
      </c>
      <c r="AK21" s="27" t="e">
        <f>#REF!-AH21</f>
        <v>#REF!</v>
      </c>
      <c r="AL21" s="27" t="e">
        <f>#REF!-AI21</f>
        <v>#REF!</v>
      </c>
      <c r="AM21" s="27">
        <f t="shared" si="8"/>
        <v>2259</v>
      </c>
      <c r="AN21" s="28">
        <f t="shared" si="9"/>
        <v>17838.900000000001</v>
      </c>
      <c r="AO21" s="28">
        <v>17318.2</v>
      </c>
      <c r="AP21" s="28">
        <v>520.70000000000005</v>
      </c>
      <c r="AQ21" s="28">
        <f t="shared" si="10"/>
        <v>17838.900000000001</v>
      </c>
      <c r="AR21" s="28">
        <f t="shared" si="11"/>
        <v>17838.900000000001</v>
      </c>
      <c r="AS21" s="29"/>
      <c r="AT21" s="29">
        <f t="shared" si="4"/>
        <v>17838900</v>
      </c>
    </row>
    <row r="22" spans="1:46" s="30" customFormat="1" x14ac:dyDescent="0.2">
      <c r="A22" s="13">
        <v>16</v>
      </c>
      <c r="B22" s="14" t="s">
        <v>55</v>
      </c>
      <c r="C22" s="15">
        <v>7049</v>
      </c>
      <c r="D22" s="16">
        <v>283</v>
      </c>
      <c r="E22" s="16">
        <v>42</v>
      </c>
      <c r="F22" s="16">
        <v>11</v>
      </c>
      <c r="G22" s="16">
        <v>0</v>
      </c>
      <c r="H22" s="16">
        <v>14</v>
      </c>
      <c r="I22" s="16">
        <v>274</v>
      </c>
      <c r="J22" s="16">
        <v>34</v>
      </c>
      <c r="K22" s="16">
        <v>232</v>
      </c>
      <c r="L22" s="16">
        <v>209</v>
      </c>
      <c r="M22" s="16"/>
      <c r="N22" s="16">
        <f t="shared" si="12"/>
        <v>1057</v>
      </c>
      <c r="O22" s="16">
        <v>2984</v>
      </c>
      <c r="P22" s="16"/>
      <c r="Q22" s="17">
        <v>0</v>
      </c>
      <c r="R22" s="16">
        <f t="shared" si="5"/>
        <v>4041</v>
      </c>
      <c r="S22" s="18">
        <f t="shared" si="0"/>
        <v>19438.5</v>
      </c>
      <c r="T22" s="19">
        <f t="shared" si="1"/>
        <v>6859.6</v>
      </c>
      <c r="U22" s="19">
        <f t="shared" si="2"/>
        <v>0</v>
      </c>
      <c r="V22" s="20">
        <f t="shared" si="17"/>
        <v>26298.1</v>
      </c>
      <c r="W22" s="17">
        <v>1</v>
      </c>
      <c r="X22" s="21">
        <v>0.8</v>
      </c>
      <c r="Y22" s="22">
        <f t="shared" si="13"/>
        <v>912560</v>
      </c>
      <c r="Z22" s="23">
        <f t="shared" si="6"/>
        <v>1095.0999999999999</v>
      </c>
      <c r="AA22" s="24">
        <f t="shared" si="7"/>
        <v>27393.199999999997</v>
      </c>
      <c r="AB22" s="25">
        <f t="shared" si="14"/>
        <v>27393.199999999997</v>
      </c>
      <c r="AC22" s="25">
        <f t="shared" si="15"/>
        <v>26298.1</v>
      </c>
      <c r="AD22" s="25">
        <f t="shared" si="16"/>
        <v>1095.0999999999999</v>
      </c>
      <c r="AE22" s="25">
        <v>27379.899999999998</v>
      </c>
      <c r="AF22" s="26">
        <f t="shared" si="3"/>
        <v>28475.1</v>
      </c>
      <c r="AG22" s="27">
        <v>60492.800000000003</v>
      </c>
      <c r="AH22" s="27">
        <v>59412.100000000006</v>
      </c>
      <c r="AI22" s="27">
        <v>1080.7</v>
      </c>
      <c r="AJ22" s="27" t="e">
        <f>#REF!-AG22</f>
        <v>#REF!</v>
      </c>
      <c r="AK22" s="27" t="e">
        <f>#REF!-AH22</f>
        <v>#REF!</v>
      </c>
      <c r="AL22" s="27" t="e">
        <f>#REF!-AI22</f>
        <v>#REF!</v>
      </c>
      <c r="AM22" s="27">
        <f t="shared" si="8"/>
        <v>3843</v>
      </c>
      <c r="AN22" s="28">
        <f>AO22+AP22</f>
        <v>26053.3</v>
      </c>
      <c r="AO22" s="28">
        <v>25011.8</v>
      </c>
      <c r="AP22" s="28">
        <v>1041.5</v>
      </c>
      <c r="AQ22" s="28">
        <f t="shared" si="10"/>
        <v>26053.3</v>
      </c>
      <c r="AR22" s="28">
        <f t="shared" si="11"/>
        <v>26053.3</v>
      </c>
      <c r="AS22" s="29"/>
      <c r="AT22" s="29">
        <f t="shared" si="4"/>
        <v>26053300</v>
      </c>
    </row>
    <row r="23" spans="1:46" s="30" customFormat="1" x14ac:dyDescent="0.2">
      <c r="A23" s="13">
        <v>17</v>
      </c>
      <c r="B23" s="14" t="s">
        <v>56</v>
      </c>
      <c r="C23" s="15">
        <v>11576</v>
      </c>
      <c r="D23" s="16">
        <v>371</v>
      </c>
      <c r="E23" s="16">
        <v>71</v>
      </c>
      <c r="F23" s="16">
        <v>15</v>
      </c>
      <c r="G23" s="16">
        <v>3</v>
      </c>
      <c r="H23" s="16">
        <v>10</v>
      </c>
      <c r="I23" s="16">
        <v>566</v>
      </c>
      <c r="J23" s="16">
        <v>34</v>
      </c>
      <c r="K23" s="16">
        <v>454</v>
      </c>
      <c r="L23" s="16">
        <v>254</v>
      </c>
      <c r="M23" s="16"/>
      <c r="N23" s="16">
        <f t="shared" si="12"/>
        <v>1707</v>
      </c>
      <c r="O23" s="16">
        <v>5191</v>
      </c>
      <c r="P23" s="16"/>
      <c r="Q23" s="17">
        <v>0</v>
      </c>
      <c r="R23" s="16">
        <f t="shared" si="5"/>
        <v>6898</v>
      </c>
      <c r="S23" s="18">
        <f t="shared" si="0"/>
        <v>28062.7</v>
      </c>
      <c r="T23" s="19">
        <f t="shared" si="1"/>
        <v>10667.3</v>
      </c>
      <c r="U23" s="19">
        <f t="shared" si="2"/>
        <v>0</v>
      </c>
      <c r="V23" s="20">
        <f t="shared" si="17"/>
        <v>38730</v>
      </c>
      <c r="W23" s="17">
        <v>11.5</v>
      </c>
      <c r="X23" s="21">
        <v>1</v>
      </c>
      <c r="Y23" s="22">
        <f t="shared" si="13"/>
        <v>1140700</v>
      </c>
      <c r="Z23" s="23">
        <f t="shared" si="6"/>
        <v>1368.8</v>
      </c>
      <c r="AA23" s="24">
        <f t="shared" si="7"/>
        <v>40098.800000000003</v>
      </c>
      <c r="AB23" s="25">
        <f t="shared" si="14"/>
        <v>40098.800000000003</v>
      </c>
      <c r="AC23" s="25">
        <f t="shared" si="15"/>
        <v>38730</v>
      </c>
      <c r="AD23" s="25">
        <f t="shared" si="16"/>
        <v>1368.8</v>
      </c>
      <c r="AE23" s="25">
        <v>36618.699999999997</v>
      </c>
      <c r="AF23" s="26">
        <f t="shared" si="3"/>
        <v>38083.4</v>
      </c>
      <c r="AG23" s="27">
        <v>92305</v>
      </c>
      <c r="AH23" s="27">
        <v>90954.2</v>
      </c>
      <c r="AI23" s="27">
        <v>1350.8</v>
      </c>
      <c r="AJ23" s="27" t="e">
        <f>#REF!-AG23</f>
        <v>#REF!</v>
      </c>
      <c r="AK23" s="27" t="e">
        <f>#REF!-AH23</f>
        <v>#REF!</v>
      </c>
      <c r="AL23" s="27" t="e">
        <f>#REF!-AI23</f>
        <v>#REF!</v>
      </c>
      <c r="AM23" s="27">
        <f t="shared" si="8"/>
        <v>6561</v>
      </c>
      <c r="AN23" s="28">
        <f t="shared" si="9"/>
        <v>38137.4</v>
      </c>
      <c r="AO23" s="28">
        <v>36835.599999999999</v>
      </c>
      <c r="AP23" s="28">
        <v>1301.8</v>
      </c>
      <c r="AQ23" s="28">
        <f t="shared" si="10"/>
        <v>38137.4</v>
      </c>
      <c r="AR23" s="28">
        <f t="shared" si="11"/>
        <v>38137.4</v>
      </c>
      <c r="AS23" s="29"/>
      <c r="AT23" s="29">
        <f t="shared" si="4"/>
        <v>38137400</v>
      </c>
    </row>
    <row r="24" spans="1:46" s="30" customFormat="1" x14ac:dyDescent="0.2">
      <c r="A24" s="13">
        <v>18</v>
      </c>
      <c r="B24" s="14" t="s">
        <v>57</v>
      </c>
      <c r="C24" s="15">
        <v>6338</v>
      </c>
      <c r="D24" s="16">
        <v>50</v>
      </c>
      <c r="E24" s="16">
        <v>29</v>
      </c>
      <c r="F24" s="16">
        <v>21</v>
      </c>
      <c r="G24" s="16">
        <v>2</v>
      </c>
      <c r="H24" s="16">
        <v>1</v>
      </c>
      <c r="I24" s="16">
        <v>186</v>
      </c>
      <c r="J24" s="16">
        <v>2</v>
      </c>
      <c r="K24" s="16">
        <v>198</v>
      </c>
      <c r="L24" s="16">
        <v>78</v>
      </c>
      <c r="M24" s="16"/>
      <c r="N24" s="16">
        <v>538</v>
      </c>
      <c r="O24" s="16">
        <v>2830</v>
      </c>
      <c r="P24" s="16">
        <v>73</v>
      </c>
      <c r="Q24" s="17">
        <v>9</v>
      </c>
      <c r="R24" s="16">
        <f>N24+O24</f>
        <v>3368</v>
      </c>
      <c r="S24" s="18">
        <f>ROUND(N24*$G$31*$G$30*(100-W24)/100/1000,1)</f>
        <v>9094.4</v>
      </c>
      <c r="T24" s="19">
        <f>ROUND(O24*$G$31*$G$32*(100-W24)/100/1000,1)</f>
        <v>5979.8</v>
      </c>
      <c r="U24" s="19">
        <f>ROUND(P24*$G$31*$G$33*(100-Q24)/100/1000,1)</f>
        <v>1234</v>
      </c>
      <c r="V24" s="20">
        <f>ROUND(S24+T24+U24,1)</f>
        <v>16308.2</v>
      </c>
      <c r="W24" s="17">
        <v>9</v>
      </c>
      <c r="X24" s="21">
        <v>0.7</v>
      </c>
      <c r="Y24" s="22">
        <f t="shared" si="13"/>
        <v>798490</v>
      </c>
      <c r="Z24" s="23">
        <f t="shared" si="6"/>
        <v>958.2</v>
      </c>
      <c r="AA24" s="24">
        <f t="shared" si="7"/>
        <v>17266.400000000001</v>
      </c>
      <c r="AB24" s="25">
        <f t="shared" si="14"/>
        <v>17266.400000000001</v>
      </c>
      <c r="AC24" s="25">
        <f t="shared" si="15"/>
        <v>16308.2</v>
      </c>
      <c r="AD24" s="25">
        <f t="shared" si="16"/>
        <v>958.2</v>
      </c>
      <c r="AE24" s="25">
        <v>16140.6</v>
      </c>
      <c r="AF24" s="26">
        <f t="shared" si="3"/>
        <v>16786.2</v>
      </c>
      <c r="AG24" s="27">
        <v>48706.400000000001</v>
      </c>
      <c r="AH24" s="27">
        <v>47895.9</v>
      </c>
      <c r="AI24" s="27">
        <v>810.5</v>
      </c>
      <c r="AJ24" s="27" t="e">
        <f>#REF!-AG24</f>
        <v>#REF!</v>
      </c>
      <c r="AK24" s="27" t="e">
        <f>#REF!-AH24</f>
        <v>#REF!</v>
      </c>
      <c r="AL24" s="27" t="e">
        <f>#REF!-AI24</f>
        <v>#REF!</v>
      </c>
      <c r="AM24" s="27">
        <f t="shared" si="8"/>
        <v>3203</v>
      </c>
      <c r="AN24" s="28">
        <f t="shared" si="9"/>
        <v>16421.8</v>
      </c>
      <c r="AO24" s="28">
        <v>15510.5</v>
      </c>
      <c r="AP24" s="28">
        <v>911.3</v>
      </c>
      <c r="AQ24" s="28">
        <f t="shared" si="10"/>
        <v>16421.8</v>
      </c>
      <c r="AR24" s="28">
        <f t="shared" si="11"/>
        <v>16421.8</v>
      </c>
      <c r="AS24" s="29"/>
      <c r="AT24" s="29">
        <f t="shared" si="4"/>
        <v>16421800</v>
      </c>
    </row>
    <row r="25" spans="1:46" s="50" customFormat="1" x14ac:dyDescent="0.2">
      <c r="A25" s="37"/>
      <c r="B25" s="38" t="s">
        <v>58</v>
      </c>
      <c r="C25" s="39">
        <f t="shared" ref="C25" si="18">SUM(C7:C24)</f>
        <v>179543</v>
      </c>
      <c r="D25" s="37">
        <f t="shared" ref="D25:V25" si="19">SUM(D7:D24)</f>
        <v>4911</v>
      </c>
      <c r="E25" s="37">
        <f t="shared" si="19"/>
        <v>732</v>
      </c>
      <c r="F25" s="37">
        <f t="shared" si="19"/>
        <v>629</v>
      </c>
      <c r="G25" s="37">
        <f t="shared" si="19"/>
        <v>21</v>
      </c>
      <c r="H25" s="37">
        <f t="shared" si="19"/>
        <v>98</v>
      </c>
      <c r="I25" s="37">
        <f t="shared" si="19"/>
        <v>4190</v>
      </c>
      <c r="J25" s="37">
        <f t="shared" si="19"/>
        <v>351</v>
      </c>
      <c r="K25" s="37">
        <f t="shared" si="19"/>
        <v>7580</v>
      </c>
      <c r="L25" s="37">
        <f t="shared" si="19"/>
        <v>5720</v>
      </c>
      <c r="M25" s="37">
        <f t="shared" si="19"/>
        <v>0</v>
      </c>
      <c r="N25" s="37">
        <f t="shared" si="19"/>
        <v>23500</v>
      </c>
      <c r="O25" s="37">
        <f t="shared" si="19"/>
        <v>81190</v>
      </c>
      <c r="P25" s="37">
        <f>SUM(P7:P24)</f>
        <v>351</v>
      </c>
      <c r="Q25" s="37">
        <f t="shared" ref="Q25" si="20">SUM(Q7:Q24)</f>
        <v>35.260399999999997</v>
      </c>
      <c r="R25" s="37">
        <f t="shared" si="19"/>
        <v>104690</v>
      </c>
      <c r="S25" s="40">
        <f t="shared" si="19"/>
        <v>402074.5</v>
      </c>
      <c r="T25" s="41">
        <f t="shared" si="19"/>
        <v>171661.49999999997</v>
      </c>
      <c r="U25" s="41">
        <f t="shared" si="19"/>
        <v>6044.1</v>
      </c>
      <c r="V25" s="20">
        <f t="shared" si="19"/>
        <v>579780</v>
      </c>
      <c r="W25" s="42">
        <f>SUM(W7:W24)/18</f>
        <v>8.527972222222223</v>
      </c>
      <c r="X25" s="43">
        <v>12.1</v>
      </c>
      <c r="Y25" s="20">
        <f t="shared" ref="Y25:AL25" si="21">SUM(Y7:Y24)</f>
        <v>14715030</v>
      </c>
      <c r="Z25" s="20">
        <f t="shared" si="21"/>
        <v>17658</v>
      </c>
      <c r="AA25" s="20">
        <f t="shared" si="21"/>
        <v>597438.00000000012</v>
      </c>
      <c r="AB25" s="20">
        <f t="shared" si="21"/>
        <v>597438.00000000012</v>
      </c>
      <c r="AC25" s="20">
        <f t="shared" si="21"/>
        <v>579780</v>
      </c>
      <c r="AD25" s="20">
        <f t="shared" si="21"/>
        <v>17658</v>
      </c>
      <c r="AE25" s="20">
        <f t="shared" si="21"/>
        <v>568215.30000000005</v>
      </c>
      <c r="AF25" s="44">
        <f t="shared" si="21"/>
        <v>590943.80000000005</v>
      </c>
      <c r="AG25" s="45">
        <f t="shared" si="21"/>
        <v>1450106.3999999997</v>
      </c>
      <c r="AH25" s="45">
        <f t="shared" si="21"/>
        <v>1433085.8</v>
      </c>
      <c r="AI25" s="45">
        <f t="shared" si="21"/>
        <v>17020.599999999999</v>
      </c>
      <c r="AJ25" s="45" t="e">
        <f t="shared" si="21"/>
        <v>#REF!</v>
      </c>
      <c r="AK25" s="45" t="e">
        <f t="shared" si="21"/>
        <v>#REF!</v>
      </c>
      <c r="AL25" s="45" t="e">
        <f t="shared" si="21"/>
        <v>#REF!</v>
      </c>
      <c r="AM25" s="46">
        <f>SUM(AM7:AM24)</f>
        <v>99568</v>
      </c>
      <c r="AN25" s="47">
        <f t="shared" ref="AN25:AR25" si="22">SUM(AN7:AN24)</f>
        <v>568215.30000000005</v>
      </c>
      <c r="AO25" s="47">
        <f t="shared" si="22"/>
        <v>551421.60000000009</v>
      </c>
      <c r="AP25" s="47">
        <f t="shared" si="22"/>
        <v>16793.7</v>
      </c>
      <c r="AQ25" s="48">
        <f t="shared" si="22"/>
        <v>568215.30000000005</v>
      </c>
      <c r="AR25" s="48">
        <f t="shared" si="22"/>
        <v>568215.30000000005</v>
      </c>
      <c r="AS25" s="49"/>
      <c r="AT25" s="49">
        <f>SUM(AT7:AT24)</f>
        <v>568215300</v>
      </c>
    </row>
    <row r="26" spans="1:46" s="51" customFormat="1" hidden="1" x14ac:dyDescent="0.2">
      <c r="A26" s="51">
        <v>1</v>
      </c>
      <c r="B26" s="51">
        <v>2</v>
      </c>
      <c r="C26" s="51">
        <v>3</v>
      </c>
      <c r="D26" s="51">
        <v>4</v>
      </c>
      <c r="E26" s="51">
        <v>5</v>
      </c>
      <c r="F26" s="51">
        <v>6</v>
      </c>
      <c r="G26" s="51">
        <v>7</v>
      </c>
      <c r="H26" s="51">
        <v>8</v>
      </c>
      <c r="I26" s="51">
        <v>9</v>
      </c>
      <c r="J26" s="51">
        <v>10</v>
      </c>
      <c r="K26" s="51">
        <v>11</v>
      </c>
      <c r="L26" s="51">
        <v>12</v>
      </c>
      <c r="M26" s="51">
        <v>13</v>
      </c>
      <c r="N26" s="51">
        <v>14</v>
      </c>
      <c r="O26" s="51">
        <v>17</v>
      </c>
      <c r="P26" s="51">
        <v>18</v>
      </c>
      <c r="Q26" s="51">
        <v>19</v>
      </c>
      <c r="R26" s="51">
        <v>21</v>
      </c>
      <c r="S26" s="51">
        <v>22</v>
      </c>
      <c r="T26" s="51">
        <v>25</v>
      </c>
      <c r="U26" s="51">
        <v>26</v>
      </c>
      <c r="V26" s="51">
        <v>27</v>
      </c>
      <c r="W26" s="51">
        <v>28</v>
      </c>
      <c r="X26" s="51">
        <v>29</v>
      </c>
      <c r="Y26" s="51">
        <v>30</v>
      </c>
      <c r="Z26" s="51">
        <v>31</v>
      </c>
      <c r="AA26" s="51">
        <v>32</v>
      </c>
      <c r="AB26" s="51">
        <v>33</v>
      </c>
      <c r="AC26" s="51">
        <v>34</v>
      </c>
      <c r="AD26" s="51">
        <v>35</v>
      </c>
      <c r="AE26" s="51">
        <v>36</v>
      </c>
      <c r="AF26" s="51">
        <v>37</v>
      </c>
      <c r="AG26" s="51">
        <v>40</v>
      </c>
      <c r="AH26" s="51">
        <v>41</v>
      </c>
      <c r="AI26" s="51">
        <v>42</v>
      </c>
      <c r="AJ26" s="51">
        <v>43</v>
      </c>
      <c r="AK26" s="51">
        <v>44</v>
      </c>
      <c r="AL26" s="51">
        <v>45</v>
      </c>
      <c r="AN26" s="51">
        <v>51</v>
      </c>
      <c r="AO26" s="51">
        <v>52</v>
      </c>
      <c r="AP26" s="51">
        <v>53</v>
      </c>
      <c r="AQ26" s="51">
        <v>54</v>
      </c>
      <c r="AR26" s="51">
        <v>55</v>
      </c>
      <c r="AS26" s="52"/>
      <c r="AT26" s="52"/>
    </row>
    <row r="27" spans="1:46" s="54" customFormat="1" hidden="1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U27" s="53"/>
      <c r="V27" s="53"/>
      <c r="W27" s="53"/>
      <c r="X27" s="53"/>
      <c r="Y27" s="53"/>
      <c r="Z27" s="53"/>
      <c r="AA27" s="53"/>
      <c r="AB27" s="55"/>
      <c r="AC27" s="53"/>
      <c r="AD27" s="53"/>
      <c r="AE27" s="53"/>
      <c r="AF27" s="55">
        <f>AF25/AE25-100%</f>
        <v>3.999980289161531E-2</v>
      </c>
      <c r="AG27" s="55"/>
      <c r="AH27" s="55"/>
      <c r="AI27" s="56" t="e">
        <f>AI25-#REF!</f>
        <v>#REF!</v>
      </c>
      <c r="AJ27" s="55"/>
      <c r="AK27" s="55"/>
      <c r="AL27" s="55"/>
      <c r="AM27" s="55"/>
      <c r="AN27" s="57"/>
      <c r="AO27" s="57">
        <v>690000</v>
      </c>
      <c r="AP27" s="57"/>
      <c r="AQ27" s="57"/>
      <c r="AR27" s="57"/>
      <c r="AS27" s="57"/>
      <c r="AT27" s="57"/>
    </row>
    <row r="28" spans="1:46" s="54" customFormat="1" hidden="1" x14ac:dyDescent="0.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N28" s="59"/>
      <c r="AO28" s="59"/>
      <c r="AP28" s="59"/>
      <c r="AQ28" s="59"/>
      <c r="AR28" s="59"/>
      <c r="AS28" s="59"/>
      <c r="AT28" s="60"/>
    </row>
    <row r="29" spans="1:46" s="62" customFormat="1" hidden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U29" s="63"/>
      <c r="V29" s="63"/>
      <c r="W29" s="61"/>
      <c r="X29" s="61"/>
      <c r="Y29" s="61"/>
      <c r="Z29" s="64"/>
      <c r="AA29" s="64"/>
      <c r="AB29" s="65"/>
      <c r="AC29" s="61"/>
      <c r="AD29" s="61"/>
    </row>
    <row r="30" spans="1:46" hidden="1" x14ac:dyDescent="0.2">
      <c r="D30" s="66" t="s">
        <v>59</v>
      </c>
      <c r="E30" s="67"/>
      <c r="F30" s="67"/>
      <c r="G30" s="68">
        <v>108</v>
      </c>
      <c r="U30" s="63"/>
      <c r="V30" s="63"/>
      <c r="X30" s="69" t="s">
        <v>60</v>
      </c>
      <c r="Y30" s="70"/>
      <c r="Z30" s="71">
        <f>ROUND(5600*1.1*1.1*1.1*1.1*1.06*1.06*1.1*1.06*1.06*1.1*1.06*1.04*1.04*1.04*1.04,1)</f>
        <v>15531.3</v>
      </c>
      <c r="AA30" s="72"/>
      <c r="AN30" s="2">
        <v>568215.30000000005</v>
      </c>
    </row>
    <row r="31" spans="1:46" hidden="1" x14ac:dyDescent="0.2">
      <c r="D31" s="66" t="s">
        <v>61</v>
      </c>
      <c r="E31" s="66"/>
      <c r="F31" s="66"/>
      <c r="G31" s="68">
        <v>172</v>
      </c>
      <c r="R31" s="73">
        <f>R24-M24</f>
        <v>3368</v>
      </c>
      <c r="T31" s="63"/>
      <c r="U31" s="63"/>
      <c r="V31" s="63"/>
      <c r="X31" s="69" t="s">
        <v>62</v>
      </c>
      <c r="Y31" s="70"/>
      <c r="Z31" s="74">
        <v>55.67</v>
      </c>
      <c r="AA31" s="75"/>
      <c r="AN31" s="76">
        <f>AN30/AB25</f>
        <v>0.95108663995259746</v>
      </c>
    </row>
    <row r="32" spans="1:46" hidden="1" x14ac:dyDescent="0.2">
      <c r="D32" s="66" t="s">
        <v>63</v>
      </c>
      <c r="E32" s="67"/>
      <c r="F32" s="67"/>
      <c r="G32" s="68">
        <v>13.5</v>
      </c>
      <c r="X32" s="69" t="s">
        <v>64</v>
      </c>
      <c r="Y32" s="70"/>
      <c r="Z32" s="74">
        <v>1.302</v>
      </c>
      <c r="AA32" s="75"/>
      <c r="AB32" s="77"/>
      <c r="AC32" s="78"/>
      <c r="AF32" s="79"/>
    </row>
    <row r="33" spans="1:32" s="83" customFormat="1" hidden="1" x14ac:dyDescent="0.2">
      <c r="A33" s="1"/>
      <c r="B33" s="80"/>
      <c r="C33" s="63"/>
      <c r="D33" s="66" t="s">
        <v>65</v>
      </c>
      <c r="E33" s="67"/>
      <c r="F33" s="67"/>
      <c r="G33" s="68">
        <v>108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2"/>
      <c r="T33" s="63"/>
      <c r="U33" s="63"/>
      <c r="V33" s="63"/>
      <c r="W33" s="63"/>
      <c r="X33" s="81"/>
      <c r="Y33" s="81"/>
      <c r="Z33" s="72">
        <f>AB49</f>
        <v>1140.7</v>
      </c>
      <c r="AA33" s="72"/>
      <c r="AB33" s="63"/>
      <c r="AC33" s="82"/>
      <c r="AD33" s="63"/>
      <c r="AF33" s="79"/>
    </row>
    <row r="34" spans="1:32" hidden="1" x14ac:dyDescent="0.2">
      <c r="S34" s="63"/>
      <c r="AC34" s="79"/>
      <c r="AF34" s="79"/>
    </row>
    <row r="35" spans="1:32" hidden="1" x14ac:dyDescent="0.2">
      <c r="S35" s="84">
        <f>S36-S12</f>
        <v>-17.799999999995634</v>
      </c>
      <c r="T35" s="84">
        <f>T12-T36</f>
        <v>-17.799999999999272</v>
      </c>
      <c r="Z35" s="79"/>
      <c r="AA35" s="79"/>
      <c r="AB35" s="85"/>
      <c r="AF35" s="79"/>
    </row>
    <row r="36" spans="1:32" hidden="1" x14ac:dyDescent="0.2">
      <c r="S36" s="86">
        <v>54885.9</v>
      </c>
      <c r="T36" s="86">
        <v>21148.7</v>
      </c>
      <c r="Z36" s="2">
        <v>2020</v>
      </c>
      <c r="AF36" s="79"/>
    </row>
    <row r="37" spans="1:32" hidden="1" x14ac:dyDescent="0.2">
      <c r="S37" s="86">
        <f>SUM(S36:T36)</f>
        <v>76034.600000000006</v>
      </c>
      <c r="T37" s="87"/>
      <c r="Z37" s="2">
        <v>14933.9</v>
      </c>
      <c r="AF37" s="79"/>
    </row>
    <row r="38" spans="1:32" hidden="1" x14ac:dyDescent="0.2">
      <c r="S38" s="84">
        <f>T12+S12</f>
        <v>76034.600000000006</v>
      </c>
      <c r="T38" s="87"/>
      <c r="AF38" s="79"/>
    </row>
    <row r="39" spans="1:32" hidden="1" x14ac:dyDescent="0.2">
      <c r="AF39" s="79"/>
    </row>
    <row r="40" spans="1:32" hidden="1" x14ac:dyDescent="0.2">
      <c r="AF40" s="79"/>
    </row>
    <row r="41" spans="1:32" hidden="1" x14ac:dyDescent="0.2">
      <c r="AF41" s="79"/>
    </row>
    <row r="42" spans="1:32" hidden="1" x14ac:dyDescent="0.2">
      <c r="AF42" s="79"/>
    </row>
    <row r="43" spans="1:32" hidden="1" x14ac:dyDescent="0.2">
      <c r="Z43" s="88" t="s">
        <v>66</v>
      </c>
      <c r="AA43" s="88" t="s">
        <v>67</v>
      </c>
      <c r="AF43" s="79"/>
    </row>
    <row r="44" spans="1:32" hidden="1" x14ac:dyDescent="0.2">
      <c r="X44" s="69" t="s">
        <v>60</v>
      </c>
      <c r="Y44" s="70"/>
      <c r="Z44" s="71">
        <f>ROUND(5600*1.1*1.1*1.1*1.1*1.06*1.06*1.1*1.06*1.06*1.1*1.06*1.04*1.04*1.04*1.04,1)</f>
        <v>15531.3</v>
      </c>
      <c r="AA44" s="71">
        <f>ROUND(5600*1.1*1.1*1.1*1.1*1.06*1.06*1.1*1.06*1.06*1.1*1.06*1.04*1.04*1.04*1.04*1.04,1)</f>
        <v>16152.5</v>
      </c>
      <c r="AF44" s="79"/>
    </row>
    <row r="45" spans="1:32" hidden="1" x14ac:dyDescent="0.2">
      <c r="X45" s="69" t="s">
        <v>62</v>
      </c>
      <c r="Y45" s="70"/>
      <c r="Z45" s="74">
        <v>55.67</v>
      </c>
      <c r="AA45" s="74">
        <v>55.67</v>
      </c>
      <c r="AF45" s="79"/>
    </row>
    <row r="46" spans="1:32" hidden="1" x14ac:dyDescent="0.2">
      <c r="X46" s="69" t="s">
        <v>64</v>
      </c>
      <c r="Y46" s="70"/>
      <c r="Z46" s="74">
        <v>1.302</v>
      </c>
      <c r="AA46" s="74">
        <v>1.302</v>
      </c>
      <c r="AB46" s="77"/>
      <c r="AF46" s="79"/>
    </row>
    <row r="47" spans="1:32" hidden="1" x14ac:dyDescent="0.2">
      <c r="X47" s="81"/>
      <c r="Y47" s="81"/>
      <c r="Z47" s="71">
        <f>ROUND(Z44*Z45*Z46/1000,1)</f>
        <v>1125.7</v>
      </c>
      <c r="AA47" s="71">
        <f>ROUND(AA44*AA45*AA46/1000,1)</f>
        <v>1170.8</v>
      </c>
      <c r="AB47" s="63"/>
      <c r="AF47" s="79"/>
    </row>
    <row r="48" spans="1:32" hidden="1" x14ac:dyDescent="0.2">
      <c r="Z48" s="88">
        <v>8</v>
      </c>
      <c r="AA48" s="88">
        <v>4</v>
      </c>
      <c r="AF48" s="79"/>
    </row>
    <row r="49" spans="26:32" hidden="1" x14ac:dyDescent="0.2">
      <c r="Z49" s="79">
        <f>Z47*Z48</f>
        <v>9005.6</v>
      </c>
      <c r="AA49" s="79">
        <f>AA47*AA48</f>
        <v>4683.2</v>
      </c>
      <c r="AB49" s="85">
        <f>ROUND(SUM(Z49:AA49)/12,1)</f>
        <v>1140.7</v>
      </c>
      <c r="AF49" s="79"/>
    </row>
    <row r="50" spans="26:32" hidden="1" x14ac:dyDescent="0.2">
      <c r="AF50" s="79"/>
    </row>
    <row r="51" spans="26:32" x14ac:dyDescent="0.2">
      <c r="AF51" s="79"/>
    </row>
    <row r="52" spans="26:32" x14ac:dyDescent="0.2">
      <c r="AF52" s="79"/>
    </row>
    <row r="53" spans="26:32" x14ac:dyDescent="0.2">
      <c r="AF53" s="79"/>
    </row>
  </sheetData>
  <sheetProtection selectLockedCells="1" selectUnlockedCells="1"/>
  <mergeCells count="42">
    <mergeCell ref="AF5:AF6"/>
    <mergeCell ref="AN5:AP5"/>
    <mergeCell ref="AQ5:AQ6"/>
    <mergeCell ref="AR5:AR6"/>
    <mergeCell ref="AG6:AI6"/>
    <mergeCell ref="AJ6:AL6"/>
    <mergeCell ref="AM4:AM6"/>
    <mergeCell ref="AN4:AR4"/>
    <mergeCell ref="AA4:AA6"/>
    <mergeCell ref="AB4:AD4"/>
    <mergeCell ref="AE4:AE6"/>
    <mergeCell ref="S5:S6"/>
    <mergeCell ref="Z5:Z6"/>
    <mergeCell ref="AB5:AB6"/>
    <mergeCell ref="AC5:AC6"/>
    <mergeCell ref="AD5:AD6"/>
    <mergeCell ref="W4:W6"/>
    <mergeCell ref="B2:R2"/>
    <mergeCell ref="Y5:Y6"/>
    <mergeCell ref="T5:T6"/>
    <mergeCell ref="U5:U6"/>
    <mergeCell ref="V5:V6"/>
    <mergeCell ref="X5:X6"/>
    <mergeCell ref="X4:Z4"/>
    <mergeCell ref="I5:I6"/>
    <mergeCell ref="J5:J6"/>
    <mergeCell ref="K5:K6"/>
    <mergeCell ref="L5:L6"/>
    <mergeCell ref="D5:D6"/>
    <mergeCell ref="E5:E6"/>
    <mergeCell ref="F5:F6"/>
    <mergeCell ref="G5:G6"/>
    <mergeCell ref="H5:H6"/>
    <mergeCell ref="A4:A6"/>
    <mergeCell ref="B4:B6"/>
    <mergeCell ref="C4:C6"/>
    <mergeCell ref="D4:R4"/>
    <mergeCell ref="S4:V4"/>
    <mergeCell ref="M5:M6"/>
    <mergeCell ref="N5:N6"/>
    <mergeCell ref="O5:Q5"/>
    <mergeCell ref="R5:R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firstPageNumber="0" fitToWidth="6" orientation="landscape" r:id="rId1"/>
  <headerFooter alignWithMargins="0"/>
  <colBreaks count="1" manualBreakCount="1">
    <brk id="21" max="4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питание_бесплатное</vt:lpstr>
      <vt:lpstr>питание_бесплатное!Заголовки_для_печати</vt:lpstr>
      <vt:lpstr>питание_бесплатное!Область_печати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Павлова</dc:creator>
  <cp:lastModifiedBy>Елена Александровна Павлова</cp:lastModifiedBy>
  <cp:lastPrinted>2021-08-31T09:04:16Z</cp:lastPrinted>
  <dcterms:created xsi:type="dcterms:W3CDTF">2021-08-18T14:11:10Z</dcterms:created>
  <dcterms:modified xsi:type="dcterms:W3CDTF">2021-08-31T09:04:19Z</dcterms:modified>
</cp:coreProperties>
</file>