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0 год" sheetId="1" r:id="rId1"/>
    <sheet name="Лист2" sheetId="2" r:id="rId2"/>
    <sheet name="Лист3" sheetId="3" r:id="rId3"/>
  </sheets>
  <definedNames>
    <definedName name="_xlnm.Print_Titles" localSheetId="0">'2020 год'!$4:$6</definedName>
  </definedNames>
  <calcPr calcId="145621"/>
</workbook>
</file>

<file path=xl/calcChain.xml><?xml version="1.0" encoding="utf-8"?>
<calcChain xmlns="http://schemas.openxmlformats.org/spreadsheetml/2006/main">
  <c r="I141" i="1" l="1"/>
  <c r="H141" i="1"/>
  <c r="G141" i="1" l="1"/>
  <c r="I265" i="1" l="1"/>
  <c r="H265" i="1"/>
  <c r="G265" i="1"/>
  <c r="I255" i="1"/>
  <c r="H255" i="1"/>
  <c r="G255" i="1"/>
  <c r="I218" i="1"/>
  <c r="H213" i="1"/>
  <c r="G213" i="1"/>
  <c r="H208" i="1"/>
  <c r="G208" i="1"/>
  <c r="H207" i="1"/>
  <c r="G207" i="1"/>
  <c r="H206" i="1"/>
  <c r="G206" i="1"/>
  <c r="H199" i="1"/>
  <c r="G199" i="1"/>
  <c r="H198" i="1"/>
  <c r="G198" i="1"/>
  <c r="H196" i="1"/>
  <c r="G196" i="1"/>
  <c r="H192" i="1"/>
  <c r="G192" i="1"/>
  <c r="H187" i="1"/>
  <c r="H184" i="1"/>
  <c r="H181" i="1"/>
  <c r="G181" i="1"/>
  <c r="H179" i="1"/>
  <c r="G179" i="1"/>
  <c r="H177" i="1"/>
  <c r="G177" i="1"/>
  <c r="H176" i="1"/>
  <c r="G176" i="1"/>
  <c r="A176" i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H175" i="1"/>
  <c r="H218" i="1" s="1"/>
  <c r="G172" i="1"/>
  <c r="H172" i="1" s="1"/>
  <c r="I171" i="1"/>
  <c r="G171" i="1"/>
  <c r="G173" i="1" s="1"/>
  <c r="I169" i="1"/>
  <c r="H169" i="1"/>
  <c r="G169" i="1"/>
  <c r="I163" i="1"/>
  <c r="H163" i="1"/>
  <c r="G163" i="1"/>
  <c r="F149" i="1"/>
  <c r="E149" i="1"/>
  <c r="D149" i="1"/>
  <c r="I112" i="1"/>
  <c r="H112" i="1"/>
  <c r="G112" i="1"/>
  <c r="F112" i="1"/>
  <c r="E112" i="1"/>
  <c r="D112" i="1"/>
  <c r="I111" i="1"/>
  <c r="H111" i="1"/>
  <c r="F111" i="1"/>
  <c r="E111" i="1"/>
  <c r="D111" i="1"/>
  <c r="I109" i="1"/>
  <c r="H109" i="1"/>
  <c r="G109" i="1"/>
  <c r="F109" i="1"/>
  <c r="E109" i="1"/>
  <c r="D109" i="1"/>
  <c r="I107" i="1"/>
  <c r="H107" i="1"/>
  <c r="G107" i="1"/>
  <c r="F107" i="1"/>
  <c r="E107" i="1"/>
  <c r="D107" i="1"/>
  <c r="I106" i="1"/>
  <c r="H106" i="1"/>
  <c r="G106" i="1"/>
  <c r="F106" i="1"/>
  <c r="E106" i="1"/>
  <c r="D106" i="1"/>
  <c r="H105" i="1"/>
  <c r="G105" i="1"/>
  <c r="F105" i="1"/>
  <c r="E105" i="1"/>
  <c r="D105" i="1"/>
  <c r="I104" i="1"/>
  <c r="G104" i="1"/>
  <c r="F104" i="1"/>
  <c r="E104" i="1"/>
  <c r="D104" i="1"/>
  <c r="I103" i="1"/>
  <c r="H103" i="1"/>
  <c r="F103" i="1"/>
  <c r="E103" i="1"/>
  <c r="D103" i="1"/>
  <c r="I102" i="1"/>
  <c r="H102" i="1"/>
  <c r="G102" i="1"/>
  <c r="F102" i="1"/>
  <c r="E102" i="1"/>
  <c r="D102" i="1"/>
  <c r="I101" i="1"/>
  <c r="H101" i="1"/>
  <c r="G101" i="1"/>
  <c r="F101" i="1"/>
  <c r="E101" i="1"/>
  <c r="D101" i="1"/>
  <c r="I100" i="1"/>
  <c r="H100" i="1"/>
  <c r="G100" i="1"/>
  <c r="F100" i="1"/>
  <c r="E100" i="1"/>
  <c r="D100" i="1"/>
  <c r="I99" i="1"/>
  <c r="H99" i="1"/>
  <c r="G99" i="1"/>
  <c r="F99" i="1"/>
  <c r="E99" i="1"/>
  <c r="D99" i="1"/>
  <c r="I97" i="1"/>
  <c r="H97" i="1"/>
  <c r="G97" i="1"/>
  <c r="F97" i="1"/>
  <c r="E97" i="1"/>
  <c r="D97" i="1"/>
  <c r="I96" i="1"/>
  <c r="H96" i="1"/>
  <c r="G96" i="1"/>
  <c r="F96" i="1"/>
  <c r="E96" i="1"/>
  <c r="D96" i="1"/>
  <c r="I95" i="1"/>
  <c r="H95" i="1"/>
  <c r="G95" i="1"/>
  <c r="I94" i="1"/>
  <c r="H94" i="1"/>
  <c r="G94" i="1"/>
  <c r="F94" i="1"/>
  <c r="E94" i="1"/>
  <c r="D94" i="1"/>
  <c r="I93" i="1"/>
  <c r="H93" i="1"/>
  <c r="G93" i="1"/>
  <c r="F93" i="1"/>
  <c r="E93" i="1"/>
  <c r="D93" i="1"/>
  <c r="I92" i="1"/>
  <c r="H92" i="1"/>
  <c r="G92" i="1"/>
  <c r="F92" i="1"/>
  <c r="E92" i="1"/>
  <c r="D92" i="1"/>
  <c r="I91" i="1"/>
  <c r="H91" i="1"/>
  <c r="G91" i="1"/>
  <c r="F91" i="1"/>
  <c r="E91" i="1"/>
  <c r="D91" i="1"/>
  <c r="I90" i="1"/>
  <c r="H90" i="1"/>
  <c r="G90" i="1"/>
  <c r="F90" i="1"/>
  <c r="E90" i="1"/>
  <c r="F79" i="1"/>
  <c r="E79" i="1"/>
  <c r="D79" i="1"/>
  <c r="G78" i="1"/>
  <c r="F78" i="1"/>
  <c r="E78" i="1"/>
  <c r="D78" i="1"/>
  <c r="G77" i="1"/>
  <c r="F77" i="1"/>
  <c r="E77" i="1"/>
  <c r="D77" i="1"/>
  <c r="I76" i="1"/>
  <c r="H76" i="1"/>
  <c r="G76" i="1"/>
  <c r="F76" i="1"/>
  <c r="E76" i="1"/>
  <c r="D76" i="1"/>
  <c r="I75" i="1"/>
  <c r="H75" i="1"/>
  <c r="G75" i="1"/>
  <c r="F75" i="1"/>
  <c r="E75" i="1"/>
  <c r="D75" i="1"/>
  <c r="I74" i="1"/>
  <c r="H74" i="1"/>
  <c r="G74" i="1"/>
  <c r="F74" i="1"/>
  <c r="E74" i="1"/>
  <c r="D74" i="1"/>
  <c r="I73" i="1"/>
  <c r="H73" i="1"/>
  <c r="G73" i="1"/>
  <c r="F73" i="1"/>
  <c r="E73" i="1"/>
  <c r="D73" i="1"/>
  <c r="I72" i="1"/>
  <c r="H72" i="1"/>
  <c r="G72" i="1"/>
  <c r="F72" i="1"/>
  <c r="E72" i="1"/>
  <c r="D72" i="1"/>
  <c r="I71" i="1"/>
  <c r="H71" i="1"/>
  <c r="G71" i="1"/>
  <c r="F71" i="1"/>
  <c r="E71" i="1"/>
  <c r="D71" i="1"/>
  <c r="I70" i="1"/>
  <c r="H70" i="1"/>
  <c r="G70" i="1"/>
  <c r="F70" i="1"/>
  <c r="E70" i="1"/>
  <c r="D70" i="1"/>
  <c r="I69" i="1"/>
  <c r="H69" i="1"/>
  <c r="H113" i="1" s="1"/>
  <c r="G69" i="1"/>
  <c r="F69" i="1"/>
  <c r="E69" i="1"/>
  <c r="D69" i="1"/>
  <c r="I67" i="1"/>
  <c r="H67" i="1"/>
  <c r="G67" i="1"/>
  <c r="I46" i="1"/>
  <c r="H46" i="1"/>
  <c r="G46" i="1"/>
  <c r="I29" i="1"/>
  <c r="G29" i="1"/>
  <c r="H27" i="1"/>
  <c r="E27" i="1"/>
  <c r="H26" i="1"/>
  <c r="E26" i="1"/>
  <c r="H25" i="1"/>
  <c r="E25" i="1"/>
  <c r="H24" i="1"/>
  <c r="E24" i="1"/>
  <c r="I22" i="1"/>
  <c r="H22" i="1"/>
  <c r="G22" i="1"/>
  <c r="I16" i="1"/>
  <c r="H16" i="1"/>
  <c r="G16" i="1"/>
  <c r="I10" i="1"/>
  <c r="H10" i="1"/>
  <c r="G10" i="1"/>
  <c r="H173" i="1" l="1"/>
  <c r="I172" i="1"/>
  <c r="H29" i="1"/>
  <c r="H266" i="1" s="1"/>
  <c r="G113" i="1"/>
  <c r="I113" i="1"/>
  <c r="I173" i="1"/>
  <c r="G218" i="1"/>
  <c r="I266" i="1" l="1"/>
  <c r="G266" i="1"/>
</calcChain>
</file>

<file path=xl/sharedStrings.xml><?xml version="1.0" encoding="utf-8"?>
<sst xmlns="http://schemas.openxmlformats.org/spreadsheetml/2006/main" count="544" uniqueCount="312">
  <si>
    <t>№ п/п</t>
  </si>
  <si>
    <t>Наименование государственной услуги (работы)</t>
  </si>
  <si>
    <t>Единицы измерения</t>
  </si>
  <si>
    <t>2020 год (первоначально утв.значения)</t>
  </si>
  <si>
    <t>2020 год (уточненные плановые значения)</t>
  </si>
  <si>
    <t>2020 год (фактические значения)</t>
  </si>
  <si>
    <t>Комитет по социальной защите населения Ленинградской области</t>
  </si>
  <si>
    <t>Государственные учреждения, предоставляющие социальные услуги получателям, в стационарной форме социального обслуживания с постоянным проживанием</t>
  </si>
  <si>
    <t>чел.</t>
  </si>
  <si>
    <t>Государственные учреждения, предоставляющие социальные услуги получателям
в стационарной форме социального обслуживания с временным проживанием, в полустационарной форме социального обслуживания и на дому</t>
  </si>
  <si>
    <t>ИТОГО</t>
  </si>
  <si>
    <t>х</t>
  </si>
  <si>
    <t>Комитет правопорядка и безопасности Ленинградской области</t>
  </si>
  <si>
    <t>Подготовка руководителей и специалистов противопожарной службы (пункт 1.11.3 регионального перечня)</t>
  </si>
  <si>
    <t>чел.×час</t>
  </si>
  <si>
    <t>Подготовка руководителей и специалистов спасательной службы (пункт 1.11.5 регионального перечня)</t>
  </si>
  <si>
    <t>Подготовка должностных лиц и специалистов гражданской обороны и  РСЧС органов исполнительной власти Ленинградской области, органов местного самоуправления и организаций (пункт 1.11.1 регионального перечня)</t>
  </si>
  <si>
    <t>Постоянные затраты на содержание имущества государственного автономного учреждения</t>
  </si>
  <si>
    <t>Комитет государственного заказа Ленинградской области</t>
  </si>
  <si>
    <t>Методическое и организационное обеспечение поддержки пользователей АИСГЗ ЛО по вопросам обеспечения, эксплуатации, сопровождения и развития информационных систем</t>
  </si>
  <si>
    <t>- количество проведенных консультаций</t>
  </si>
  <si>
    <t>ед.</t>
  </si>
  <si>
    <t>- количество проведеных семинаров</t>
  </si>
  <si>
    <t>- количество методических рекомендаций</t>
  </si>
  <si>
    <t>Комитет по охране, контролю и регулированию использования объектов животного мира Ленинградской области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</si>
  <si>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(Проведение подкормочных мероприятий)</t>
  </si>
  <si>
    <t>работа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</si>
  <si>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(Заготовка и хранение кормов)</t>
  </si>
  <si>
    <t>Экологическое просвещение населения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</si>
  <si>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(Сохранение и поддержание видового разнообразия объектов животного мира, включая охотничьи ресурсы, на территории общедоступных охотничьих угодий, ООПТ и иных природных территориях)</t>
  </si>
  <si>
    <t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 (Учет объектов животного мира, отнесенных к объектам охоты и среды их обитания)</t>
  </si>
  <si>
    <t>Управление ветеринарии Ленинградской области</t>
  </si>
  <si>
    <t>шт.</t>
  </si>
  <si>
    <t>Проведение ветеринарно-санитарных мероприятий</t>
  </si>
  <si>
    <t>кв.м</t>
  </si>
  <si>
    <t>Оформление и выдача ветеринарных сопроводительных документов</t>
  </si>
  <si>
    <t>Проведение учёта и контроля за состоянием скотомогильников, включая сибиреязвенные</t>
  </si>
  <si>
    <t>Государственная работа «Осуществление осмотра подконтрольных грузов и проведение дезинфекции транспортных средств»</t>
  </si>
  <si>
    <t>Отбор проб воды и их транспортировка для гидрохимических исследований
 ( c 2021 года)</t>
  </si>
  <si>
    <t>Лабораторные исследования воды на гидрохимические показатели (с 2021 года)</t>
  </si>
  <si>
    <t>Объем средств без норматива (постоянные затраты на содержание недвижимого имущества и на уплату налогов):</t>
  </si>
  <si>
    <t>Ленинградский областной комитет по управления государственным имуществом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</si>
  <si>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информации, необходимой для ведения Единого государственного реестра недвижимости (в электронном виде)</t>
  </si>
  <si>
    <t>гб
(с 2019 - единица)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</si>
  <si>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 о данных рынка недвижимости (в электронном виде)</t>
  </si>
  <si>
    <t>единица</t>
  </si>
  <si>
    <t>Представление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кадастровой стоимости уполномоченным государственным органам по их требованию (в бумажном виде)</t>
  </si>
  <si>
    <t>Представление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кадастровой стоимости уполномоченным государственным органам по их требованию (в электронном виде)</t>
  </si>
  <si>
    <t>Предоставление разъяснений, связанных с определением кадастровой стоимости объектов недвижимости (в электронном виде)</t>
  </si>
  <si>
    <t>Предоставление разъяснений, связанных с определением кадастровой стоимости объектов недвижимости (в бумажном виде)</t>
  </si>
  <si>
    <t>Рассмотрение обращений, связанных с наличием ошибок, допущенных при определении кадастровой стоимости (в электронном виде)</t>
  </si>
  <si>
    <t>Рассмотрение обращений, связанных с наличием ошибок, допущенных при определении кадастровой стоимости (в бумажном виде)</t>
  </si>
  <si>
    <t>Хранение копий отчетов и документов, формируемых в ходе определения кадастровой стоимости (в бумажном виде)</t>
  </si>
  <si>
    <t>Хранение копий отчетов и документов, формируемых в ходе определения кадастровой стоимости  (в электронном виде)</t>
  </si>
  <si>
    <t>гб</t>
  </si>
  <si>
    <t>Хранение копий документов и материалов, использованных при определении кадастровой стоимости (в электронном виде)</t>
  </si>
  <si>
    <t>Хранение копий документов и материалов, использованных при определении кадастровой стоимости (на бумажном носителе)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</si>
  <si>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бумажном виде)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</si>
  <si>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электронном виде)</t>
  </si>
  <si>
    <t>Сбор, обработка, систематизация и накопление информации при определении кадастровой стоимости (в бумажном виде)</t>
  </si>
  <si>
    <t>Сбор, обработка, систематизация и накопление информации при определении кадастровой стоимости (в электронном виде)</t>
  </si>
  <si>
    <t>Определение кадастровой стоимости объектов недвижимости в соответствии со статьей 16 Федерального закона от 03.07.2016 № 237-ФЗ «О государственной кадастровой оценке» (в бумажном виде)</t>
  </si>
  <si>
    <t>Определение кадастровой стоимости объектов недвижимости в соответствии со статьей 16 Федерального закона от 03.07.2016 № 237-ФЗ «О государственной кадастровой оценке» (в электронном виде)</t>
  </si>
  <si>
    <t>Расходы на уплату налогов, в качестве объекта налогообложения по которым признается имущество государственного учреждения</t>
  </si>
  <si>
    <t>Комитет по физической культуре и спорту Ленинградской области</t>
  </si>
  <si>
    <t>Спортивная подготовка по олимпийским видам спорта. Плавание. Этап высшего спортивного мастерства</t>
  </si>
  <si>
    <t>Спортивная подготовка по олимпийским видам спорта. Плавание. Этап совершенствования спортивного мастерства</t>
  </si>
  <si>
    <t>Спортивная подготовка по олимпийским видам спорта. Синхронное плавание. Этап высшего спортивного мастерства</t>
  </si>
  <si>
    <t>Спортивная подготовка по олимпийским видам спорта. Синхронное плавание. Этап совершенствования спортивного мастерства</t>
  </si>
  <si>
    <t>Спортивная подготовка по олимпийским видам спорта. Синхронное плавание. Тренировочный этап (этап спортивной специализации)</t>
  </si>
  <si>
    <t>Спортивная подготовка по олимпийским видам спорта. Водное поло. Этап высшего спортивного мастерства</t>
  </si>
  <si>
    <t>Спортивная подготовка по олимпийским видам спорта. Водное поло. Этап совершенствования спортивного мастерства</t>
  </si>
  <si>
    <t>Спортивная подготовка по олимпийским видам спорта. Водное поло. Тренировочный этап (этап спортивной специализации)</t>
  </si>
  <si>
    <t>Спортивная подготовка по олимпийским видам спорта. Волейбол. Этап высшего спортивного мастерства</t>
  </si>
  <si>
    <t>Спортивная подготовка по олимпийским видам спорта. Волейбол. Этап совершенствования спортивного мастерства</t>
  </si>
  <si>
    <t>Спортивная подготовка по олимпийским видам спорта. Волейбол. Тренировочный этап (этап спортивной специализации)</t>
  </si>
  <si>
    <t>Спортивная подготовка по олимпийским видам спорта. Фристайл. Этап высшего спортивного мастерства</t>
  </si>
  <si>
    <t>Спортивная подготовка по олимпийским видам спорта. Фристайл. Этап совершенствования спортивного мастерства</t>
  </si>
  <si>
    <t>Спортивная подготовка по олимпийским видам спорта. Фристайл. Тренировочный этап (этап спортивной специализации)</t>
  </si>
  <si>
    <t>Спортивная подготовка по олимпийским видам спорта. Горнолыжный спорт. Этап высшего спортивного мастерства</t>
  </si>
  <si>
    <t>Спортивная подготовка по олимпийским видам спорта. Горнолыжный спорт. Этап совершенствования спортивного мастерства</t>
  </si>
  <si>
    <t>Спортивная подготовка по олимпийским видам спорта. Горнолыжный спорт. Тренировочный этап (этап спортивной специализации)</t>
  </si>
  <si>
    <t>Спортивная подготовка по олимпийским видам спорта. Горнолыжный спорт. Этап начальной подготовки</t>
  </si>
  <si>
    <t>Спортивная подготовка по олимпийским видам спорта;Футбол;Этап высшего спортивного мастерства</t>
  </si>
  <si>
    <t>Спортивная подготовка по олимпийским видам спорта. Футбол. Тренировочный этап (этап спортивной специализации)</t>
  </si>
  <si>
    <t>Спортивная подготовка по олимпийским видам спорта. Футбол. Этап начальной подготовки</t>
  </si>
  <si>
    <t>Обеспечение участия сборных команд Ленинградской области в официальных физкультурных (физкультурно-оздоровительных) мероприятиях. Всероссийские</t>
  </si>
  <si>
    <t>Обеспечение участия сборных команд Ленинградской области в официальных физкультурных (физкультурно-оздоровительных) мероприятиях. Межрегиональные</t>
  </si>
  <si>
    <t>Обеспечение участия спортивных сборных команд в официальных спортивных мероприятиях. Всероссийские</t>
  </si>
  <si>
    <t>Обеспечение участия спортивных сборных команд в официальных спортивных мероприятиях. Международные</t>
  </si>
  <si>
    <t>Обеспечение участия спортивных сборных команд в официальных спортивных мероприятиях. Межрегиональные</t>
  </si>
  <si>
    <t>Пропаганда физической культуры, спорта и здорового образа жизни</t>
  </si>
  <si>
    <t>Организация мероприятий по научно-методическому обеспечению спортивных сборных команд</t>
  </si>
  <si>
    <t>Организация и проведение официальных спортивных мероприятий. Международные</t>
  </si>
  <si>
    <t>Организация и проведение официальных спортивных мероприятий. Межмуниципальные</t>
  </si>
  <si>
    <t>Организация и проведение официальных спортивных мероприятий. Региональные</t>
  </si>
  <si>
    <t>Организация и проведение официальных спортивных мероприятий. Межрегиональные</t>
  </si>
  <si>
    <t>Организация и проведение официальных спортивных мероприятий. Всероссийские</t>
  </si>
  <si>
    <t>Проведение тестирования выполнения нормативов в рамках Всероссийского физкультурно-спортивного комплекса "Готов к труду и обороне" (ГТО)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</si>
  <si>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ГТО). Региональные</t>
  </si>
  <si>
    <t>Организация мероприятий по подготовке спортивных сборных команд</t>
  </si>
  <si>
    <t>Организация и проведение официальных физкультурных (физкультурно-оздоровительных) мероприятий. Региональные</t>
  </si>
  <si>
    <t>Организация и проведение официальных физкультурных (физкультурно-оздоровительных) мероприятий. Всероссийские</t>
  </si>
  <si>
    <t>Организация и проведение официальных физкультурных (физкультурно-оздоровительных) мероприятий. Межмуниципальные</t>
  </si>
  <si>
    <t>Обеспечение доступа к объектам спорта</t>
  </si>
  <si>
    <t>час./год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</si>
  <si>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</si>
  <si>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подготовки команд Ленинградской области к участию в межрегиональных, всероссийских и международных физкультурных мероприятиях</t>
  </si>
  <si>
    <t>Обеспечение участия сборных команд Ленинградской области в официальных физкультурных (физкультурно-оздоровительных) мероприятиях. Международные</t>
  </si>
  <si>
    <t>Комитет по культуре Ленинградской облсти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</si>
  <si>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(Народное художественное творчество (по видам) - очная) (услуга)</t>
  </si>
  <si>
    <t>человек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</si>
  <si>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(Социально-культурная деятельность ( по видам) - очная)(услуга)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</si>
  <si>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(Социально-культурная деятельность ( по видам) - заочная)(услуга)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</si>
  <si>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(Музыкальное искусство эстрады (по видам) - очная)(услуга)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</si>
  <si>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(Инструментальное исполнительство (по видам инструментов) - 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</si>
  <si>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(Декоративно-прикладное искусство и народные промыслы (по видам) - очная)(услуга)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</si>
  <si>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(Хоровое дирижирование (по видам) - очная)(услуга)</t>
  </si>
  <si>
    <t>Реализация дополнительных профессиональных образовательных программ повышения квалификации (очная)(услуга)</t>
  </si>
  <si>
    <t xml:space="preserve">Показ спектаклей (театральных постановок) (драма:стационар, большая форма)(услуга) </t>
  </si>
  <si>
    <t>Показ спектаклей (театральных постановок)                                                               (драма: на выезде, большая форма)(услуга)</t>
  </si>
  <si>
    <t>Показ спектаклей (театральных постановок)                                                                 (драма: на гастролях, большая форма)(услуга)</t>
  </si>
  <si>
    <t xml:space="preserve">Показ спектаклей (театральных постановок) (драма:стационар, малая форма)(услуга) </t>
  </si>
  <si>
    <t>Показ спектаклей (театральных постановок)                                                                  (драма: на выезде, малая форма)(услуга)</t>
  </si>
  <si>
    <t>Показ спектаклей (театральных постановок)                                                                  (драма: на гастролях, малая форма)(услуга)</t>
  </si>
  <si>
    <t>Показ концертов и концертных программ (на выезде)(услуга)</t>
  </si>
  <si>
    <t>Показ концертов и концертных программ (на гастролях)(услуга)</t>
  </si>
  <si>
    <t>Создание спектаклей</t>
  </si>
  <si>
    <t>спектаклей</t>
  </si>
  <si>
    <t>Создание концертов и концертных программ</t>
  </si>
  <si>
    <t>концертов (программ)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</si>
  <si>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</si>
  <si>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</si>
  <si>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(удалённо через интернет)</t>
  </si>
  <si>
    <t>Создание экспозиций (выставок) музеев, организация выездных выставок</t>
  </si>
  <si>
    <t>выставок (экспозиций)</t>
  </si>
  <si>
    <t>Формирование, учет, изучение, обеспечение физического сохранения и безопасности музейных предметов, музейных коллекций</t>
  </si>
  <si>
    <t>музейных предметов</t>
  </si>
  <si>
    <r>
      <t xml:space="preserve">Организация работы клубных формирований и формирований самодеятельного народного творчества на базе учреждений культуры   </t>
    </r>
    <r>
      <rPr>
        <sz val="16"/>
        <rFont val="Times New Roman"/>
        <family val="1"/>
        <charset val="204"/>
      </rPr>
      <t xml:space="preserve"> *              </t>
    </r>
  </si>
  <si>
    <t>мероприятия</t>
  </si>
  <si>
    <t>15 формирований /417 (человек)**</t>
  </si>
  <si>
    <t xml:space="preserve">Организация и проведение культурно-массовых мероприятий                                                                                                                                                                                                    </t>
  </si>
  <si>
    <t xml:space="preserve">Обеспечение сохранности и целостности историко-архитектурного комплекса, исторической среды и ландшафтов                                                                                                                                 </t>
  </si>
  <si>
    <t>м2</t>
  </si>
  <si>
    <t>Комитет по труду и занятости населения Ленинградской области</t>
  </si>
  <si>
    <t>1.1.</t>
  </si>
  <si>
    <t xml:space="preserve">Профессиональное обучение и 
дополнительное профессиональное образование отдельных категорий граждан </t>
  </si>
  <si>
    <t>1.2.</t>
  </si>
  <si>
    <t>Профессиональное обучение и 
дополнительное профессиональное образование отдельных категорий граждан (охрана труда)</t>
  </si>
  <si>
    <t>1.3.</t>
  </si>
  <si>
    <t xml:space="preserve">Профессиональное обучение и 
дополнительное профессиональное образование отдельных категорий граждан (Организация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возраста) </t>
  </si>
  <si>
    <t>1.4.</t>
  </si>
  <si>
    <t>Профессиональное обучение и 
дополнительное профессиональное образование отдельных категорий граждан (Организация профессионального обучения и дополнительного профессионального образования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 населения)</t>
  </si>
  <si>
    <t>1.5.</t>
  </si>
  <si>
    <t>Профессиональное обучение и 
дополнительное профессиональное образование отдельных категорий граждан (Организация профессионального обучения и дополнительного профессионального образования работников предприятий в целях поддержки занятости и повышения эффективности рынка труда)</t>
  </si>
  <si>
    <t>1.6.</t>
  </si>
  <si>
    <t>Профессиональное обучение и 
дополнительное профессиональное образование отдельных категорий граждан (Организация профессионального обучения и дополнительного профессионального образования (сотрудники службы занятости))</t>
  </si>
  <si>
    <t>-</t>
  </si>
  <si>
    <t>2.</t>
  </si>
  <si>
    <t xml:space="preserve">Реализация дополнительных профессиональных программ повышения квалификации </t>
  </si>
  <si>
    <t>чел./час</t>
  </si>
  <si>
    <t>3.</t>
  </si>
  <si>
    <t>Организация профессиональной
 ориентации граждан в целях выбора 
сферы деятельности (профессии),
 трудоустройства, 
прохождения профессионального
 обучения и получения
 дополнительного профессионального образования</t>
  </si>
  <si>
    <t>4.</t>
  </si>
  <si>
    <t>Организация опережающего
 профессионального обучения
 или стажировки в целях приобретения
 новых профессиональных навыков
 работников, находящихся под угрозой 
увольнения, работников предприятий, 
реализующих инвестиционные проекты</t>
  </si>
  <si>
    <t>5.</t>
  </si>
  <si>
    <t>Психологическая поддержка безработных граждан</t>
  </si>
  <si>
    <t>6.</t>
  </si>
  <si>
    <t xml:space="preserve">Реализация дополнительных профессиональных программ профессиональной переподготовки </t>
  </si>
  <si>
    <t xml:space="preserve">Организация и проведение мероприятий </t>
  </si>
  <si>
    <t>8.1</t>
  </si>
  <si>
    <t>Организация и проведение мероприятий по профилактике производственного травматизма с использованием мобильного комплекса по охране труда</t>
  </si>
  <si>
    <t>8.2</t>
  </si>
  <si>
    <t>Организация и проведение конгресса по охране труда</t>
  </si>
  <si>
    <t>8.3</t>
  </si>
  <si>
    <t>Организация и проведение мероприятий по вопросам условий и охраны труда, профилактики производственного травматизма и профессиональной заболеваемости, направленных на сохранение и укрепление здоровья работающих граждан</t>
  </si>
  <si>
    <t>8.4</t>
  </si>
  <si>
    <t>Организация мероприятия по проведению областного конкурса профессионального мастерства «Лучший работник центра занятости населения Ленинградской области»</t>
  </si>
  <si>
    <t>8.5</t>
  </si>
  <si>
    <t>Организация и проведение ежегодного смотра-конкурса "Лучшая организация работы в области охраны труда»</t>
  </si>
  <si>
    <t>8.6</t>
  </si>
  <si>
    <t>Организация и проведение ежегодного смотра-конкурса "Лучший специалист по охране труда"</t>
  </si>
  <si>
    <t>Организация проживания граждан в период обучения в другой местности по направлению органов службы занятости населения</t>
  </si>
  <si>
    <t>число чел.-суток, ед</t>
  </si>
  <si>
    <t>Организация медицинского освидетельствования граждан, направленных на профессиональное обучение органами службы занятости населения.</t>
  </si>
  <si>
    <t>число осмотров, ед.</t>
  </si>
  <si>
    <t>Комитет по молодежной политике Ленинградской области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</si>
  <si>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
подростков и молодежи</t>
  </si>
  <si>
    <t>мероприятия, единиц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</si>
  <si>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</si>
  <si>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</si>
  <si>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 опасном положении</t>
  </si>
  <si>
    <t>Комитет экономического развития и инвестиционной деятельности Ленинградской области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</si>
  <si>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услуг, Организация предоставления государственных, муниципальных и иных услуг в многофункциональных центрах предоставления государственных и муниципальных услуг</t>
  </si>
  <si>
    <t>количество обращений, ед.</t>
  </si>
  <si>
    <t>Предоставление государственной услуги по государственной регистрации отдельных актов гражданского состояния</t>
  </si>
  <si>
    <t>Комитет по здравоохранению Ленинградской области</t>
  </si>
  <si>
    <t>Скорая, в том числе специализированная, медицинская помощь (за исключением санитарно-авиационной эвакуации)</t>
  </si>
  <si>
    <t>вызов</t>
  </si>
  <si>
    <t>Скорая, в том числе специализированная медицинская помощь (включая медицинскую эвакуацию), включенная в базовую программу обязательного медицинского страхования</t>
  </si>
  <si>
    <r>
      <t xml:space="preserve">Первичная специализированная медицинская помощь, </t>
    </r>
    <r>
      <rPr>
        <b/>
        <sz val="11"/>
        <rFont val="Times New Roman"/>
        <family val="1"/>
        <charset val="204"/>
      </rPr>
      <t>по профилю дерматовенерология (в части венерологии)</t>
    </r>
    <r>
      <rPr>
        <sz val="11"/>
        <rFont val="Times New Roman"/>
        <family val="1"/>
        <charset val="204"/>
      </rPr>
      <t>, не включенная в базовую программу обязательного медицинского страхования, амбулаторная помощь</t>
    </r>
  </si>
  <si>
    <t>посещение</t>
  </si>
  <si>
    <t>Первичная медико-санитарная помощь, включенная в базовую программу ОМС,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</t>
  </si>
  <si>
    <r>
      <t xml:space="preserve">Первичная специализированная медицинская помощь, </t>
    </r>
    <r>
      <rPr>
        <b/>
        <sz val="11"/>
        <rFont val="Times New Roman"/>
        <family val="1"/>
        <charset val="204"/>
      </rPr>
      <t>по профилю психиатрия- наркология, в части наркологии</t>
    </r>
    <r>
      <rPr>
        <sz val="11"/>
        <rFont val="Times New Roman"/>
        <family val="1"/>
        <charset val="204"/>
      </rPr>
      <t>, амбулаторная помощь</t>
    </r>
  </si>
  <si>
    <r>
      <t xml:space="preserve">Первичная специализированная медицинская помощь, </t>
    </r>
    <r>
      <rPr>
        <b/>
        <sz val="11"/>
        <rFont val="Times New Roman"/>
        <family val="1"/>
        <charset val="204"/>
      </rPr>
      <t>по профилю фтизиатрия</t>
    </r>
    <r>
      <rPr>
        <sz val="11"/>
        <rFont val="Times New Roman"/>
        <family val="1"/>
        <charset val="204"/>
      </rPr>
      <t>, амбулаторная помощь</t>
    </r>
  </si>
  <si>
    <r>
      <t xml:space="preserve">Первичная специализированная медицинская помощь, </t>
    </r>
    <r>
      <rPr>
        <b/>
        <sz val="11"/>
        <rFont val="Times New Roman"/>
        <family val="1"/>
        <charset val="204"/>
      </rPr>
      <t>по профилю инфекционные болезни (в части синдрома приобретенного иммунодефицита (ВИЧ-инфекции)</t>
    </r>
    <r>
      <rPr>
        <sz val="11"/>
        <rFont val="Times New Roman"/>
        <family val="1"/>
        <charset val="204"/>
      </rPr>
      <t>, амбулаторная помощь</t>
    </r>
  </si>
  <si>
    <r>
      <t xml:space="preserve">Первичная медико-санитарная помощь, </t>
    </r>
    <r>
      <rPr>
        <b/>
        <sz val="11"/>
        <rFont val="Times New Roman"/>
        <family val="1"/>
        <charset val="204"/>
      </rPr>
      <t>в части профилактики (лечебная физкультура и спортивная медицина)</t>
    </r>
  </si>
  <si>
    <r>
      <t xml:space="preserve">Первичная медико-санитарная помощь, </t>
    </r>
    <r>
      <rPr>
        <b/>
        <sz val="11"/>
        <rFont val="Times New Roman"/>
        <family val="1"/>
        <charset val="204"/>
      </rPr>
      <t>в части профилактики (лечебная физкультура и спортивная медицина с УМО)</t>
    </r>
  </si>
  <si>
    <r>
      <t>Первичная медико-санитарная помощь, в части диагностики и лечения по профилю</t>
    </r>
    <r>
      <rPr>
        <b/>
        <sz val="11"/>
        <rFont val="Times New Roman"/>
        <family val="1"/>
        <charset val="204"/>
      </rPr>
      <t xml:space="preserve"> психотерапия</t>
    </r>
  </si>
  <si>
    <r>
      <t xml:space="preserve">Первичная медико-санитарная помощь, </t>
    </r>
    <r>
      <rPr>
        <b/>
        <sz val="11"/>
        <rFont val="Times New Roman"/>
        <family val="1"/>
        <charset val="204"/>
      </rPr>
      <t>(прием (осмотр, консультация) врача-генетика, врача акушера-гинеколога (пренатальный скрининг )</t>
    </r>
  </si>
  <si>
    <r>
      <t xml:space="preserve">Первичная специализированная медико-санитарная помощь в амбулаторных условиях - </t>
    </r>
    <r>
      <rPr>
        <b/>
        <sz val="11"/>
        <rFont val="Times New Roman"/>
        <family val="1"/>
        <charset val="204"/>
      </rPr>
      <t xml:space="preserve">посещения выездной патронажной службы паллиативной медицинской помощи детям  </t>
    </r>
  </si>
  <si>
    <r>
      <t xml:space="preserve">Первичная специализированная медико-санитарная помощь в амбулаторных условиях - </t>
    </r>
    <r>
      <rPr>
        <b/>
        <sz val="11"/>
        <rFont val="Times New Roman"/>
        <family val="1"/>
        <charset val="204"/>
      </rPr>
      <t>посещения выездной патронажной службы паллиативной медицинской помощи</t>
    </r>
  </si>
  <si>
    <t>Паллиативная медицинская помощь в амбулаторных условиях</t>
  </si>
  <si>
    <r>
      <t xml:space="preserve">Первичная специализированная медицинская помощь, </t>
    </r>
    <r>
      <rPr>
        <b/>
        <sz val="11"/>
        <rFont val="Times New Roman"/>
        <family val="1"/>
        <charset val="204"/>
      </rPr>
      <t xml:space="preserve">по профилю дерматовенерология (в части венерологии) </t>
    </r>
    <r>
      <rPr>
        <sz val="11"/>
        <rFont val="Times New Roman"/>
        <family val="1"/>
        <charset val="204"/>
      </rPr>
      <t xml:space="preserve">в условиях </t>
    </r>
    <r>
      <rPr>
        <b/>
        <sz val="11"/>
        <rFont val="Times New Roman"/>
        <family val="1"/>
        <charset val="204"/>
      </rPr>
      <t>дневного стационара</t>
    </r>
  </si>
  <si>
    <t>случай лечения</t>
  </si>
  <si>
    <r>
      <t xml:space="preserve">Первичная специализированная помощь в условиях </t>
    </r>
    <r>
      <rPr>
        <b/>
        <sz val="11"/>
        <rFont val="Times New Roman"/>
        <family val="1"/>
        <charset val="204"/>
      </rPr>
      <t>дневного стационара</t>
    </r>
    <r>
      <rPr>
        <sz val="11"/>
        <rFont val="Times New Roman"/>
        <family val="1"/>
        <charset val="204"/>
      </rPr>
      <t xml:space="preserve"> по профилю: </t>
    </r>
    <r>
      <rPr>
        <b/>
        <sz val="11"/>
        <rFont val="Times New Roman"/>
        <family val="1"/>
        <charset val="204"/>
      </rPr>
      <t>фтизиатрия</t>
    </r>
  </si>
  <si>
    <r>
      <t xml:space="preserve">Первичная специализированная помощь в условиях </t>
    </r>
    <r>
      <rPr>
        <b/>
        <sz val="11"/>
        <rFont val="Times New Roman"/>
        <family val="1"/>
        <charset val="204"/>
      </rPr>
      <t>дневного стационара</t>
    </r>
    <r>
      <rPr>
        <sz val="11"/>
        <rFont val="Times New Roman"/>
        <family val="1"/>
        <charset val="204"/>
      </rPr>
      <t xml:space="preserve"> по профилю: </t>
    </r>
    <r>
      <rPr>
        <b/>
        <sz val="11"/>
        <rFont val="Times New Roman"/>
        <family val="1"/>
        <charset val="204"/>
      </rPr>
      <t>психотерапия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</si>
  <si>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</t>
    </r>
    <r>
      <rPr>
        <b/>
        <sz val="11"/>
        <rFont val="Times New Roman"/>
        <family val="1"/>
        <charset val="204"/>
      </rPr>
      <t>по профилю онкология</t>
    </r>
    <r>
      <rPr>
        <sz val="11"/>
        <rFont val="Times New Roman"/>
        <family val="1"/>
        <charset val="204"/>
      </rPr>
      <t xml:space="preserve">, в условиях стационара </t>
    </r>
  </si>
  <si>
    <t>случай госпитализации</t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</si>
  <si>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акушерство и гинекология</t>
    </r>
    <r>
      <rPr>
        <sz val="11"/>
        <rFont val="Times New Roman"/>
        <family val="1"/>
        <charset val="204"/>
      </rPr>
      <t xml:space="preserve"> в условиях стационара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</si>
  <si>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комбустиология</t>
    </r>
    <r>
      <rPr>
        <sz val="11"/>
        <rFont val="Times New Roman"/>
        <family val="1"/>
        <charset val="204"/>
      </rPr>
      <t xml:space="preserve"> в условиях стационара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</si>
  <si>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абдоминальная хирургия</t>
    </r>
    <r>
      <rPr>
        <sz val="11"/>
        <rFont val="Times New Roman"/>
        <family val="1"/>
        <charset val="204"/>
      </rPr>
      <t xml:space="preserve"> в условиях стационара 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</si>
  <si>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нейрохирургия</t>
    </r>
    <r>
      <rPr>
        <sz val="11"/>
        <rFont val="Times New Roman"/>
        <family val="1"/>
        <charset val="204"/>
      </rPr>
      <t xml:space="preserve"> в условиях стационара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</si>
  <si>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офтальмология</t>
    </r>
    <r>
      <rPr>
        <sz val="11"/>
        <rFont val="Times New Roman"/>
        <family val="1"/>
        <charset val="204"/>
      </rPr>
      <t xml:space="preserve"> в условиях стационара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</si>
  <si>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>, не включенная в базовую программу обязательного медицинского страхования, по профилю</t>
    </r>
    <r>
      <rPr>
        <b/>
        <sz val="11"/>
        <rFont val="Times New Roman"/>
        <family val="1"/>
        <charset val="204"/>
      </rPr>
      <t xml:space="preserve"> сердечно-сосудистая хирургия</t>
    </r>
    <r>
      <rPr>
        <sz val="11"/>
        <rFont val="Times New Roman"/>
        <family val="1"/>
        <charset val="204"/>
      </rPr>
      <t xml:space="preserve"> в условиях стационара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</si>
  <si>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травматология и ортопедия</t>
    </r>
    <r>
      <rPr>
        <sz val="11"/>
        <rFont val="Times New Roman"/>
        <family val="1"/>
        <charset val="204"/>
      </rPr>
      <t xml:space="preserve"> в условиях стационара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</si>
  <si>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</t>
    </r>
    <r>
      <rPr>
        <b/>
        <sz val="11"/>
        <rFont val="Times New Roman"/>
        <family val="1"/>
        <charset val="204"/>
      </rPr>
      <t>трансплантация</t>
    </r>
    <r>
      <rPr>
        <sz val="11"/>
        <rFont val="Times New Roman"/>
        <family val="1"/>
        <charset val="204"/>
      </rPr>
      <t xml:space="preserve"> в условиях стационара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</si>
  <si>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эндокринология</t>
    </r>
    <r>
      <rPr>
        <sz val="11"/>
        <rFont val="Times New Roman"/>
        <family val="1"/>
        <charset val="204"/>
      </rPr>
      <t xml:space="preserve"> в условиях стационара 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</si>
  <si>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челюстно-лицевая хирургия</t>
    </r>
    <r>
      <rPr>
        <sz val="11"/>
        <rFont val="Times New Roman"/>
        <family val="1"/>
        <charset val="204"/>
      </rPr>
      <t xml:space="preserve">  в условиях стационара 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</si>
  <si>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 xml:space="preserve">педиатрия </t>
    </r>
    <r>
      <rPr>
        <sz val="11"/>
        <rFont val="Times New Roman"/>
        <family val="1"/>
        <charset val="204"/>
      </rPr>
      <t>в условиях стационара</t>
    </r>
  </si>
  <si>
    <r>
      <rPr>
        <b/>
        <sz val="11"/>
        <rFont val="Times New Roman"/>
        <family val="1"/>
        <charset val="204"/>
      </rPr>
      <t>Высокотехнологичная медицинская помощь</t>
    </r>
    <r>
      <rPr>
        <sz val="11"/>
        <rFont val="Times New Roman"/>
        <family val="1"/>
        <charset val="204"/>
      </rPr>
      <t xml:space="preserve">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урология</t>
    </r>
    <r>
      <rPr>
        <sz val="11"/>
        <rFont val="Times New Roman"/>
        <family val="1"/>
        <charset val="204"/>
      </rPr>
      <t xml:space="preserve"> в условиях стационара </t>
    </r>
  </si>
  <si>
    <r>
  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дерматовенерология</t>
    </r>
    <r>
      <rPr>
        <sz val="11"/>
        <rFont val="Times New Roman"/>
        <family val="1"/>
        <charset val="204"/>
      </rPr>
      <t xml:space="preserve"> (в части венерологии) в условиях </t>
    </r>
    <r>
      <rPr>
        <b/>
        <sz val="11"/>
        <rFont val="Times New Roman"/>
        <family val="1"/>
        <charset val="204"/>
      </rPr>
      <t xml:space="preserve"> стационара</t>
    </r>
  </si>
  <si>
    <r>
  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психиатрия</t>
    </r>
    <r>
      <rPr>
        <sz val="11"/>
        <rFont val="Times New Roman"/>
        <family val="1"/>
        <charset val="204"/>
      </rPr>
      <t xml:space="preserve">, в условиях </t>
    </r>
    <r>
      <rPr>
        <b/>
        <sz val="11"/>
        <rFont val="Times New Roman"/>
        <family val="1"/>
        <charset val="204"/>
      </rPr>
      <t>стационара</t>
    </r>
  </si>
  <si>
    <r>
  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</t>
    </r>
    <r>
      <rPr>
        <b/>
        <sz val="11"/>
        <rFont val="Times New Roman"/>
        <family val="1"/>
        <charset val="204"/>
      </rPr>
      <t>наркология</t>
    </r>
    <r>
      <rPr>
        <sz val="11"/>
        <rFont val="Times New Roman"/>
        <family val="1"/>
        <charset val="204"/>
      </rPr>
      <t xml:space="preserve">, в условиях </t>
    </r>
    <r>
      <rPr>
        <b/>
        <sz val="11"/>
        <rFont val="Times New Roman"/>
        <family val="1"/>
        <charset val="204"/>
      </rPr>
      <t>стационара</t>
    </r>
  </si>
  <si>
    <r>
  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</t>
    </r>
    <r>
      <rPr>
        <b/>
        <sz val="11"/>
        <rFont val="Times New Roman"/>
        <family val="1"/>
        <charset val="204"/>
      </rPr>
      <t>Психотерапия в условиях стационара</t>
    </r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</si>
  <si>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</si>
  <si>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r>
  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 профилю </t>
    </r>
    <r>
      <rPr>
        <b/>
        <sz val="11"/>
        <rFont val="Times New Roman"/>
        <family val="1"/>
        <charset val="204"/>
      </rPr>
      <t>инфекционные болезни (в части синдрома приобретенного иммунодефицита (ВИЧ-инфекции)</t>
    </r>
    <r>
      <rPr>
        <sz val="11"/>
        <rFont val="Times New Roman"/>
        <family val="1"/>
        <charset val="204"/>
      </rPr>
      <t xml:space="preserve">, в условиях </t>
    </r>
    <r>
      <rPr>
        <b/>
        <sz val="11"/>
        <rFont val="Times New Roman"/>
        <family val="1"/>
        <charset val="204"/>
      </rPr>
      <t>стационара</t>
    </r>
  </si>
  <si>
    <t>Паллиативная медицинская помощь в условиях стационара</t>
  </si>
  <si>
    <t>койко-день</t>
  </si>
  <si>
    <t>Экспертиза профессиональной пригодности и экспертиза связи заболевания с профессией</t>
  </si>
  <si>
    <t>экспертиза</t>
  </si>
  <si>
    <t>Изъятие, хранение и транспортировка органов и (или) тканей человека для трансплантации (работа)</t>
  </si>
  <si>
    <t>изъятие</t>
  </si>
  <si>
    <t>1 (работа)</t>
  </si>
  <si>
    <r>
  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</t>
    </r>
    <r>
      <rPr>
        <b/>
        <sz val="11"/>
        <rFont val="Times New Roman"/>
        <family val="1"/>
        <charset val="204"/>
      </rPr>
      <t xml:space="preserve"> на базе основного общего, среднего образования</t>
    </r>
  </si>
  <si>
    <t>число обучающихся</t>
  </si>
  <si>
    <r>
      <t>Реализация дополнительных профессиональных образовательных программ-</t>
    </r>
    <r>
      <rPr>
        <b/>
        <sz val="11"/>
        <rFont val="Times New Roman"/>
        <family val="1"/>
        <charset val="204"/>
      </rPr>
      <t xml:space="preserve"> программ повышения квалификации</t>
    </r>
  </si>
  <si>
    <t>Медико-генетические лаборатории (пренатальный скрининг, неонатальный скрининг, химико-токсикологические исследования, серологические исследования)</t>
  </si>
  <si>
    <t>услуга</t>
  </si>
  <si>
    <t>Координация деятельности службы медицины катастроф Ленинградской области и обеспечение готовности ее сил и средств к ликвидации медико-санитарных последствий чрезвычайных ситуаций на территории Ленинградской области</t>
  </si>
  <si>
    <t>Комитет общего и профессионального образования Ленинградской области</t>
  </si>
  <si>
    <t>Реализация образовательных программ среднего профессионального образования- программ подготовки квалифицированных рабочих, служащих</t>
  </si>
  <si>
    <t>Реализация образовательных программ среднего профессионального образования- программ подготовки специалистов среднего звена (очное обучение)</t>
  </si>
  <si>
    <t>Реализация образовательных программ среднего профессионального образования- программ подготовки специалистов среднего звена (заочное обучение)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</si>
  <si>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</si>
  <si>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чел/час</t>
  </si>
  <si>
    <t>Реализация  образовательных программ высшего образования – программ бакалавриата (очное обучение)</t>
  </si>
  <si>
    <t>Реализация  образовательных программ высшего образования – программ бакалавриата (очно-заочное обучение)</t>
  </si>
  <si>
    <t>Реализация  образовательных программ высшего образования – программ бакалавриата (заочное обучение)</t>
  </si>
  <si>
    <t>Реализация  образовательных программ высшего образования – программ магистратура (очное обучение)</t>
  </si>
  <si>
    <t xml:space="preserve"> Реализация  образовательных программ высшего образования – программ магистратуры (очно-заочное)</t>
  </si>
  <si>
    <t xml:space="preserve"> Реализация  образовательных программ высшего образования – программ магистратуры (заочное)</t>
  </si>
  <si>
    <t>Реализация образовательных программ высшего образования – программ подготовки научно-педагогических кадров в аспирантуре (очное обучение)</t>
  </si>
  <si>
    <t xml:space="preserve"> Реализация образовательных программ высшего образования – программ подготовки научно-педагогических кадров в аспирантуре (заочное)</t>
  </si>
  <si>
    <t xml:space="preserve">Реализация дополнительных профессиональных образовательных программ повышения квалификации  </t>
  </si>
  <si>
    <t xml:space="preserve"> Предоставление социального обслуживания в стационарной форме</t>
  </si>
  <si>
    <t>чел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</si>
  <si>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</si>
  <si>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</si>
  <si>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</si>
  <si>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</si>
  <si>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 xml:space="preserve">Психолого-педагогическое консультирование обучающихся, их родителей (законных представителей) и педагогических работников        </t>
  </si>
  <si>
    <t xml:space="preserve">Психолого-медико-педагогическое обследование детей                                       </t>
  </si>
  <si>
    <t xml:space="preserve">Коррекционно-развивающая, компенсирующая и логопедическая помощь обучающимся  </t>
  </si>
  <si>
    <t>Реализация дополнительных общеразвивающих программ                                                       (очная)</t>
  </si>
  <si>
    <t>Организация проведения общественно-значимых мероприятий в сфере образования, науки и молодежной политики (работа)</t>
  </si>
  <si>
    <t>кол-во мероприятий</t>
  </si>
  <si>
    <t>Методическое обеспечение образовательной деятельности (работа) (постоянно)</t>
  </si>
  <si>
    <t>Методическое обеспечение образовательной деятельности (работа) (в плановой форме)</t>
  </si>
  <si>
    <t xml:space="preserve">Организация отдыха детей и молодежи </t>
  </si>
  <si>
    <t>чел.-дн.</t>
  </si>
  <si>
    <t>Реализация основных общеобразовательных программ начального общего образования</t>
  </si>
  <si>
    <t>Ведение региональной информационной системы обеспечения проведения ГИА обучающихся, освоивших основные образовательные программы основного общего и среднего общего образования, организационно-технологическое сопровождение проведения ГИА (Оценка качества образования) работа (работа)</t>
  </si>
  <si>
    <t>Информационно-технологическое обеспечение управления системой образования (работа)</t>
  </si>
  <si>
    <t>Организация и проведение олимпиад, конкурсов, мероприятий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(работа)</t>
  </si>
  <si>
    <t>Реализация дополнительных общеразвивающих программ  (заочная)</t>
  </si>
  <si>
    <t>Реализация основных общеобразовательных программ дошкольного образования</t>
  </si>
  <si>
    <t>Комитет Ленинградской области по туризму</t>
  </si>
  <si>
    <t>Оказание туристско-информационных услуг (в стационарных условиях)</t>
  </si>
  <si>
    <t>количество туров, ед.</t>
  </si>
  <si>
    <t>Оказание туристско-информационных услуг (вне стационара)</t>
  </si>
  <si>
    <t>Формирование, ведение баз данных, в том числе интернет-ресурсов в сфере туризма</t>
  </si>
  <si>
    <t>количество посетителей интернет-сайта, ед.</t>
  </si>
  <si>
    <t>Работы по продвижению туристских возможностей Ленинградской области на внутреннем и международном рынках (Проведение событийных и специализированных мероприятий по продвижению туристского потенциала Ленинградской области, направленных на привлечение туристов в Ленинградскую область)</t>
  </si>
  <si>
    <t>количество мероприятий, ед.</t>
  </si>
  <si>
    <t>Работы по продвижению туристских возможностей Ленинградской области на внутреннем и международном рынках (Проведение конгрессно-выставочных мероприятий, организация участия представителей сферы туризма Ленинградской области в конгрессно-выставочных мероприятиях, проводимых за пределами области)</t>
  </si>
  <si>
    <t>Работы по продвижению туристских возможностей Ленинградской области на внутреннем и международном рынках (Разработка и изготовление информационных материалов о туристском потенциале Ленинградской области с использованием туристского бренда Ленинградской области (изготовление печатных материалов: карт, буклетов, справочников, путеводителей и т.п.), в том числе на иностранных языках)</t>
  </si>
  <si>
    <t>количество информационных материалов, ед.</t>
  </si>
  <si>
    <t>Работы по продвижению туристских возможностей Ленинградской области на внутреннем и международном рынках (Разработка и изготовление презентационных материалов и сувенирной продукции с использованием туристского бренда Ленинградской области для вручения участникам и гостям мероприятий, проводимых на территории Ленинградской области, субъектов Российской Федерации и за рубежом, в том числе на иностранных языках)</t>
  </si>
  <si>
    <t>количество наименований, ед.</t>
  </si>
  <si>
    <t>Постоянные затраты на содержание имущества государственного бюджетного учреждения</t>
  </si>
  <si>
    <t xml:space="preserve">ИТОГО </t>
  </si>
  <si>
    <t>Проведение плановых диагностических мероприятий на особо опасные болезни животных (птиц) и болезни общие для человека и животных (птиц) - туберкулинизация</t>
  </si>
  <si>
    <t>Проведение плановых диагностических мероприятий на особо опасные болезни животных (птиц) и болезни общие для человека и животных (птиц) - отбор проб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</si>
  <si>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</si>
  <si>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Проведение плановых профилактических вакцинаций животных (птиц) против особо опасных болезней животных и болезней, общих для человека и животных (птиц)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</si>
  <si>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</si>
  <si>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</si>
  <si>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 - проведение исследований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</si>
  <si>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 - отбор проб</t>
  </si>
  <si>
    <t>Приложение 20</t>
  </si>
  <si>
    <t>Сведения о выполнении государственными бюджетными и автономными учреждениями Ленинградской области государственных заданий на оказание государственных услуг (выполнение работ), а также об объемах субсидий на финансовое обеспечение выполнения государственных заданий на оказание соответствующих услуг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</si>
</sst>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</font>
    <font>
      <sz val="11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16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/>
    <xf numFmtId="164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6" fillId="0" borderId="1" xfId="2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2" fillId="0" borderId="0" xfId="0" applyFont="1" applyFill="1" applyBorder="1"/>
    <xf numFmtId="164" fontId="11" fillId="0" borderId="0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4" fontId="13" fillId="0" borderId="0" xfId="0" applyNumberFormat="1" applyFont="1" applyFill="1"/>
    <xf numFmtId="0" fontId="14" fillId="0" borderId="0" xfId="0" applyFont="1" applyFill="1" applyAlignment="1">
      <alignment horizontal="right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о кодам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2"/>
  <sheetViews>
    <sheetView tabSelected="1" workbookViewId="0">
      <selection activeCell="A2" sqref="A2:I2"/>
    </sheetView>
  </sheetViews>
  <sheetFormatPr defaultColWidth="9.140625" defaultRowHeight="15" x14ac:dyDescent="0.25"/>
  <cols>
    <col min="1" max="1" width="7.7109375" style="21" customWidth="1"/>
    <col min="2" max="2" width="51.140625" style="22" customWidth="1"/>
    <col min="3" max="3" width="11.5703125" style="21" customWidth="1"/>
    <col min="4" max="5" width="17.5703125" style="4" customWidth="1"/>
    <col min="6" max="6" width="22.5703125" style="4" bestFit="1" customWidth="1"/>
    <col min="7" max="8" width="20.5703125" style="4" customWidth="1"/>
    <col min="9" max="9" width="22.5703125" style="4" bestFit="1" customWidth="1"/>
    <col min="10" max="10" width="14" style="4" customWidth="1"/>
    <col min="11" max="11" width="12.7109375" style="4" customWidth="1"/>
    <col min="12" max="16384" width="9.140625" style="4"/>
  </cols>
  <sheetData>
    <row r="1" spans="1:10" ht="15.75" x14ac:dyDescent="0.25">
      <c r="I1" s="43" t="s">
        <v>310</v>
      </c>
    </row>
    <row r="2" spans="1:10" s="1" customFormat="1" ht="72.599999999999994" customHeight="1" x14ac:dyDescent="0.25">
      <c r="A2" s="52" t="s">
        <v>311</v>
      </c>
      <c r="B2" s="52"/>
      <c r="C2" s="52"/>
      <c r="D2" s="52"/>
      <c r="E2" s="52"/>
      <c r="F2" s="52"/>
      <c r="G2" s="52"/>
      <c r="H2" s="52"/>
      <c r="I2" s="52"/>
    </row>
    <row r="3" spans="1:10" s="1" customFormat="1" ht="15" customHeight="1" x14ac:dyDescent="0.25">
      <c r="A3" s="24"/>
      <c r="B3" s="2"/>
      <c r="C3" s="24"/>
      <c r="D3" s="24"/>
      <c r="E3" s="24"/>
      <c r="F3" s="24"/>
      <c r="G3" s="24"/>
      <c r="H3" s="24"/>
      <c r="I3" s="24"/>
    </row>
    <row r="4" spans="1:10" s="3" customFormat="1" ht="64.150000000000006" customHeight="1" x14ac:dyDescent="0.2">
      <c r="A4" s="53" t="s">
        <v>0</v>
      </c>
      <c r="B4" s="53" t="s">
        <v>1</v>
      </c>
      <c r="C4" s="53" t="s">
        <v>2</v>
      </c>
      <c r="D4" s="53"/>
      <c r="E4" s="53"/>
      <c r="F4" s="53"/>
      <c r="G4" s="53"/>
      <c r="H4" s="53"/>
      <c r="I4" s="53"/>
      <c r="J4" s="25"/>
    </row>
    <row r="5" spans="1:10" s="3" customFormat="1" ht="57" x14ac:dyDescent="0.2">
      <c r="A5" s="53"/>
      <c r="B5" s="53"/>
      <c r="C5" s="53"/>
      <c r="D5" s="32" t="s">
        <v>3</v>
      </c>
      <c r="E5" s="32" t="s">
        <v>4</v>
      </c>
      <c r="F5" s="32" t="s">
        <v>5</v>
      </c>
      <c r="G5" s="32" t="s">
        <v>3</v>
      </c>
      <c r="H5" s="32" t="s">
        <v>4</v>
      </c>
      <c r="I5" s="32" t="s">
        <v>5</v>
      </c>
      <c r="J5" s="25"/>
    </row>
    <row r="6" spans="1:10" s="1" customFormat="1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26"/>
    </row>
    <row r="7" spans="1:10" s="1" customFormat="1" ht="13.9" customHeight="1" x14ac:dyDescent="0.25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26"/>
    </row>
    <row r="8" spans="1:10" s="1" customFormat="1" ht="60" x14ac:dyDescent="0.25">
      <c r="A8" s="6">
        <v>1</v>
      </c>
      <c r="B8" s="7" t="s">
        <v>7</v>
      </c>
      <c r="C8" s="5" t="s">
        <v>8</v>
      </c>
      <c r="D8" s="5">
        <v>3693</v>
      </c>
      <c r="E8" s="5">
        <v>3538</v>
      </c>
      <c r="F8" s="5">
        <v>3566</v>
      </c>
      <c r="G8" s="5">
        <v>1773981.6649499997</v>
      </c>
      <c r="H8" s="5">
        <v>1910316.5</v>
      </c>
      <c r="I8" s="5">
        <v>1910316.5</v>
      </c>
      <c r="J8" s="26"/>
    </row>
    <row r="9" spans="1:10" s="1" customFormat="1" ht="75" x14ac:dyDescent="0.25">
      <c r="A9" s="6">
        <v>2</v>
      </c>
      <c r="B9" s="7" t="s">
        <v>9</v>
      </c>
      <c r="C9" s="5" t="s">
        <v>8</v>
      </c>
      <c r="D9" s="5">
        <v>9901</v>
      </c>
      <c r="E9" s="5">
        <v>8818</v>
      </c>
      <c r="F9" s="5">
        <v>8779</v>
      </c>
      <c r="G9" s="5">
        <v>1453004.7750500001</v>
      </c>
      <c r="H9" s="5">
        <v>1459280.9</v>
      </c>
      <c r="I9" s="5">
        <v>1381508.7</v>
      </c>
      <c r="J9" s="26"/>
    </row>
    <row r="10" spans="1:10" s="1" customFormat="1" x14ac:dyDescent="0.25">
      <c r="A10" s="11"/>
      <c r="B10" s="34" t="s">
        <v>10</v>
      </c>
      <c r="C10" s="35" t="s">
        <v>11</v>
      </c>
      <c r="D10" s="35"/>
      <c r="E10" s="35"/>
      <c r="F10" s="35" t="s">
        <v>11</v>
      </c>
      <c r="G10" s="11">
        <f>SUM(G8:G9)</f>
        <v>3226986.4399999995</v>
      </c>
      <c r="H10" s="11">
        <f>SUM(H8:H9)</f>
        <v>3369597.4</v>
      </c>
      <c r="I10" s="11">
        <f>SUM(I8:I9)</f>
        <v>3291825.2</v>
      </c>
      <c r="J10" s="26"/>
    </row>
    <row r="11" spans="1:10" ht="14.45" customHeight="1" x14ac:dyDescent="0.25">
      <c r="A11" s="45" t="s">
        <v>12</v>
      </c>
      <c r="B11" s="45"/>
      <c r="C11" s="45"/>
      <c r="D11" s="45"/>
      <c r="E11" s="45"/>
      <c r="F11" s="45"/>
      <c r="G11" s="45"/>
      <c r="H11" s="45"/>
      <c r="I11" s="45"/>
      <c r="J11" s="27"/>
    </row>
    <row r="12" spans="1:10" ht="45" x14ac:dyDescent="0.25">
      <c r="A12" s="6">
        <v>1</v>
      </c>
      <c r="B12" s="36" t="s">
        <v>13</v>
      </c>
      <c r="C12" s="37" t="s">
        <v>14</v>
      </c>
      <c r="D12" s="5">
        <v>83900</v>
      </c>
      <c r="E12" s="5">
        <v>83900</v>
      </c>
      <c r="F12" s="5">
        <v>83900</v>
      </c>
      <c r="G12" s="5">
        <v>14889.6</v>
      </c>
      <c r="H12" s="5">
        <v>14889.6</v>
      </c>
      <c r="I12" s="5">
        <v>14889.6</v>
      </c>
      <c r="J12" s="27"/>
    </row>
    <row r="13" spans="1:10" ht="45" x14ac:dyDescent="0.25">
      <c r="A13" s="6">
        <v>2</v>
      </c>
      <c r="B13" s="36" t="s">
        <v>15</v>
      </c>
      <c r="C13" s="37" t="s">
        <v>14</v>
      </c>
      <c r="D13" s="5">
        <v>18302</v>
      </c>
      <c r="E13" s="5">
        <v>18302</v>
      </c>
      <c r="F13" s="5">
        <v>18302</v>
      </c>
      <c r="G13" s="5">
        <v>3621.9</v>
      </c>
      <c r="H13" s="5">
        <v>3621.9</v>
      </c>
      <c r="I13" s="5">
        <v>3621.9</v>
      </c>
      <c r="J13" s="27"/>
    </row>
    <row r="14" spans="1:10" ht="75" x14ac:dyDescent="0.25">
      <c r="A14" s="6">
        <v>3</v>
      </c>
      <c r="B14" s="36" t="s">
        <v>16</v>
      </c>
      <c r="C14" s="37" t="s">
        <v>14</v>
      </c>
      <c r="D14" s="5">
        <v>1400</v>
      </c>
      <c r="E14" s="5">
        <v>1400</v>
      </c>
      <c r="F14" s="5">
        <v>1400</v>
      </c>
      <c r="G14" s="5">
        <v>245.7</v>
      </c>
      <c r="H14" s="5">
        <v>245.7</v>
      </c>
      <c r="I14" s="5">
        <v>245.7</v>
      </c>
      <c r="J14" s="27"/>
    </row>
    <row r="15" spans="1:10" ht="30" x14ac:dyDescent="0.25">
      <c r="A15" s="6">
        <v>4</v>
      </c>
      <c r="B15" s="36" t="s">
        <v>17</v>
      </c>
      <c r="C15" s="37"/>
      <c r="D15" s="5"/>
      <c r="E15" s="5"/>
      <c r="F15" s="5"/>
      <c r="G15" s="5">
        <v>3058</v>
      </c>
      <c r="H15" s="5">
        <v>3058</v>
      </c>
      <c r="I15" s="5">
        <v>3058</v>
      </c>
      <c r="J15" s="27"/>
    </row>
    <row r="16" spans="1:10" x14ac:dyDescent="0.25">
      <c r="A16" s="11"/>
      <c r="B16" s="14" t="s">
        <v>10</v>
      </c>
      <c r="C16" s="11"/>
      <c r="D16" s="15"/>
      <c r="E16" s="15"/>
      <c r="F16" s="15" t="s">
        <v>11</v>
      </c>
      <c r="G16" s="11">
        <f>SUM(G12:G15)</f>
        <v>21815.200000000001</v>
      </c>
      <c r="H16" s="11">
        <f>SUM(H12:H15)</f>
        <v>21815.200000000001</v>
      </c>
      <c r="I16" s="11">
        <f>SUM(I12:I15)</f>
        <v>21815.200000000001</v>
      </c>
      <c r="J16" s="27"/>
    </row>
    <row r="17" spans="1:10" ht="14.45" customHeight="1" x14ac:dyDescent="0.25">
      <c r="A17" s="45" t="s">
        <v>18</v>
      </c>
      <c r="B17" s="45"/>
      <c r="C17" s="45"/>
      <c r="D17" s="45"/>
      <c r="E17" s="45"/>
      <c r="F17" s="45"/>
      <c r="G17" s="45"/>
      <c r="H17" s="45"/>
      <c r="I17" s="45"/>
      <c r="J17" s="27"/>
    </row>
    <row r="18" spans="1:10" ht="60" x14ac:dyDescent="0.25">
      <c r="A18" s="6"/>
      <c r="B18" s="7" t="s">
        <v>19</v>
      </c>
      <c r="C18" s="11"/>
      <c r="D18" s="5"/>
      <c r="E18" s="5"/>
      <c r="F18" s="5"/>
      <c r="G18" s="5">
        <v>46303</v>
      </c>
      <c r="H18" s="5">
        <v>51760.4</v>
      </c>
      <c r="I18" s="5">
        <v>51760.4</v>
      </c>
      <c r="J18" s="27"/>
    </row>
    <row r="19" spans="1:10" x14ac:dyDescent="0.25">
      <c r="A19" s="6">
        <v>1</v>
      </c>
      <c r="B19" s="7" t="s">
        <v>20</v>
      </c>
      <c r="C19" s="5" t="s">
        <v>21</v>
      </c>
      <c r="D19" s="5">
        <v>30000</v>
      </c>
      <c r="E19" s="5">
        <v>30000</v>
      </c>
      <c r="F19" s="5">
        <v>33235</v>
      </c>
      <c r="G19" s="5"/>
      <c r="H19" s="5"/>
      <c r="I19" s="5"/>
      <c r="J19" s="27"/>
    </row>
    <row r="20" spans="1:10" x14ac:dyDescent="0.25">
      <c r="A20" s="6">
        <v>2</v>
      </c>
      <c r="B20" s="7" t="s">
        <v>22</v>
      </c>
      <c r="C20" s="5" t="s">
        <v>21</v>
      </c>
      <c r="D20" s="5">
        <v>8</v>
      </c>
      <c r="E20" s="5">
        <v>8</v>
      </c>
      <c r="F20" s="5">
        <v>8</v>
      </c>
      <c r="G20" s="5"/>
      <c r="H20" s="5"/>
      <c r="I20" s="5"/>
      <c r="J20" s="27"/>
    </row>
    <row r="21" spans="1:10" x14ac:dyDescent="0.25">
      <c r="A21" s="6">
        <v>3</v>
      </c>
      <c r="B21" s="7" t="s">
        <v>23</v>
      </c>
      <c r="C21" s="5" t="s">
        <v>21</v>
      </c>
      <c r="D21" s="5">
        <v>5</v>
      </c>
      <c r="E21" s="5">
        <v>5</v>
      </c>
      <c r="F21" s="5">
        <v>5</v>
      </c>
      <c r="G21" s="5"/>
      <c r="H21" s="5"/>
      <c r="I21" s="5"/>
      <c r="J21" s="27"/>
    </row>
    <row r="22" spans="1:10" x14ac:dyDescent="0.25">
      <c r="A22" s="11"/>
      <c r="B22" s="14" t="s">
        <v>10</v>
      </c>
      <c r="C22" s="11"/>
      <c r="D22" s="15"/>
      <c r="E22" s="15"/>
      <c r="F22" s="15" t="s">
        <v>11</v>
      </c>
      <c r="G22" s="11">
        <f>SUM(G18)</f>
        <v>46303</v>
      </c>
      <c r="H22" s="11">
        <f t="shared" ref="H22:I22" si="0">SUM(H18)</f>
        <v>51760.4</v>
      </c>
      <c r="I22" s="11">
        <f t="shared" si="0"/>
        <v>51760.4</v>
      </c>
      <c r="J22" s="27"/>
    </row>
    <row r="23" spans="1:10" ht="14.45" customHeight="1" x14ac:dyDescent="0.25">
      <c r="A23" s="45" t="s">
        <v>24</v>
      </c>
      <c r="B23" s="45"/>
      <c r="C23" s="45"/>
      <c r="D23" s="45"/>
      <c r="E23" s="45"/>
      <c r="F23" s="45"/>
      <c r="G23" s="45"/>
      <c r="H23" s="45"/>
      <c r="I23" s="45"/>
      <c r="J23" s="27"/>
    </row>
    <row r="24" spans="1:10" ht="60" x14ac:dyDescent="0.25">
      <c r="A24" s="6">
        <v>1</v>
      </c>
      <c r="B24" s="7" t="s">
        <v>25</v>
      </c>
      <c r="C24" s="5" t="s">
        <v>26</v>
      </c>
      <c r="D24" s="18">
        <v>3</v>
      </c>
      <c r="E24" s="5">
        <f>D24</f>
        <v>3</v>
      </c>
      <c r="F24" s="18">
        <v>3</v>
      </c>
      <c r="G24" s="5">
        <v>9286.6299999999992</v>
      </c>
      <c r="H24" s="5">
        <f>G24</f>
        <v>9286.6299999999992</v>
      </c>
      <c r="I24" s="5">
        <v>9286.6299999999992</v>
      </c>
      <c r="J24" s="27"/>
    </row>
    <row r="25" spans="1:10" ht="60" x14ac:dyDescent="0.25">
      <c r="A25" s="6">
        <v>2</v>
      </c>
      <c r="B25" s="7" t="s">
        <v>27</v>
      </c>
      <c r="C25" s="5" t="s">
        <v>26</v>
      </c>
      <c r="D25" s="18">
        <v>3</v>
      </c>
      <c r="E25" s="5">
        <f t="shared" ref="E25:E27" si="1">D25</f>
        <v>3</v>
      </c>
      <c r="F25" s="18">
        <v>3</v>
      </c>
      <c r="G25" s="5">
        <v>11721.1</v>
      </c>
      <c r="H25" s="5">
        <f t="shared" ref="H25:H27" si="2">G25</f>
        <v>11721.1</v>
      </c>
      <c r="I25" s="5">
        <v>11721.1</v>
      </c>
      <c r="J25" s="27"/>
    </row>
    <row r="26" spans="1:10" x14ac:dyDescent="0.25">
      <c r="A26" s="6">
        <v>3</v>
      </c>
      <c r="B26" s="7" t="s">
        <v>28</v>
      </c>
      <c r="C26" s="5" t="s">
        <v>26</v>
      </c>
      <c r="D26" s="18">
        <v>1</v>
      </c>
      <c r="E26" s="5">
        <f t="shared" si="1"/>
        <v>1</v>
      </c>
      <c r="F26" s="18">
        <v>1</v>
      </c>
      <c r="G26" s="5">
        <v>2646</v>
      </c>
      <c r="H26" s="5">
        <f t="shared" si="2"/>
        <v>2646</v>
      </c>
      <c r="I26" s="5">
        <v>2646</v>
      </c>
      <c r="J26" s="27"/>
    </row>
    <row r="27" spans="1:10" ht="120" x14ac:dyDescent="0.25">
      <c r="A27" s="6">
        <v>4</v>
      </c>
      <c r="B27" s="7" t="s">
        <v>29</v>
      </c>
      <c r="C27" s="5" t="s">
        <v>26</v>
      </c>
      <c r="D27" s="18">
        <v>3</v>
      </c>
      <c r="E27" s="5">
        <f t="shared" si="1"/>
        <v>3</v>
      </c>
      <c r="F27" s="18">
        <v>3</v>
      </c>
      <c r="G27" s="5">
        <v>4163</v>
      </c>
      <c r="H27" s="5">
        <f t="shared" si="2"/>
        <v>4163</v>
      </c>
      <c r="I27" s="5">
        <v>4163</v>
      </c>
      <c r="J27" s="27"/>
    </row>
    <row r="28" spans="1:10" ht="90" x14ac:dyDescent="0.25">
      <c r="A28" s="6">
        <v>5</v>
      </c>
      <c r="B28" s="7" t="s">
        <v>30</v>
      </c>
      <c r="C28" s="5" t="s">
        <v>26</v>
      </c>
      <c r="D28" s="18">
        <v>1</v>
      </c>
      <c r="E28" s="5">
        <v>0</v>
      </c>
      <c r="F28" s="18">
        <v>0</v>
      </c>
      <c r="G28" s="5">
        <v>842.3</v>
      </c>
      <c r="H28" s="5">
        <v>0</v>
      </c>
      <c r="I28" s="5">
        <v>0</v>
      </c>
      <c r="J28" s="27"/>
    </row>
    <row r="29" spans="1:10" x14ac:dyDescent="0.25">
      <c r="A29" s="11"/>
      <c r="B29" s="14" t="s">
        <v>10</v>
      </c>
      <c r="C29" s="11" t="s">
        <v>11</v>
      </c>
      <c r="D29" s="15"/>
      <c r="E29" s="15"/>
      <c r="F29" s="15" t="s">
        <v>11</v>
      </c>
      <c r="G29" s="11">
        <f>SUM(G24:G28)</f>
        <v>28659.03</v>
      </c>
      <c r="H29" s="11">
        <f>SUM(H24:H28)</f>
        <v>27816.73</v>
      </c>
      <c r="I29" s="11">
        <f>SUM(I24:I28)</f>
        <v>27816.73</v>
      </c>
      <c r="J29" s="27"/>
    </row>
    <row r="30" spans="1:10" ht="14.45" customHeight="1" x14ac:dyDescent="0.25">
      <c r="A30" s="45" t="s">
        <v>31</v>
      </c>
      <c r="B30" s="45"/>
      <c r="C30" s="45"/>
      <c r="D30" s="45"/>
      <c r="E30" s="45"/>
      <c r="F30" s="45"/>
      <c r="G30" s="45"/>
      <c r="H30" s="45"/>
      <c r="I30" s="45"/>
      <c r="J30" s="27"/>
    </row>
    <row r="31" spans="1:10" ht="60" x14ac:dyDescent="0.25">
      <c r="A31" s="6">
        <v>1</v>
      </c>
      <c r="B31" s="7" t="s">
        <v>302</v>
      </c>
      <c r="C31" s="5" t="s">
        <v>32</v>
      </c>
      <c r="D31" s="5">
        <v>258719</v>
      </c>
      <c r="E31" s="5">
        <v>257919</v>
      </c>
      <c r="F31" s="5">
        <v>257919</v>
      </c>
      <c r="G31" s="5">
        <v>34533.878352063999</v>
      </c>
      <c r="H31" s="5">
        <v>34427.094147263997</v>
      </c>
      <c r="I31" s="5">
        <v>34427.094147263997</v>
      </c>
      <c r="J31" s="27"/>
    </row>
    <row r="32" spans="1:10" ht="45" x14ac:dyDescent="0.25">
      <c r="A32" s="6">
        <v>2</v>
      </c>
      <c r="B32" s="7" t="s">
        <v>303</v>
      </c>
      <c r="C32" s="5" t="s">
        <v>32</v>
      </c>
      <c r="D32" s="5">
        <v>378264</v>
      </c>
      <c r="E32" s="5">
        <v>383528</v>
      </c>
      <c r="F32" s="5">
        <v>383528</v>
      </c>
      <c r="G32" s="5">
        <v>75583.854111345703</v>
      </c>
      <c r="H32" s="5">
        <v>75544.4661297657</v>
      </c>
      <c r="I32" s="5">
        <v>75544.4661297657</v>
      </c>
      <c r="J32" s="27"/>
    </row>
    <row r="33" spans="1:10" ht="60" x14ac:dyDescent="0.25">
      <c r="A33" s="6">
        <v>3</v>
      </c>
      <c r="B33" s="7" t="s">
        <v>304</v>
      </c>
      <c r="C33" s="5" t="s">
        <v>32</v>
      </c>
      <c r="D33" s="5">
        <v>711474</v>
      </c>
      <c r="E33" s="5">
        <v>720369</v>
      </c>
      <c r="F33" s="5">
        <v>720369</v>
      </c>
      <c r="G33" s="5">
        <v>138369.654417966</v>
      </c>
      <c r="H33" s="5">
        <v>138029.56884110899</v>
      </c>
      <c r="I33" s="5">
        <v>138029.56884110899</v>
      </c>
      <c r="J33" s="27"/>
    </row>
    <row r="34" spans="1:10" ht="60" x14ac:dyDescent="0.25">
      <c r="A34" s="6">
        <v>4</v>
      </c>
      <c r="B34" s="7" t="s">
        <v>305</v>
      </c>
      <c r="C34" s="5" t="s">
        <v>32</v>
      </c>
      <c r="D34" s="5">
        <v>1261355</v>
      </c>
      <c r="E34" s="5">
        <v>1264469</v>
      </c>
      <c r="F34" s="5">
        <v>1264469</v>
      </c>
      <c r="G34" s="5">
        <v>30862.456724166899</v>
      </c>
      <c r="H34" s="5">
        <v>26248.3574915028</v>
      </c>
      <c r="I34" s="5">
        <v>26248.3574915028</v>
      </c>
      <c r="J34" s="27"/>
    </row>
    <row r="35" spans="1:10" ht="60" x14ac:dyDescent="0.25">
      <c r="A35" s="6">
        <v>5</v>
      </c>
      <c r="B35" s="7" t="s">
        <v>306</v>
      </c>
      <c r="C35" s="5" t="s">
        <v>32</v>
      </c>
      <c r="D35" s="5">
        <v>1621</v>
      </c>
      <c r="E35" s="5">
        <v>1621</v>
      </c>
      <c r="F35" s="5">
        <v>1621</v>
      </c>
      <c r="G35" s="5">
        <v>19891.935000000001</v>
      </c>
      <c r="H35" s="5">
        <v>19891.935133433599</v>
      </c>
      <c r="I35" s="5">
        <v>19891.935133433599</v>
      </c>
      <c r="J35" s="27"/>
    </row>
    <row r="36" spans="1:10" x14ac:dyDescent="0.25">
      <c r="A36" s="6">
        <v>6</v>
      </c>
      <c r="B36" s="7" t="s">
        <v>33</v>
      </c>
      <c r="C36" s="5" t="s">
        <v>34</v>
      </c>
      <c r="D36" s="5">
        <v>842229.99</v>
      </c>
      <c r="E36" s="5">
        <v>965421.27000000014</v>
      </c>
      <c r="F36" s="5">
        <v>965421.27000000014</v>
      </c>
      <c r="G36" s="5">
        <v>22874.104084890201</v>
      </c>
      <c r="H36" s="5">
        <v>26365.5</v>
      </c>
      <c r="I36" s="5">
        <v>26365.5</v>
      </c>
      <c r="J36" s="27"/>
    </row>
    <row r="37" spans="1:10" ht="60" x14ac:dyDescent="0.25">
      <c r="A37" s="6">
        <v>7</v>
      </c>
      <c r="B37" s="7" t="s">
        <v>307</v>
      </c>
      <c r="C37" s="5" t="s">
        <v>32</v>
      </c>
      <c r="D37" s="5">
        <v>20190</v>
      </c>
      <c r="E37" s="5">
        <v>19701</v>
      </c>
      <c r="F37" s="5">
        <v>19701</v>
      </c>
      <c r="G37" s="5">
        <v>43510.438461060498</v>
      </c>
      <c r="H37" s="5">
        <v>42323.593660329097</v>
      </c>
      <c r="I37" s="5">
        <v>42323.593660329097</v>
      </c>
      <c r="J37" s="27"/>
    </row>
    <row r="38" spans="1:10" ht="30" x14ac:dyDescent="0.25">
      <c r="A38" s="6">
        <v>8</v>
      </c>
      <c r="B38" s="7" t="s">
        <v>35</v>
      </c>
      <c r="C38" s="5" t="s">
        <v>32</v>
      </c>
      <c r="D38" s="5">
        <v>2297164</v>
      </c>
      <c r="E38" s="5">
        <v>2330865</v>
      </c>
      <c r="F38" s="5">
        <v>2330865</v>
      </c>
      <c r="G38" s="5">
        <v>54909.93807104</v>
      </c>
      <c r="H38" s="5">
        <v>55715.505206399997</v>
      </c>
      <c r="I38" s="5">
        <v>55715.505206399997</v>
      </c>
      <c r="J38" s="27"/>
    </row>
    <row r="39" spans="1:10" ht="75" x14ac:dyDescent="0.25">
      <c r="A39" s="6">
        <v>9</v>
      </c>
      <c r="B39" s="7" t="s">
        <v>308</v>
      </c>
      <c r="C39" s="5" t="s">
        <v>32</v>
      </c>
      <c r="D39" s="5">
        <v>8507</v>
      </c>
      <c r="E39" s="5">
        <v>8780</v>
      </c>
      <c r="F39" s="5">
        <v>8780</v>
      </c>
      <c r="G39" s="5">
        <v>43836.874176218204</v>
      </c>
      <c r="H39" s="5">
        <v>45927.1012940898</v>
      </c>
      <c r="I39" s="5">
        <v>45927.1012940898</v>
      </c>
      <c r="J39" s="27"/>
    </row>
    <row r="40" spans="1:10" ht="75" x14ac:dyDescent="0.25">
      <c r="A40" s="6">
        <v>10</v>
      </c>
      <c r="B40" s="7" t="s">
        <v>309</v>
      </c>
      <c r="C40" s="5" t="s">
        <v>32</v>
      </c>
      <c r="D40" s="5">
        <v>8529</v>
      </c>
      <c r="E40" s="5">
        <v>8252</v>
      </c>
      <c r="F40" s="5">
        <v>8252</v>
      </c>
      <c r="G40" s="5">
        <v>3912.78503117424</v>
      </c>
      <c r="H40" s="5">
        <v>3812.78503117424</v>
      </c>
      <c r="I40" s="5">
        <v>3812.78503117424</v>
      </c>
      <c r="J40" s="27"/>
    </row>
    <row r="41" spans="1:10" ht="30" x14ac:dyDescent="0.25">
      <c r="A41" s="6">
        <v>11</v>
      </c>
      <c r="B41" s="7" t="s">
        <v>36</v>
      </c>
      <c r="C41" s="5" t="s">
        <v>32</v>
      </c>
      <c r="D41" s="5">
        <v>1</v>
      </c>
      <c r="E41" s="5">
        <v>1</v>
      </c>
      <c r="F41" s="5">
        <v>1</v>
      </c>
      <c r="G41" s="5">
        <v>2506.366</v>
      </c>
      <c r="H41" s="5">
        <v>2506.366</v>
      </c>
      <c r="I41" s="5">
        <v>2506.366</v>
      </c>
      <c r="J41" s="27"/>
    </row>
    <row r="42" spans="1:10" ht="45" x14ac:dyDescent="0.25">
      <c r="A42" s="6">
        <v>12</v>
      </c>
      <c r="B42" s="7" t="s">
        <v>37</v>
      </c>
      <c r="C42" s="5" t="s">
        <v>32</v>
      </c>
      <c r="D42" s="5">
        <v>3000</v>
      </c>
      <c r="E42" s="5">
        <v>3000</v>
      </c>
      <c r="F42" s="5">
        <v>3000</v>
      </c>
      <c r="G42" s="5">
        <v>4495.6679999999997</v>
      </c>
      <c r="H42" s="5">
        <v>4495.6679999999997</v>
      </c>
      <c r="I42" s="5">
        <v>4495.6679999999997</v>
      </c>
      <c r="J42" s="27"/>
    </row>
    <row r="43" spans="1:10" ht="45" x14ac:dyDescent="0.25">
      <c r="A43" s="6">
        <v>13</v>
      </c>
      <c r="B43" s="7" t="s">
        <v>38</v>
      </c>
      <c r="C43" s="5" t="s">
        <v>32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27"/>
    </row>
    <row r="44" spans="1:10" ht="30" x14ac:dyDescent="0.25">
      <c r="A44" s="6">
        <v>14</v>
      </c>
      <c r="B44" s="7" t="s">
        <v>39</v>
      </c>
      <c r="C44" s="5" t="s">
        <v>32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27"/>
    </row>
    <row r="45" spans="1:10" ht="45" x14ac:dyDescent="0.25">
      <c r="A45" s="6">
        <v>15</v>
      </c>
      <c r="B45" s="7" t="s">
        <v>40</v>
      </c>
      <c r="C45" s="5"/>
      <c r="D45" s="5"/>
      <c r="E45" s="5"/>
      <c r="F45" s="5"/>
      <c r="G45" s="5">
        <v>4335</v>
      </c>
      <c r="H45" s="5">
        <v>4335</v>
      </c>
      <c r="I45" s="5">
        <v>4335</v>
      </c>
      <c r="J45" s="27"/>
    </row>
    <row r="46" spans="1:10" x14ac:dyDescent="0.25">
      <c r="A46" s="5"/>
      <c r="B46" s="14" t="s">
        <v>10</v>
      </c>
      <c r="C46" s="5"/>
      <c r="D46" s="38"/>
      <c r="E46" s="38"/>
      <c r="F46" s="38" t="s">
        <v>11</v>
      </c>
      <c r="G46" s="11">
        <f>SUM(G31:G45)</f>
        <v>479622.95242992573</v>
      </c>
      <c r="H46" s="11">
        <f>SUM(H31:H45)</f>
        <v>479622.94093506824</v>
      </c>
      <c r="I46" s="11">
        <f>SUM(I31:I45)</f>
        <v>479622.94093506824</v>
      </c>
      <c r="J46" s="27"/>
    </row>
    <row r="47" spans="1:10" ht="14.45" customHeight="1" x14ac:dyDescent="0.25">
      <c r="A47" s="45" t="s">
        <v>41</v>
      </c>
      <c r="B47" s="45"/>
      <c r="C47" s="45"/>
      <c r="D47" s="45"/>
      <c r="E47" s="45"/>
      <c r="F47" s="45"/>
      <c r="G47" s="45"/>
      <c r="H47" s="45"/>
      <c r="I47" s="45"/>
      <c r="J47" s="27"/>
    </row>
    <row r="48" spans="1:10" ht="90" x14ac:dyDescent="0.25">
      <c r="A48" s="6">
        <v>1</v>
      </c>
      <c r="B48" s="7" t="s">
        <v>42</v>
      </c>
      <c r="C48" s="5" t="s">
        <v>43</v>
      </c>
      <c r="D48" s="6">
        <v>50</v>
      </c>
      <c r="E48" s="6">
        <v>50</v>
      </c>
      <c r="F48" s="6">
        <v>50</v>
      </c>
      <c r="G48" s="8">
        <v>2181.0874800000001</v>
      </c>
      <c r="H48" s="8">
        <v>2181.0874800000001</v>
      </c>
      <c r="I48" s="8">
        <v>2181.0874800000001</v>
      </c>
      <c r="J48" s="27"/>
    </row>
    <row r="49" spans="1:10" ht="75" x14ac:dyDescent="0.25">
      <c r="A49" s="6">
        <v>2</v>
      </c>
      <c r="B49" s="7" t="s">
        <v>44</v>
      </c>
      <c r="C49" s="5" t="s">
        <v>45</v>
      </c>
      <c r="D49" s="6">
        <v>4</v>
      </c>
      <c r="E49" s="6">
        <v>4</v>
      </c>
      <c r="F49" s="6">
        <v>4</v>
      </c>
      <c r="G49" s="8">
        <v>1442.0340896</v>
      </c>
      <c r="H49" s="8">
        <v>1442.0340896</v>
      </c>
      <c r="I49" s="8">
        <v>1442.0340896</v>
      </c>
      <c r="J49" s="27"/>
    </row>
    <row r="50" spans="1:10" ht="105" x14ac:dyDescent="0.25">
      <c r="A50" s="6">
        <v>3</v>
      </c>
      <c r="B50" s="7" t="s">
        <v>46</v>
      </c>
      <c r="C50" s="5" t="s">
        <v>45</v>
      </c>
      <c r="D50" s="6">
        <v>3</v>
      </c>
      <c r="E50" s="6">
        <v>3</v>
      </c>
      <c r="F50" s="6">
        <v>3</v>
      </c>
      <c r="G50" s="8">
        <v>129.8475048</v>
      </c>
      <c r="H50" s="8">
        <v>129.8475048</v>
      </c>
      <c r="I50" s="8">
        <v>129.8475048</v>
      </c>
      <c r="J50" s="27"/>
    </row>
    <row r="51" spans="1:10" ht="105" x14ac:dyDescent="0.25">
      <c r="A51" s="6">
        <v>4</v>
      </c>
      <c r="B51" s="7" t="s">
        <v>47</v>
      </c>
      <c r="C51" s="5" t="s">
        <v>45</v>
      </c>
      <c r="D51" s="6">
        <v>3</v>
      </c>
      <c r="E51" s="6">
        <v>3</v>
      </c>
      <c r="F51" s="6">
        <v>3</v>
      </c>
      <c r="G51" s="8">
        <v>43.282605599999997</v>
      </c>
      <c r="H51" s="8">
        <v>43.282605599999997</v>
      </c>
      <c r="I51" s="8">
        <v>43.282605599999997</v>
      </c>
      <c r="J51" s="27"/>
    </row>
    <row r="52" spans="1:10" ht="45" x14ac:dyDescent="0.25">
      <c r="A52" s="6">
        <v>5</v>
      </c>
      <c r="B52" s="7" t="s">
        <v>48</v>
      </c>
      <c r="C52" s="5" t="s">
        <v>45</v>
      </c>
      <c r="D52" s="6">
        <v>100</v>
      </c>
      <c r="E52" s="6">
        <v>100</v>
      </c>
      <c r="F52" s="6">
        <v>102</v>
      </c>
      <c r="G52" s="8">
        <v>290.57704000000001</v>
      </c>
      <c r="H52" s="8">
        <v>290.57704000000001</v>
      </c>
      <c r="I52" s="8">
        <v>290.57704000000001</v>
      </c>
      <c r="J52" s="27"/>
    </row>
    <row r="53" spans="1:10" ht="45" x14ac:dyDescent="0.25">
      <c r="A53" s="6">
        <v>6</v>
      </c>
      <c r="B53" s="7" t="s">
        <v>49</v>
      </c>
      <c r="C53" s="5" t="s">
        <v>45</v>
      </c>
      <c r="D53" s="6">
        <v>100</v>
      </c>
      <c r="E53" s="6">
        <v>100</v>
      </c>
      <c r="F53" s="6">
        <v>104</v>
      </c>
      <c r="G53" s="8">
        <v>435.85568000000001</v>
      </c>
      <c r="H53" s="8">
        <v>435.85568000000001</v>
      </c>
      <c r="I53" s="8">
        <v>435.85568000000001</v>
      </c>
      <c r="J53" s="27"/>
    </row>
    <row r="54" spans="1:10" ht="45" x14ac:dyDescent="0.25">
      <c r="A54" s="6">
        <v>7</v>
      </c>
      <c r="B54" s="7" t="s">
        <v>50</v>
      </c>
      <c r="C54" s="5" t="s">
        <v>45</v>
      </c>
      <c r="D54" s="6">
        <v>100</v>
      </c>
      <c r="E54" s="6">
        <v>100</v>
      </c>
      <c r="F54" s="5">
        <v>101</v>
      </c>
      <c r="G54" s="8">
        <v>432.60048</v>
      </c>
      <c r="H54" s="8">
        <v>432.60048</v>
      </c>
      <c r="I54" s="8">
        <v>432.60048</v>
      </c>
      <c r="J54" s="27"/>
    </row>
    <row r="55" spans="1:10" ht="45" x14ac:dyDescent="0.25">
      <c r="A55" s="6">
        <v>8</v>
      </c>
      <c r="B55" s="7" t="s">
        <v>51</v>
      </c>
      <c r="C55" s="5" t="s">
        <v>45</v>
      </c>
      <c r="D55" s="6">
        <v>100</v>
      </c>
      <c r="E55" s="6">
        <v>100</v>
      </c>
      <c r="F55" s="6">
        <v>100</v>
      </c>
      <c r="G55" s="8">
        <v>576.80999999999995</v>
      </c>
      <c r="H55" s="8">
        <v>576.80999999999995</v>
      </c>
      <c r="I55" s="8">
        <v>576.80999999999995</v>
      </c>
      <c r="J55" s="27"/>
    </row>
    <row r="56" spans="1:10" ht="45" x14ac:dyDescent="0.25">
      <c r="A56" s="6">
        <v>9</v>
      </c>
      <c r="B56" s="7" t="s">
        <v>52</v>
      </c>
      <c r="C56" s="5" t="s">
        <v>32</v>
      </c>
      <c r="D56" s="6">
        <v>200</v>
      </c>
      <c r="E56" s="6">
        <v>200</v>
      </c>
      <c r="F56" s="6">
        <v>237</v>
      </c>
      <c r="G56" s="8">
        <v>72.115679999999998</v>
      </c>
      <c r="H56" s="8">
        <v>72.115679999999998</v>
      </c>
      <c r="I56" s="8">
        <v>72.115679999999998</v>
      </c>
      <c r="J56" s="27"/>
    </row>
    <row r="57" spans="1:10" ht="45" x14ac:dyDescent="0.25">
      <c r="A57" s="6">
        <v>10</v>
      </c>
      <c r="B57" s="7" t="s">
        <v>53</v>
      </c>
      <c r="C57" s="5" t="s">
        <v>54</v>
      </c>
      <c r="D57" s="6">
        <v>50</v>
      </c>
      <c r="E57" s="6">
        <v>50</v>
      </c>
      <c r="F57" s="8">
        <v>50.71</v>
      </c>
      <c r="G57" s="8">
        <v>72.114639999999994</v>
      </c>
      <c r="H57" s="8">
        <v>72.114639999999994</v>
      </c>
      <c r="I57" s="8">
        <v>72.114639999999994</v>
      </c>
      <c r="J57" s="27"/>
    </row>
    <row r="58" spans="1:10" ht="45" x14ac:dyDescent="0.25">
      <c r="A58" s="6">
        <v>11</v>
      </c>
      <c r="B58" s="7" t="s">
        <v>55</v>
      </c>
      <c r="C58" s="5" t="s">
        <v>54</v>
      </c>
      <c r="D58" s="6">
        <v>50</v>
      </c>
      <c r="E58" s="6">
        <v>50</v>
      </c>
      <c r="F58" s="8">
        <v>51.23</v>
      </c>
      <c r="G58" s="8">
        <v>72.054320000000004</v>
      </c>
      <c r="H58" s="8">
        <v>72.054320000000004</v>
      </c>
      <c r="I58" s="8">
        <v>72.054320000000004</v>
      </c>
      <c r="J58" s="27"/>
    </row>
    <row r="59" spans="1:10" ht="45" x14ac:dyDescent="0.25">
      <c r="A59" s="6">
        <v>12</v>
      </c>
      <c r="B59" s="7" t="s">
        <v>56</v>
      </c>
      <c r="C59" s="5" t="s">
        <v>32</v>
      </c>
      <c r="D59" s="6">
        <v>200</v>
      </c>
      <c r="E59" s="6">
        <v>200</v>
      </c>
      <c r="F59" s="6">
        <v>200</v>
      </c>
      <c r="G59" s="8">
        <v>72.042879999999997</v>
      </c>
      <c r="H59" s="8">
        <v>72.042879999999997</v>
      </c>
      <c r="I59" s="8">
        <v>72.042879999999997</v>
      </c>
      <c r="J59" s="27"/>
    </row>
    <row r="60" spans="1:10" ht="75" x14ac:dyDescent="0.25">
      <c r="A60" s="6">
        <v>13</v>
      </c>
      <c r="B60" s="7" t="s">
        <v>57</v>
      </c>
      <c r="C60" s="5" t="s">
        <v>45</v>
      </c>
      <c r="D60" s="6">
        <v>21020</v>
      </c>
      <c r="E60" s="6">
        <v>1314214</v>
      </c>
      <c r="F60" s="6">
        <v>1314214</v>
      </c>
      <c r="G60" s="8">
        <v>253.75769612959999</v>
      </c>
      <c r="H60" s="8">
        <v>15865.457510050701</v>
      </c>
      <c r="I60" s="8">
        <v>15865.457510050701</v>
      </c>
      <c r="J60" s="27"/>
    </row>
    <row r="61" spans="1:10" ht="75" x14ac:dyDescent="0.25">
      <c r="A61" s="6">
        <v>14</v>
      </c>
      <c r="B61" s="7" t="s">
        <v>58</v>
      </c>
      <c r="C61" s="5" t="s">
        <v>45</v>
      </c>
      <c r="D61" s="6">
        <v>21020</v>
      </c>
      <c r="E61" s="6">
        <v>1314214</v>
      </c>
      <c r="F61" s="6">
        <v>1314214</v>
      </c>
      <c r="G61" s="8">
        <v>253.75769612959999</v>
      </c>
      <c r="H61" s="8">
        <v>15865.457510050701</v>
      </c>
      <c r="I61" s="8">
        <v>15865.457510050701</v>
      </c>
      <c r="J61" s="27"/>
    </row>
    <row r="62" spans="1:10" ht="45" x14ac:dyDescent="0.25">
      <c r="A62" s="6">
        <v>15</v>
      </c>
      <c r="B62" s="7" t="s">
        <v>59</v>
      </c>
      <c r="C62" s="5" t="s">
        <v>45</v>
      </c>
      <c r="D62" s="6">
        <v>1969099</v>
      </c>
      <c r="E62" s="6">
        <v>1969099</v>
      </c>
      <c r="F62" s="6">
        <v>1982191</v>
      </c>
      <c r="G62" s="8">
        <v>5015.57681292096</v>
      </c>
      <c r="H62" s="8">
        <v>5015.57681292096</v>
      </c>
      <c r="I62" s="8">
        <v>5015.57681292096</v>
      </c>
      <c r="J62" s="27"/>
    </row>
    <row r="63" spans="1:10" ht="45" x14ac:dyDescent="0.25">
      <c r="A63" s="6">
        <v>16</v>
      </c>
      <c r="B63" s="7" t="s">
        <v>60</v>
      </c>
      <c r="C63" s="5" t="s">
        <v>54</v>
      </c>
      <c r="D63" s="6">
        <v>328.08558454748999</v>
      </c>
      <c r="E63" s="6">
        <v>57.616796099606802</v>
      </c>
      <c r="F63" s="8">
        <v>58.03</v>
      </c>
      <c r="G63" s="8">
        <v>37874.785394819803</v>
      </c>
      <c r="H63" s="8">
        <v>6651.3857669775998</v>
      </c>
      <c r="I63" s="8">
        <v>6651.3857669775998</v>
      </c>
      <c r="J63" s="27"/>
    </row>
    <row r="64" spans="1:10" ht="75" x14ac:dyDescent="0.25">
      <c r="A64" s="6">
        <v>17</v>
      </c>
      <c r="B64" s="7" t="s">
        <v>61</v>
      </c>
      <c r="C64" s="5" t="s">
        <v>45</v>
      </c>
      <c r="D64" s="6">
        <v>0</v>
      </c>
      <c r="E64" s="6">
        <v>0</v>
      </c>
      <c r="F64" s="6">
        <v>0</v>
      </c>
      <c r="G64" s="8">
        <v>0</v>
      </c>
      <c r="H64" s="8">
        <v>0</v>
      </c>
      <c r="I64" s="8">
        <v>0</v>
      </c>
      <c r="J64" s="27"/>
    </row>
    <row r="65" spans="1:10" ht="75" x14ac:dyDescent="0.25">
      <c r="A65" s="6">
        <v>18</v>
      </c>
      <c r="B65" s="7" t="s">
        <v>62</v>
      </c>
      <c r="C65" s="5" t="s">
        <v>45</v>
      </c>
      <c r="D65" s="6">
        <v>0</v>
      </c>
      <c r="E65" s="6">
        <v>0</v>
      </c>
      <c r="F65" s="6">
        <v>0</v>
      </c>
      <c r="G65" s="8">
        <v>0</v>
      </c>
      <c r="H65" s="8">
        <v>0</v>
      </c>
      <c r="I65" s="8">
        <v>0</v>
      </c>
      <c r="J65" s="27"/>
    </row>
    <row r="66" spans="1:10" ht="45" x14ac:dyDescent="0.25">
      <c r="A66" s="6">
        <v>19</v>
      </c>
      <c r="B66" s="7" t="s">
        <v>63</v>
      </c>
      <c r="C66" s="5"/>
      <c r="D66" s="5"/>
      <c r="E66" s="5"/>
      <c r="F66" s="5"/>
      <c r="G66" s="8">
        <v>50.5</v>
      </c>
      <c r="H66" s="8">
        <v>50.5</v>
      </c>
      <c r="I66" s="8">
        <v>50.5</v>
      </c>
      <c r="J66" s="27"/>
    </row>
    <row r="67" spans="1:10" x14ac:dyDescent="0.25">
      <c r="A67" s="11"/>
      <c r="B67" s="14" t="s">
        <v>10</v>
      </c>
      <c r="C67" s="11"/>
      <c r="D67" s="15"/>
      <c r="E67" s="15"/>
      <c r="F67" s="15" t="s">
        <v>11</v>
      </c>
      <c r="G67" s="11">
        <f>SUM(G48:G66)</f>
        <v>49268.799999999959</v>
      </c>
      <c r="H67" s="11">
        <f>SUM(H48:H66)</f>
        <v>49268.799999999959</v>
      </c>
      <c r="I67" s="11">
        <f>SUM(I48:I66)</f>
        <v>49268.799999999959</v>
      </c>
      <c r="J67" s="27"/>
    </row>
    <row r="68" spans="1:10" ht="14.45" customHeight="1" x14ac:dyDescent="0.25">
      <c r="A68" s="45" t="s">
        <v>64</v>
      </c>
      <c r="B68" s="45"/>
      <c r="C68" s="45"/>
      <c r="D68" s="45"/>
      <c r="E68" s="45"/>
      <c r="F68" s="45"/>
      <c r="G68" s="45"/>
      <c r="H68" s="45"/>
      <c r="I68" s="45"/>
      <c r="J68" s="27"/>
    </row>
    <row r="69" spans="1:10" ht="45" x14ac:dyDescent="0.25">
      <c r="A69" s="6">
        <v>1</v>
      </c>
      <c r="B69" s="12" t="s">
        <v>65</v>
      </c>
      <c r="C69" s="5" t="s">
        <v>8</v>
      </c>
      <c r="D69" s="8">
        <f>3</f>
        <v>3</v>
      </c>
      <c r="E69" s="8">
        <f>3</f>
        <v>3</v>
      </c>
      <c r="F69" s="8">
        <f>3</f>
        <v>3</v>
      </c>
      <c r="G69" s="8">
        <f>1078.7</f>
        <v>1078.7</v>
      </c>
      <c r="H69" s="8">
        <f>1207.6</f>
        <v>1207.5999999999999</v>
      </c>
      <c r="I69" s="8">
        <f>1207.6</f>
        <v>1207.5999999999999</v>
      </c>
      <c r="J69" s="27"/>
    </row>
    <row r="70" spans="1:10" ht="45" x14ac:dyDescent="0.25">
      <c r="A70" s="6">
        <v>2</v>
      </c>
      <c r="B70" s="12" t="s">
        <v>66</v>
      </c>
      <c r="C70" s="5" t="s">
        <v>8</v>
      </c>
      <c r="D70" s="8">
        <f>6</f>
        <v>6</v>
      </c>
      <c r="E70" s="8">
        <f>6</f>
        <v>6</v>
      </c>
      <c r="F70" s="8">
        <f>6</f>
        <v>6</v>
      </c>
      <c r="G70" s="8">
        <f>2606.5</f>
        <v>2606.5</v>
      </c>
      <c r="H70" s="8">
        <f>2362.5</f>
        <v>2362.5</v>
      </c>
      <c r="I70" s="8">
        <f>2362.5</f>
        <v>2362.5</v>
      </c>
      <c r="J70" s="27"/>
    </row>
    <row r="71" spans="1:10" ht="45" x14ac:dyDescent="0.25">
      <c r="A71" s="6">
        <v>3</v>
      </c>
      <c r="B71" s="12" t="s">
        <v>67</v>
      </c>
      <c r="C71" s="5" t="s">
        <v>8</v>
      </c>
      <c r="D71" s="8">
        <f>5</f>
        <v>5</v>
      </c>
      <c r="E71" s="8">
        <f>5</f>
        <v>5</v>
      </c>
      <c r="F71" s="8">
        <f>5</f>
        <v>5</v>
      </c>
      <c r="G71" s="8">
        <f>3308.4</f>
        <v>3308.4</v>
      </c>
      <c r="H71" s="8">
        <f>2146.2</f>
        <v>2146.1999999999998</v>
      </c>
      <c r="I71" s="8">
        <f>2146.2</f>
        <v>2146.1999999999998</v>
      </c>
      <c r="J71" s="27"/>
    </row>
    <row r="72" spans="1:10" ht="45" x14ac:dyDescent="0.25">
      <c r="A72" s="6">
        <v>4</v>
      </c>
      <c r="B72" s="12" t="s">
        <v>68</v>
      </c>
      <c r="C72" s="5" t="s">
        <v>8</v>
      </c>
      <c r="D72" s="8">
        <f>9</f>
        <v>9</v>
      </c>
      <c r="E72" s="8">
        <f>9</f>
        <v>9</v>
      </c>
      <c r="F72" s="8">
        <f>9</f>
        <v>9</v>
      </c>
      <c r="G72" s="8">
        <f>4983.2</f>
        <v>4983.2</v>
      </c>
      <c r="H72" s="8">
        <f>3768.7</f>
        <v>3768.7</v>
      </c>
      <c r="I72" s="8">
        <f>3768.7</f>
        <v>3768.7</v>
      </c>
      <c r="J72" s="27"/>
    </row>
    <row r="73" spans="1:10" ht="45" x14ac:dyDescent="0.25">
      <c r="A73" s="6">
        <v>5</v>
      </c>
      <c r="B73" s="12" t="s">
        <v>69</v>
      </c>
      <c r="C73" s="5" t="s">
        <v>8</v>
      </c>
      <c r="D73" s="8">
        <f>22</f>
        <v>22</v>
      </c>
      <c r="E73" s="8">
        <f>22</f>
        <v>22</v>
      </c>
      <c r="F73" s="8">
        <f>22</f>
        <v>22</v>
      </c>
      <c r="G73" s="8">
        <f>4239</f>
        <v>4239</v>
      </c>
      <c r="H73" s="8">
        <f>7210.1</f>
        <v>7210.1</v>
      </c>
      <c r="I73" s="8">
        <f>7210.1</f>
        <v>7210.1</v>
      </c>
      <c r="J73" s="27"/>
    </row>
    <row r="74" spans="1:10" ht="45" x14ac:dyDescent="0.25">
      <c r="A74" s="6">
        <v>6</v>
      </c>
      <c r="B74" s="12" t="s">
        <v>70</v>
      </c>
      <c r="C74" s="5" t="s">
        <v>8</v>
      </c>
      <c r="D74" s="8">
        <f>12</f>
        <v>12</v>
      </c>
      <c r="E74" s="8">
        <f>14</f>
        <v>14</v>
      </c>
      <c r="F74" s="8">
        <f>14</f>
        <v>14</v>
      </c>
      <c r="G74" s="8">
        <f>3744</f>
        <v>3744</v>
      </c>
      <c r="H74" s="8">
        <f>3598.1</f>
        <v>3598.1</v>
      </c>
      <c r="I74" s="8">
        <f>3598.1</f>
        <v>3598.1</v>
      </c>
      <c r="J74" s="27"/>
    </row>
    <row r="75" spans="1:10" ht="45" x14ac:dyDescent="0.25">
      <c r="A75" s="6">
        <v>7</v>
      </c>
      <c r="B75" s="12" t="s">
        <v>71</v>
      </c>
      <c r="C75" s="5" t="s">
        <v>8</v>
      </c>
      <c r="D75" s="8">
        <f>20</f>
        <v>20</v>
      </c>
      <c r="E75" s="8">
        <f>11</f>
        <v>11</v>
      </c>
      <c r="F75" s="8">
        <f>11</f>
        <v>11</v>
      </c>
      <c r="G75" s="8">
        <f>5605.9</f>
        <v>5605.9</v>
      </c>
      <c r="H75" s="8">
        <f>5383.6</f>
        <v>5383.6</v>
      </c>
      <c r="I75" s="8">
        <f>5383.6</f>
        <v>5383.6</v>
      </c>
      <c r="J75" s="27"/>
    </row>
    <row r="76" spans="1:10" ht="45" x14ac:dyDescent="0.25">
      <c r="A76" s="6">
        <v>8</v>
      </c>
      <c r="B76" s="12" t="s">
        <v>72</v>
      </c>
      <c r="C76" s="5" t="s">
        <v>8</v>
      </c>
      <c r="D76" s="8">
        <f>73</f>
        <v>73</v>
      </c>
      <c r="E76" s="8">
        <f>80</f>
        <v>80</v>
      </c>
      <c r="F76" s="8">
        <f>80</f>
        <v>80</v>
      </c>
      <c r="G76" s="8">
        <f>12129.3</f>
        <v>12129.3</v>
      </c>
      <c r="H76" s="8">
        <f>23915</f>
        <v>23915</v>
      </c>
      <c r="I76" s="8">
        <f>23915</f>
        <v>23915</v>
      </c>
      <c r="J76" s="27"/>
    </row>
    <row r="77" spans="1:10" ht="45" x14ac:dyDescent="0.25">
      <c r="A77" s="6">
        <v>9</v>
      </c>
      <c r="B77" s="12" t="s">
        <v>73</v>
      </c>
      <c r="C77" s="5" t="s">
        <v>8</v>
      </c>
      <c r="D77" s="8">
        <f>6</f>
        <v>6</v>
      </c>
      <c r="E77" s="8">
        <f>6</f>
        <v>6</v>
      </c>
      <c r="F77" s="8">
        <f>6</f>
        <v>6</v>
      </c>
      <c r="G77" s="8">
        <f>1882.09</f>
        <v>1882.09</v>
      </c>
      <c r="H77" s="8">
        <v>1078.6500000000001</v>
      </c>
      <c r="I77" s="8">
        <v>1078.6500000000001</v>
      </c>
      <c r="J77" s="27"/>
    </row>
    <row r="78" spans="1:10" ht="45" x14ac:dyDescent="0.25">
      <c r="A78" s="6">
        <v>10</v>
      </c>
      <c r="B78" s="12" t="s">
        <v>74</v>
      </c>
      <c r="C78" s="5" t="s">
        <v>8</v>
      </c>
      <c r="D78" s="8">
        <f>30</f>
        <v>30</v>
      </c>
      <c r="E78" s="8">
        <f>30</f>
        <v>30</v>
      </c>
      <c r="F78" s="8">
        <f>30</f>
        <v>30</v>
      </c>
      <c r="G78" s="8">
        <f>9410.44</f>
        <v>9410.44</v>
      </c>
      <c r="H78" s="8">
        <v>6215.05</v>
      </c>
      <c r="I78" s="8">
        <v>6215.05</v>
      </c>
      <c r="J78" s="27"/>
    </row>
    <row r="79" spans="1:10" ht="45" x14ac:dyDescent="0.25">
      <c r="A79" s="6">
        <v>11</v>
      </c>
      <c r="B79" s="12" t="s">
        <v>75</v>
      </c>
      <c r="C79" s="5" t="s">
        <v>8</v>
      </c>
      <c r="D79" s="8">
        <f>48</f>
        <v>48</v>
      </c>
      <c r="E79" s="8">
        <f>48</f>
        <v>48</v>
      </c>
      <c r="F79" s="8">
        <f>48</f>
        <v>48</v>
      </c>
      <c r="G79" s="8">
        <v>12506.7</v>
      </c>
      <c r="H79" s="8">
        <v>9021.43</v>
      </c>
      <c r="I79" s="8">
        <v>9021.43</v>
      </c>
      <c r="J79" s="27"/>
    </row>
    <row r="80" spans="1:10" ht="45" x14ac:dyDescent="0.25">
      <c r="A80" s="6">
        <v>12</v>
      </c>
      <c r="B80" s="12" t="s">
        <v>76</v>
      </c>
      <c r="C80" s="5" t="s">
        <v>8</v>
      </c>
      <c r="D80" s="8">
        <v>2</v>
      </c>
      <c r="E80" s="8">
        <v>2</v>
      </c>
      <c r="F80" s="8">
        <v>2</v>
      </c>
      <c r="G80" s="8">
        <v>1565.2</v>
      </c>
      <c r="H80" s="8">
        <v>1599.6</v>
      </c>
      <c r="I80" s="8">
        <v>1599.6</v>
      </c>
      <c r="J80" s="27"/>
    </row>
    <row r="81" spans="1:10" ht="45" x14ac:dyDescent="0.25">
      <c r="A81" s="6">
        <v>13</v>
      </c>
      <c r="B81" s="12" t="s">
        <v>77</v>
      </c>
      <c r="C81" s="5" t="s">
        <v>8</v>
      </c>
      <c r="D81" s="8">
        <v>1</v>
      </c>
      <c r="E81" s="8">
        <v>1</v>
      </c>
      <c r="F81" s="8">
        <v>1</v>
      </c>
      <c r="G81" s="8">
        <v>1275.07</v>
      </c>
      <c r="H81" s="8">
        <v>1292.31</v>
      </c>
      <c r="I81" s="8">
        <v>1292.31</v>
      </c>
      <c r="J81" s="27"/>
    </row>
    <row r="82" spans="1:10" ht="45" x14ac:dyDescent="0.25">
      <c r="A82" s="6">
        <v>14</v>
      </c>
      <c r="B82" s="12" t="s">
        <v>78</v>
      </c>
      <c r="C82" s="5" t="s">
        <v>8</v>
      </c>
      <c r="D82" s="8">
        <v>13</v>
      </c>
      <c r="E82" s="8">
        <v>15</v>
      </c>
      <c r="F82" s="8">
        <v>15</v>
      </c>
      <c r="G82" s="8">
        <v>5836.9</v>
      </c>
      <c r="H82" s="8">
        <v>6687.52</v>
      </c>
      <c r="I82" s="8">
        <v>6687.52</v>
      </c>
      <c r="J82" s="27"/>
    </row>
    <row r="83" spans="1:10" ht="45" x14ac:dyDescent="0.25">
      <c r="A83" s="6">
        <v>15</v>
      </c>
      <c r="B83" s="12" t="s">
        <v>79</v>
      </c>
      <c r="C83" s="5" t="s">
        <v>8</v>
      </c>
      <c r="D83" s="8">
        <v>0</v>
      </c>
      <c r="E83" s="8">
        <v>1</v>
      </c>
      <c r="F83" s="8">
        <v>1</v>
      </c>
      <c r="G83" s="8">
        <v>0</v>
      </c>
      <c r="H83" s="8">
        <v>744.43</v>
      </c>
      <c r="I83" s="8">
        <v>744.43</v>
      </c>
      <c r="J83" s="27"/>
    </row>
    <row r="84" spans="1:10" ht="45" x14ac:dyDescent="0.25">
      <c r="A84" s="6">
        <v>16</v>
      </c>
      <c r="B84" s="12" t="s">
        <v>80</v>
      </c>
      <c r="C84" s="5" t="s">
        <v>8</v>
      </c>
      <c r="D84" s="8">
        <v>2</v>
      </c>
      <c r="E84" s="8">
        <v>3</v>
      </c>
      <c r="F84" s="8">
        <v>3</v>
      </c>
      <c r="G84" s="8">
        <v>1141.72</v>
      </c>
      <c r="H84" s="8">
        <v>1631.91</v>
      </c>
      <c r="I84" s="8">
        <v>1631.91</v>
      </c>
      <c r="J84" s="27"/>
    </row>
    <row r="85" spans="1:10" ht="45" x14ac:dyDescent="0.25">
      <c r="A85" s="6">
        <v>17</v>
      </c>
      <c r="B85" s="12" t="s">
        <v>81</v>
      </c>
      <c r="C85" s="5" t="s">
        <v>8</v>
      </c>
      <c r="D85" s="8">
        <v>124</v>
      </c>
      <c r="E85" s="8">
        <v>125</v>
      </c>
      <c r="F85" s="8">
        <v>125</v>
      </c>
      <c r="G85" s="8">
        <v>46209.11</v>
      </c>
      <c r="H85" s="8">
        <v>48640.63</v>
      </c>
      <c r="I85" s="8">
        <v>48640.63</v>
      </c>
      <c r="J85" s="27"/>
    </row>
    <row r="86" spans="1:10" ht="45" x14ac:dyDescent="0.25">
      <c r="A86" s="6">
        <v>18</v>
      </c>
      <c r="B86" s="12" t="s">
        <v>82</v>
      </c>
      <c r="C86" s="5" t="s">
        <v>8</v>
      </c>
      <c r="D86" s="8">
        <v>114</v>
      </c>
      <c r="E86" s="8">
        <v>112</v>
      </c>
      <c r="F86" s="8">
        <v>112</v>
      </c>
      <c r="G86" s="8">
        <v>19446.490000000002</v>
      </c>
      <c r="H86" s="8">
        <v>21202.86</v>
      </c>
      <c r="I86" s="8">
        <v>21202.86</v>
      </c>
      <c r="J86" s="27"/>
    </row>
    <row r="87" spans="1:10" ht="45" x14ac:dyDescent="0.25">
      <c r="A87" s="6">
        <v>19</v>
      </c>
      <c r="B87" s="12" t="s">
        <v>83</v>
      </c>
      <c r="C87" s="5" t="s">
        <v>8</v>
      </c>
      <c r="D87" s="8">
        <v>0</v>
      </c>
      <c r="E87" s="8">
        <v>17</v>
      </c>
      <c r="F87" s="8">
        <v>17</v>
      </c>
      <c r="G87" s="8">
        <v>0</v>
      </c>
      <c r="H87" s="8">
        <v>25190.9</v>
      </c>
      <c r="I87" s="8">
        <v>25190.9</v>
      </c>
      <c r="J87" s="27"/>
    </row>
    <row r="88" spans="1:10" ht="45" x14ac:dyDescent="0.25">
      <c r="A88" s="6">
        <v>20</v>
      </c>
      <c r="B88" s="12" t="s">
        <v>84</v>
      </c>
      <c r="C88" s="5" t="s">
        <v>8</v>
      </c>
      <c r="D88" s="8">
        <v>120</v>
      </c>
      <c r="E88" s="8">
        <v>128</v>
      </c>
      <c r="F88" s="8">
        <v>128</v>
      </c>
      <c r="G88" s="8">
        <v>34051.1</v>
      </c>
      <c r="H88" s="8">
        <v>33468.400000000001</v>
      </c>
      <c r="I88" s="8">
        <v>33468.400000000001</v>
      </c>
      <c r="J88" s="27"/>
    </row>
    <row r="89" spans="1:10" ht="30" x14ac:dyDescent="0.25">
      <c r="A89" s="6">
        <v>21</v>
      </c>
      <c r="B89" s="12" t="s">
        <v>85</v>
      </c>
      <c r="C89" s="5" t="s">
        <v>8</v>
      </c>
      <c r="D89" s="8">
        <v>158</v>
      </c>
      <c r="E89" s="8">
        <v>153</v>
      </c>
      <c r="F89" s="8">
        <v>153</v>
      </c>
      <c r="G89" s="8">
        <v>11665.8</v>
      </c>
      <c r="H89" s="8">
        <v>11073.2</v>
      </c>
      <c r="I89" s="8">
        <v>11073.2</v>
      </c>
      <c r="J89" s="27"/>
    </row>
    <row r="90" spans="1:10" ht="45" customHeight="1" x14ac:dyDescent="0.25">
      <c r="A90" s="6">
        <v>22</v>
      </c>
      <c r="B90" s="12" t="s">
        <v>86</v>
      </c>
      <c r="C90" s="5" t="s">
        <v>32</v>
      </c>
      <c r="D90" s="8">
        <v>25</v>
      </c>
      <c r="E90" s="8">
        <f>9+8</f>
        <v>17</v>
      </c>
      <c r="F90" s="8">
        <f>9+8</f>
        <v>17</v>
      </c>
      <c r="G90" s="8">
        <f>538.7+6581.25</f>
        <v>7119.95</v>
      </c>
      <c r="H90" s="8">
        <f>2512+2468.29</f>
        <v>4980.29</v>
      </c>
      <c r="I90" s="8">
        <f>2512+2468.29</f>
        <v>4980.29</v>
      </c>
      <c r="J90" s="27"/>
    </row>
    <row r="91" spans="1:10" ht="45" customHeight="1" x14ac:dyDescent="0.25">
      <c r="A91" s="6">
        <v>23</v>
      </c>
      <c r="B91" s="12" t="s">
        <v>87</v>
      </c>
      <c r="C91" s="5" t="s">
        <v>32</v>
      </c>
      <c r="D91" s="8">
        <f>10+3</f>
        <v>13</v>
      </c>
      <c r="E91" s="8">
        <f>8+0</f>
        <v>8</v>
      </c>
      <c r="F91" s="8">
        <f>8+0</f>
        <v>8</v>
      </c>
      <c r="G91" s="8">
        <f>57.3+517.2</f>
        <v>574.5</v>
      </c>
      <c r="H91" s="8">
        <f>275.6+0</f>
        <v>275.60000000000002</v>
      </c>
      <c r="I91" s="8">
        <f>275.6+0</f>
        <v>275.60000000000002</v>
      </c>
      <c r="J91" s="27"/>
    </row>
    <row r="92" spans="1:10" ht="45" x14ac:dyDescent="0.25">
      <c r="A92" s="6">
        <v>24</v>
      </c>
      <c r="B92" s="12" t="s">
        <v>88</v>
      </c>
      <c r="C92" s="5" t="s">
        <v>32</v>
      </c>
      <c r="D92" s="8">
        <f>3+38+9+302+18</f>
        <v>370</v>
      </c>
      <c r="E92" s="8">
        <f>1+19+4+233+9</f>
        <v>266</v>
      </c>
      <c r="F92" s="8">
        <f>1+19+4+233+9</f>
        <v>266</v>
      </c>
      <c r="G92" s="8">
        <f>2466.2+3202.3+7426.9+39398.32+13271.5</f>
        <v>65765.22</v>
      </c>
      <c r="H92" s="8">
        <f>2736.1+1294.32+4331.8+50823.23+6764.2</f>
        <v>65949.650000000009</v>
      </c>
      <c r="I92" s="8">
        <f>2736.1+1294.32+4331.8+50823.23+6764.2</f>
        <v>65949.650000000009</v>
      </c>
      <c r="J92" s="27"/>
    </row>
    <row r="93" spans="1:10" ht="45" x14ac:dyDescent="0.25">
      <c r="A93" s="6">
        <v>25</v>
      </c>
      <c r="B93" s="12" t="s">
        <v>89</v>
      </c>
      <c r="C93" s="5" t="s">
        <v>32</v>
      </c>
      <c r="D93" s="8">
        <f>9+25+63+0</f>
        <v>97</v>
      </c>
      <c r="E93" s="8">
        <f>2+19+2</f>
        <v>23</v>
      </c>
      <c r="F93" s="8">
        <f>2+19+2</f>
        <v>23</v>
      </c>
      <c r="G93" s="8">
        <f>1398+8379.8+0</f>
        <v>9777.7999999999993</v>
      </c>
      <c r="H93" s="8">
        <f>2698.16+285.3</f>
        <v>2983.46</v>
      </c>
      <c r="I93" s="8">
        <f>2698.16+285.3</f>
        <v>2983.46</v>
      </c>
      <c r="J93" s="27"/>
    </row>
    <row r="94" spans="1:10" ht="45" x14ac:dyDescent="0.25">
      <c r="A94" s="6">
        <v>26</v>
      </c>
      <c r="B94" s="12" t="s">
        <v>90</v>
      </c>
      <c r="C94" s="5" t="s">
        <v>32</v>
      </c>
      <c r="D94" s="8">
        <f>4+2+8+62+4</f>
        <v>80</v>
      </c>
      <c r="E94" s="8">
        <f>2+4+36+1</f>
        <v>43</v>
      </c>
      <c r="F94" s="8">
        <f>2+4+36+1</f>
        <v>43</v>
      </c>
      <c r="G94" s="8">
        <f>2372.5+300+6376.97+8688+3165.2</f>
        <v>20902.670000000002</v>
      </c>
      <c r="H94" s="8">
        <f>36.23+11632.24+3806.21+16174</f>
        <v>31648.68</v>
      </c>
      <c r="I94" s="8">
        <f>36.23+11632.24+3806.21+16174</f>
        <v>31648.68</v>
      </c>
      <c r="J94" s="27"/>
    </row>
    <row r="95" spans="1:10" ht="30" x14ac:dyDescent="0.25">
      <c r="A95" s="6">
        <v>27</v>
      </c>
      <c r="B95" s="12" t="s">
        <v>91</v>
      </c>
      <c r="C95" s="5" t="s">
        <v>32</v>
      </c>
      <c r="D95" s="8">
        <v>8</v>
      </c>
      <c r="E95" s="8">
        <v>8</v>
      </c>
      <c r="F95" s="8">
        <v>8</v>
      </c>
      <c r="G95" s="8">
        <f>3034.78</f>
        <v>3034.78</v>
      </c>
      <c r="H95" s="8">
        <f>3337.01</f>
        <v>3337.01</v>
      </c>
      <c r="I95" s="8">
        <f>3337.01</f>
        <v>3337.01</v>
      </c>
      <c r="J95" s="27"/>
    </row>
    <row r="96" spans="1:10" ht="30" x14ac:dyDescent="0.25">
      <c r="A96" s="6">
        <v>28</v>
      </c>
      <c r="B96" s="12" t="s">
        <v>92</v>
      </c>
      <c r="C96" s="5" t="s">
        <v>32</v>
      </c>
      <c r="D96" s="8">
        <f>13</f>
        <v>13</v>
      </c>
      <c r="E96" s="8">
        <f>13</f>
        <v>13</v>
      </c>
      <c r="F96" s="8">
        <f>13</f>
        <v>13</v>
      </c>
      <c r="G96" s="8">
        <f>1547</f>
        <v>1547</v>
      </c>
      <c r="H96" s="8">
        <f>1817</f>
        <v>1817</v>
      </c>
      <c r="I96" s="8">
        <f>1817</f>
        <v>1817</v>
      </c>
      <c r="J96" s="27"/>
    </row>
    <row r="97" spans="1:10" ht="30" x14ac:dyDescent="0.25">
      <c r="A97" s="6">
        <v>29</v>
      </c>
      <c r="B97" s="12" t="s">
        <v>93</v>
      </c>
      <c r="C97" s="5" t="s">
        <v>32</v>
      </c>
      <c r="D97" s="8">
        <f>0+5</f>
        <v>5</v>
      </c>
      <c r="E97" s="8">
        <f>1+1</f>
        <v>2</v>
      </c>
      <c r="F97" s="8">
        <f>1+1</f>
        <v>2</v>
      </c>
      <c r="G97" s="8">
        <f>0+1064</f>
        <v>1064</v>
      </c>
      <c r="H97" s="8">
        <f>353.22+0</f>
        <v>353.22</v>
      </c>
      <c r="I97" s="8">
        <f>353.22+0</f>
        <v>353.22</v>
      </c>
      <c r="J97" s="27"/>
    </row>
    <row r="98" spans="1:10" ht="30" x14ac:dyDescent="0.25">
      <c r="A98" s="6">
        <v>30</v>
      </c>
      <c r="B98" s="12" t="s">
        <v>94</v>
      </c>
      <c r="C98" s="5" t="s">
        <v>32</v>
      </c>
      <c r="D98" s="8"/>
      <c r="E98" s="8"/>
      <c r="F98" s="8"/>
      <c r="G98" s="8"/>
      <c r="H98" s="8"/>
      <c r="I98" s="8"/>
      <c r="J98" s="27"/>
    </row>
    <row r="99" spans="1:10" ht="30" x14ac:dyDescent="0.25">
      <c r="A99" s="6">
        <v>31</v>
      </c>
      <c r="B99" s="12" t="s">
        <v>95</v>
      </c>
      <c r="C99" s="5" t="s">
        <v>32</v>
      </c>
      <c r="D99" s="8">
        <f>26+9+13+279+12</f>
        <v>339</v>
      </c>
      <c r="E99" s="8">
        <f>26+9+13+168+7</f>
        <v>223</v>
      </c>
      <c r="F99" s="8">
        <f>26+9+13+168+7</f>
        <v>223</v>
      </c>
      <c r="G99" s="8">
        <f>5921.7+4540+8694.52+26004+7006.2</f>
        <v>52166.42</v>
      </c>
      <c r="H99" s="8">
        <f>6534.6+1027.42+11482.58+22532+4143.2</f>
        <v>45719.799999999996</v>
      </c>
      <c r="I99" s="8">
        <f>6534.6+1027.42+11482.58+22532+4143.2</f>
        <v>45719.799999999996</v>
      </c>
      <c r="J99" s="27"/>
    </row>
    <row r="100" spans="1:10" ht="30" x14ac:dyDescent="0.25">
      <c r="A100" s="6">
        <v>32</v>
      </c>
      <c r="B100" s="12" t="s">
        <v>96</v>
      </c>
      <c r="C100" s="5" t="s">
        <v>32</v>
      </c>
      <c r="D100" s="8">
        <f>1+26+2</f>
        <v>29</v>
      </c>
      <c r="E100" s="8">
        <f>1+16+1</f>
        <v>18</v>
      </c>
      <c r="F100" s="8">
        <f>1+16+1</f>
        <v>18</v>
      </c>
      <c r="G100" s="8">
        <f>450+2786.36+691.6</f>
        <v>3927.96</v>
      </c>
      <c r="H100" s="8">
        <f>424.16+2628+1277.9</f>
        <v>4330.0599999999995</v>
      </c>
      <c r="I100" s="8">
        <f>424.16+2628+1277.9</f>
        <v>4330.0599999999995</v>
      </c>
      <c r="J100" s="27"/>
    </row>
    <row r="101" spans="1:10" ht="30" x14ac:dyDescent="0.25">
      <c r="A101" s="6">
        <v>33</v>
      </c>
      <c r="B101" s="12" t="s">
        <v>97</v>
      </c>
      <c r="C101" s="5" t="s">
        <v>32</v>
      </c>
      <c r="D101" s="8">
        <f>1+2+28+7</f>
        <v>38</v>
      </c>
      <c r="E101" s="8">
        <f>1+5+13+2</f>
        <v>21</v>
      </c>
      <c r="F101" s="8">
        <f>1+5+13+2</f>
        <v>21</v>
      </c>
      <c r="G101" s="8">
        <f>550+1633.18+4218.78+2691.2</f>
        <v>9093.16</v>
      </c>
      <c r="H101" s="8">
        <f>435.24+4463.43+3597.28+228.8</f>
        <v>8724.75</v>
      </c>
      <c r="I101" s="8">
        <f>435.24+4463.43+3597.28+228.8</f>
        <v>8724.75</v>
      </c>
      <c r="J101" s="27"/>
    </row>
    <row r="102" spans="1:10" ht="45" x14ac:dyDescent="0.25">
      <c r="A102" s="6">
        <v>34</v>
      </c>
      <c r="B102" s="12" t="s">
        <v>98</v>
      </c>
      <c r="C102" s="5" t="s">
        <v>32</v>
      </c>
      <c r="D102" s="8">
        <f>0</f>
        <v>0</v>
      </c>
      <c r="E102" s="8">
        <f>1</f>
        <v>1</v>
      </c>
      <c r="F102" s="8">
        <f>1</f>
        <v>1</v>
      </c>
      <c r="G102" s="8">
        <f>0</f>
        <v>0</v>
      </c>
      <c r="H102" s="8">
        <f>0</f>
        <v>0</v>
      </c>
      <c r="I102" s="8">
        <f>0</f>
        <v>0</v>
      </c>
      <c r="J102" s="27"/>
    </row>
    <row r="103" spans="1:10" ht="75" x14ac:dyDescent="0.25">
      <c r="A103" s="6">
        <v>35</v>
      </c>
      <c r="B103" s="12" t="s">
        <v>99</v>
      </c>
      <c r="C103" s="5" t="s">
        <v>32</v>
      </c>
      <c r="D103" s="8">
        <f>14</f>
        <v>14</v>
      </c>
      <c r="E103" s="8">
        <f>3</f>
        <v>3</v>
      </c>
      <c r="F103" s="8">
        <f>3</f>
        <v>3</v>
      </c>
      <c r="G103" s="8">
        <v>6694</v>
      </c>
      <c r="H103" s="8">
        <f>4766.22</f>
        <v>4766.22</v>
      </c>
      <c r="I103" s="8">
        <f>4766.22</f>
        <v>4766.22</v>
      </c>
      <c r="J103" s="27"/>
    </row>
    <row r="104" spans="1:10" ht="30" x14ac:dyDescent="0.25">
      <c r="A104" s="6">
        <v>36</v>
      </c>
      <c r="B104" s="12" t="s">
        <v>100</v>
      </c>
      <c r="C104" s="5" t="s">
        <v>32</v>
      </c>
      <c r="D104" s="8">
        <f>7+11+3+97+27</f>
        <v>145</v>
      </c>
      <c r="E104" s="8">
        <f>5+11+7+137+26</f>
        <v>186</v>
      </c>
      <c r="F104" s="8">
        <f>5+11+7+137+26</f>
        <v>186</v>
      </c>
      <c r="G104" s="8">
        <f>2845.3+3035.7+4100.48+30570.84+14913.3</f>
        <v>55465.619999999995</v>
      </c>
      <c r="H104" s="8">
        <v>62841.17</v>
      </c>
      <c r="I104" s="8">
        <f>62841.07-9753.02</f>
        <v>53088.05</v>
      </c>
      <c r="J104" s="27"/>
    </row>
    <row r="105" spans="1:10" ht="45" x14ac:dyDescent="0.25">
      <c r="A105" s="6">
        <v>37</v>
      </c>
      <c r="B105" s="12" t="s">
        <v>101</v>
      </c>
      <c r="C105" s="5" t="s">
        <v>32</v>
      </c>
      <c r="D105" s="8">
        <f>16+9+6+52+2</f>
        <v>85</v>
      </c>
      <c r="E105" s="8">
        <f>16+9+6+43+1</f>
        <v>75</v>
      </c>
      <c r="F105" s="8">
        <f>16+9+6+43+1</f>
        <v>75</v>
      </c>
      <c r="G105" s="8">
        <f>4289.4+1048+4512.87+10730+553.6</f>
        <v>21133.87</v>
      </c>
      <c r="H105" s="8">
        <f>3668.4+1063.08+5774.05+6008.49+354+729.62</f>
        <v>17597.639999999996</v>
      </c>
      <c r="I105" s="8">
        <v>15464.12</v>
      </c>
      <c r="J105" s="27"/>
    </row>
    <row r="106" spans="1:10" ht="45" x14ac:dyDescent="0.25">
      <c r="A106" s="6">
        <v>38</v>
      </c>
      <c r="B106" s="12" t="s">
        <v>102</v>
      </c>
      <c r="C106" s="5" t="s">
        <v>32</v>
      </c>
      <c r="D106" s="8">
        <f>19+2+2+17</f>
        <v>40</v>
      </c>
      <c r="E106" s="8">
        <f>16+2+2+10</f>
        <v>30</v>
      </c>
      <c r="F106" s="8">
        <f>16+2+2+10</f>
        <v>30</v>
      </c>
      <c r="G106" s="8">
        <f>4752.6+330.8+1498.18+6226+5338.9</f>
        <v>18146.480000000003</v>
      </c>
      <c r="H106" s="8">
        <f>1960.4+330.8+1918.57+4021.92</f>
        <v>8231.69</v>
      </c>
      <c r="I106" s="8">
        <f>1960.4+330.8+1918.57+4021.92</f>
        <v>8231.69</v>
      </c>
      <c r="J106" s="27"/>
    </row>
    <row r="107" spans="1:10" ht="45" x14ac:dyDescent="0.25">
      <c r="A107" s="6">
        <v>39</v>
      </c>
      <c r="B107" s="12" t="s">
        <v>103</v>
      </c>
      <c r="C107" s="5" t="s">
        <v>32</v>
      </c>
      <c r="D107" s="8">
        <f>8</f>
        <v>8</v>
      </c>
      <c r="E107" s="8">
        <f>8</f>
        <v>8</v>
      </c>
      <c r="F107" s="8">
        <f>8</f>
        <v>8</v>
      </c>
      <c r="G107" s="8">
        <f>474</f>
        <v>474</v>
      </c>
      <c r="H107" s="8">
        <f>459.4</f>
        <v>459.4</v>
      </c>
      <c r="I107" s="8">
        <f>459.4</f>
        <v>459.4</v>
      </c>
      <c r="J107" s="27"/>
    </row>
    <row r="108" spans="1:10" x14ac:dyDescent="0.25">
      <c r="A108" s="6">
        <v>40</v>
      </c>
      <c r="B108" s="12" t="s">
        <v>104</v>
      </c>
      <c r="C108" s="5" t="s">
        <v>105</v>
      </c>
      <c r="D108" s="8">
        <v>80652.75</v>
      </c>
      <c r="E108" s="8">
        <v>86944.75</v>
      </c>
      <c r="F108" s="8">
        <v>88098</v>
      </c>
      <c r="G108" s="8">
        <v>129921.3</v>
      </c>
      <c r="H108" s="8">
        <v>161202.70000000001</v>
      </c>
      <c r="I108" s="8">
        <v>161202.70000000001</v>
      </c>
      <c r="J108" s="27"/>
    </row>
    <row r="109" spans="1:10" ht="14.45" customHeight="1" x14ac:dyDescent="0.25">
      <c r="A109" s="48">
        <v>41</v>
      </c>
      <c r="B109" s="50" t="s">
        <v>106</v>
      </c>
      <c r="C109" s="5" t="s">
        <v>8</v>
      </c>
      <c r="D109" s="8">
        <f>10</f>
        <v>10</v>
      </c>
      <c r="E109" s="8">
        <f>10</f>
        <v>10</v>
      </c>
      <c r="F109" s="8">
        <f>10</f>
        <v>10</v>
      </c>
      <c r="G109" s="8">
        <f>869.9</f>
        <v>869.9</v>
      </c>
      <c r="H109" s="8">
        <f>852.5</f>
        <v>852.5</v>
      </c>
      <c r="I109" s="8">
        <f>852.5</f>
        <v>852.5</v>
      </c>
      <c r="J109" s="27"/>
    </row>
    <row r="110" spans="1:10" x14ac:dyDescent="0.25">
      <c r="A110" s="49"/>
      <c r="B110" s="51"/>
      <c r="C110" s="5" t="s">
        <v>21</v>
      </c>
      <c r="D110" s="8"/>
      <c r="E110" s="8"/>
      <c r="F110" s="8"/>
      <c r="G110" s="8"/>
      <c r="H110" s="8"/>
      <c r="I110" s="8"/>
      <c r="J110" s="27"/>
    </row>
    <row r="111" spans="1:10" ht="60" x14ac:dyDescent="0.25">
      <c r="A111" s="6">
        <v>42</v>
      </c>
      <c r="B111" s="12" t="s">
        <v>107</v>
      </c>
      <c r="C111" s="5" t="s">
        <v>32</v>
      </c>
      <c r="D111" s="8">
        <f>2+0</f>
        <v>2</v>
      </c>
      <c r="E111" s="8">
        <f>2+1</f>
        <v>3</v>
      </c>
      <c r="F111" s="8">
        <f>2</f>
        <v>2</v>
      </c>
      <c r="G111" s="8">
        <v>1295.6300000000001</v>
      </c>
      <c r="H111" s="8">
        <f>1926.82+51.2</f>
        <v>1978.02</v>
      </c>
      <c r="I111" s="8">
        <f>1926.82+51.2</f>
        <v>1978.02</v>
      </c>
      <c r="J111" s="27"/>
    </row>
    <row r="112" spans="1:10" ht="45" customHeight="1" x14ac:dyDescent="0.25">
      <c r="A112" s="6">
        <v>43</v>
      </c>
      <c r="B112" s="12" t="s">
        <v>108</v>
      </c>
      <c r="C112" s="5" t="s">
        <v>32</v>
      </c>
      <c r="D112" s="8">
        <f>2+0</f>
        <v>2</v>
      </c>
      <c r="E112" s="8">
        <f>2+0</f>
        <v>2</v>
      </c>
      <c r="F112" s="8">
        <f>2+1+0</f>
        <v>3</v>
      </c>
      <c r="G112" s="8">
        <f>1517.18+0</f>
        <v>1517.18</v>
      </c>
      <c r="H112" s="8">
        <f>1726.98+0</f>
        <v>1726.98</v>
      </c>
      <c r="I112" s="8">
        <f>1726.98+0</f>
        <v>1726.98</v>
      </c>
      <c r="J112" s="27"/>
    </row>
    <row r="113" spans="1:10" x14ac:dyDescent="0.25">
      <c r="A113" s="9"/>
      <c r="B113" s="10" t="s">
        <v>10</v>
      </c>
      <c r="C113" s="11" t="s">
        <v>11</v>
      </c>
      <c r="D113" s="11"/>
      <c r="E113" s="11"/>
      <c r="F113" s="11"/>
      <c r="G113" s="11">
        <f>SUM(G69:G112)</f>
        <v>593177.06000000006</v>
      </c>
      <c r="H113" s="11">
        <f>SUM(H69:H112)</f>
        <v>647214.53</v>
      </c>
      <c r="I113" s="11">
        <f>SUM(I69:I112)</f>
        <v>635327.89</v>
      </c>
      <c r="J113" s="27"/>
    </row>
    <row r="114" spans="1:10" ht="14.45" customHeight="1" x14ac:dyDescent="0.25">
      <c r="A114" s="45" t="s">
        <v>109</v>
      </c>
      <c r="B114" s="45"/>
      <c r="C114" s="45"/>
      <c r="D114" s="45"/>
      <c r="E114" s="45"/>
      <c r="F114" s="45"/>
      <c r="G114" s="45"/>
      <c r="H114" s="45"/>
      <c r="I114" s="45"/>
      <c r="J114" s="27"/>
    </row>
    <row r="115" spans="1:10" ht="105" x14ac:dyDescent="0.25">
      <c r="A115" s="6">
        <v>1</v>
      </c>
      <c r="B115" s="12" t="s">
        <v>110</v>
      </c>
      <c r="C115" s="5" t="s">
        <v>111</v>
      </c>
      <c r="D115" s="5">
        <v>135</v>
      </c>
      <c r="E115" s="5">
        <v>135</v>
      </c>
      <c r="F115" s="5">
        <v>140</v>
      </c>
      <c r="G115" s="13">
        <v>33370.664850000001</v>
      </c>
      <c r="H115" s="13">
        <v>33370.664850000001</v>
      </c>
      <c r="I115" s="13">
        <v>33370.664850000001</v>
      </c>
      <c r="J115" s="27"/>
    </row>
    <row r="116" spans="1:10" ht="90" x14ac:dyDescent="0.25">
      <c r="A116" s="6">
        <v>2</v>
      </c>
      <c r="B116" s="12" t="s">
        <v>112</v>
      </c>
      <c r="C116" s="5" t="s">
        <v>111</v>
      </c>
      <c r="D116" s="5">
        <v>66</v>
      </c>
      <c r="E116" s="5">
        <v>66</v>
      </c>
      <c r="F116" s="5">
        <v>63</v>
      </c>
      <c r="G116" s="13">
        <v>9179.5156200000019</v>
      </c>
      <c r="H116" s="13">
        <v>9179.9</v>
      </c>
      <c r="I116" s="13">
        <v>9179.9</v>
      </c>
      <c r="J116" s="27"/>
    </row>
    <row r="117" spans="1:10" ht="105" x14ac:dyDescent="0.25">
      <c r="A117" s="6">
        <v>3</v>
      </c>
      <c r="B117" s="12" t="s">
        <v>113</v>
      </c>
      <c r="C117" s="5" t="s">
        <v>111</v>
      </c>
      <c r="D117" s="5">
        <v>88</v>
      </c>
      <c r="E117" s="5">
        <v>88</v>
      </c>
      <c r="F117" s="5">
        <v>85</v>
      </c>
      <c r="G117" s="13">
        <v>8146.1881599999997</v>
      </c>
      <c r="H117" s="13">
        <v>8146.1881599999997</v>
      </c>
      <c r="I117" s="13">
        <v>8146.1881599999997</v>
      </c>
      <c r="J117" s="27"/>
    </row>
    <row r="118" spans="1:10" ht="90" x14ac:dyDescent="0.25">
      <c r="A118" s="6">
        <v>4</v>
      </c>
      <c r="B118" s="12" t="s">
        <v>114</v>
      </c>
      <c r="C118" s="5" t="s">
        <v>111</v>
      </c>
      <c r="D118" s="5">
        <v>38</v>
      </c>
      <c r="E118" s="5">
        <v>38</v>
      </c>
      <c r="F118" s="5">
        <v>38</v>
      </c>
      <c r="G118" s="13">
        <v>16623.37284</v>
      </c>
      <c r="H118" s="13">
        <v>16623.37284</v>
      </c>
      <c r="I118" s="13">
        <v>16623.37284</v>
      </c>
      <c r="J118" s="27"/>
    </row>
    <row r="119" spans="1:10" ht="90" x14ac:dyDescent="0.25">
      <c r="A119" s="6">
        <v>5</v>
      </c>
      <c r="B119" s="12" t="s">
        <v>115</v>
      </c>
      <c r="C119" s="5" t="s">
        <v>111</v>
      </c>
      <c r="D119" s="5">
        <v>33</v>
      </c>
      <c r="E119" s="5">
        <v>33</v>
      </c>
      <c r="F119" s="5">
        <v>35</v>
      </c>
      <c r="G119" s="13">
        <v>18649.139520000001</v>
      </c>
      <c r="H119" s="13">
        <v>18649.139520000001</v>
      </c>
      <c r="I119" s="13">
        <v>18649.139520000001</v>
      </c>
      <c r="J119" s="27"/>
    </row>
    <row r="120" spans="1:10" ht="105" x14ac:dyDescent="0.25">
      <c r="A120" s="6">
        <v>6</v>
      </c>
      <c r="B120" s="12" t="s">
        <v>116</v>
      </c>
      <c r="C120" s="5" t="s">
        <v>111</v>
      </c>
      <c r="D120" s="5">
        <v>66</v>
      </c>
      <c r="E120" s="5">
        <v>66</v>
      </c>
      <c r="F120" s="5">
        <v>67</v>
      </c>
      <c r="G120" s="13">
        <v>22872.448499999999</v>
      </c>
      <c r="H120" s="13">
        <v>22872.448499999999</v>
      </c>
      <c r="I120" s="13">
        <v>22872.448499999999</v>
      </c>
      <c r="J120" s="27"/>
    </row>
    <row r="121" spans="1:10" ht="69" customHeight="1" x14ac:dyDescent="0.25">
      <c r="A121" s="6">
        <v>7</v>
      </c>
      <c r="B121" s="12" t="s">
        <v>117</v>
      </c>
      <c r="C121" s="5" t="s">
        <v>111</v>
      </c>
      <c r="D121" s="5">
        <v>50</v>
      </c>
      <c r="E121" s="5">
        <v>50</v>
      </c>
      <c r="F121" s="5">
        <v>48</v>
      </c>
      <c r="G121" s="13">
        <v>17297.7765</v>
      </c>
      <c r="H121" s="13">
        <v>17297.7765</v>
      </c>
      <c r="I121" s="13">
        <v>17297.7765</v>
      </c>
      <c r="J121" s="27"/>
    </row>
    <row r="122" spans="1:10" ht="45" x14ac:dyDescent="0.25">
      <c r="A122" s="6">
        <v>8</v>
      </c>
      <c r="B122" s="12" t="s">
        <v>118</v>
      </c>
      <c r="C122" s="5" t="s">
        <v>111</v>
      </c>
      <c r="D122" s="5">
        <v>200</v>
      </c>
      <c r="E122" s="5">
        <v>200</v>
      </c>
      <c r="F122" s="5">
        <v>205</v>
      </c>
      <c r="G122" s="13">
        <v>125.06199999999998</v>
      </c>
      <c r="H122" s="13">
        <v>125.06199999999998</v>
      </c>
      <c r="I122" s="13">
        <v>125.06199999999998</v>
      </c>
      <c r="J122" s="27"/>
    </row>
    <row r="123" spans="1:10" ht="30" x14ac:dyDescent="0.25">
      <c r="A123" s="6">
        <v>9</v>
      </c>
      <c r="B123" s="12" t="s">
        <v>119</v>
      </c>
      <c r="C123" s="5" t="s">
        <v>111</v>
      </c>
      <c r="D123" s="5">
        <v>141490</v>
      </c>
      <c r="E123" s="5">
        <v>141490</v>
      </c>
      <c r="F123" s="5">
        <v>80189</v>
      </c>
      <c r="G123" s="13">
        <v>191246.37340000001</v>
      </c>
      <c r="H123" s="13">
        <v>191246.37340000001</v>
      </c>
      <c r="I123" s="13">
        <v>191246.37340000001</v>
      </c>
      <c r="J123" s="27"/>
    </row>
    <row r="124" spans="1:10" ht="30" x14ac:dyDescent="0.25">
      <c r="A124" s="6">
        <v>10</v>
      </c>
      <c r="B124" s="12" t="s">
        <v>120</v>
      </c>
      <c r="C124" s="5" t="s">
        <v>111</v>
      </c>
      <c r="D124" s="5">
        <v>64947</v>
      </c>
      <c r="E124" s="5">
        <v>64947</v>
      </c>
      <c r="F124" s="5">
        <v>29615</v>
      </c>
      <c r="G124" s="13">
        <v>82480.741590000005</v>
      </c>
      <c r="H124" s="13">
        <v>82480.741590000005</v>
      </c>
      <c r="I124" s="13">
        <v>82480.741590000005</v>
      </c>
      <c r="J124" s="27"/>
    </row>
    <row r="125" spans="1:10" ht="30" x14ac:dyDescent="0.25">
      <c r="A125" s="6">
        <v>11</v>
      </c>
      <c r="B125" s="12" t="s">
        <v>121</v>
      </c>
      <c r="C125" s="5" t="s">
        <v>111</v>
      </c>
      <c r="D125" s="5">
        <v>22269</v>
      </c>
      <c r="E125" s="5">
        <v>22269</v>
      </c>
      <c r="F125" s="5">
        <v>4944</v>
      </c>
      <c r="G125" s="13">
        <v>52411.427640000002</v>
      </c>
      <c r="H125" s="13">
        <v>52411.427640000002</v>
      </c>
      <c r="I125" s="13">
        <v>52411.427640000002</v>
      </c>
      <c r="J125" s="27"/>
    </row>
    <row r="126" spans="1:10" ht="30" x14ac:dyDescent="0.25">
      <c r="A126" s="6">
        <v>12</v>
      </c>
      <c r="B126" s="12" t="s">
        <v>122</v>
      </c>
      <c r="C126" s="5" t="s">
        <v>111</v>
      </c>
      <c r="D126" s="5">
        <v>0</v>
      </c>
      <c r="E126" s="5">
        <v>0</v>
      </c>
      <c r="F126" s="5">
        <v>0</v>
      </c>
      <c r="G126" s="13">
        <v>0</v>
      </c>
      <c r="H126" s="13">
        <v>0</v>
      </c>
      <c r="I126" s="13">
        <v>0</v>
      </c>
      <c r="J126" s="27"/>
    </row>
    <row r="127" spans="1:10" ht="30" x14ac:dyDescent="0.25">
      <c r="A127" s="6">
        <v>13</v>
      </c>
      <c r="B127" s="12" t="s">
        <v>123</v>
      </c>
      <c r="C127" s="5" t="s">
        <v>111</v>
      </c>
      <c r="D127" s="5">
        <v>0</v>
      </c>
      <c r="E127" s="5">
        <v>0</v>
      </c>
      <c r="F127" s="5">
        <v>0</v>
      </c>
      <c r="G127" s="13">
        <v>0</v>
      </c>
      <c r="H127" s="13">
        <v>0</v>
      </c>
      <c r="I127" s="13">
        <v>0</v>
      </c>
      <c r="J127" s="27"/>
    </row>
    <row r="128" spans="1:10" ht="30" x14ac:dyDescent="0.25">
      <c r="A128" s="6">
        <v>14</v>
      </c>
      <c r="B128" s="12" t="s">
        <v>124</v>
      </c>
      <c r="C128" s="5" t="s">
        <v>111</v>
      </c>
      <c r="D128" s="5">
        <v>0</v>
      </c>
      <c r="E128" s="5">
        <v>0</v>
      </c>
      <c r="F128" s="5">
        <v>0</v>
      </c>
      <c r="G128" s="13">
        <v>0</v>
      </c>
      <c r="H128" s="13">
        <v>0</v>
      </c>
      <c r="I128" s="13">
        <v>0</v>
      </c>
      <c r="J128" s="27"/>
    </row>
    <row r="129" spans="1:10" ht="30" x14ac:dyDescent="0.25">
      <c r="A129" s="6">
        <v>15</v>
      </c>
      <c r="B129" s="12" t="s">
        <v>125</v>
      </c>
      <c r="C129" s="5" t="s">
        <v>111</v>
      </c>
      <c r="D129" s="5">
        <v>56700</v>
      </c>
      <c r="E129" s="5">
        <v>56700</v>
      </c>
      <c r="F129" s="5">
        <v>50846</v>
      </c>
      <c r="G129" s="13">
        <v>50091.048000000003</v>
      </c>
      <c r="H129" s="13">
        <v>50091.048000000003</v>
      </c>
      <c r="I129" s="13">
        <v>50091.048000000003</v>
      </c>
      <c r="J129" s="27"/>
    </row>
    <row r="130" spans="1:10" ht="30" x14ac:dyDescent="0.25">
      <c r="A130" s="6">
        <v>16</v>
      </c>
      <c r="B130" s="12" t="s">
        <v>126</v>
      </c>
      <c r="C130" s="5" t="s">
        <v>111</v>
      </c>
      <c r="D130" s="5">
        <v>12509</v>
      </c>
      <c r="E130" s="5">
        <v>12509</v>
      </c>
      <c r="F130" s="5">
        <v>3962</v>
      </c>
      <c r="G130" s="13">
        <v>13311.327260000002</v>
      </c>
      <c r="H130" s="13">
        <v>13311.327260000002</v>
      </c>
      <c r="I130" s="13">
        <v>13311.327260000002</v>
      </c>
      <c r="J130" s="27"/>
    </row>
    <row r="131" spans="1:10" x14ac:dyDescent="0.25">
      <c r="A131" s="6">
        <v>17</v>
      </c>
      <c r="B131" s="12" t="s">
        <v>127</v>
      </c>
      <c r="C131" s="5" t="s">
        <v>128</v>
      </c>
      <c r="D131" s="5">
        <v>20</v>
      </c>
      <c r="E131" s="5">
        <v>20</v>
      </c>
      <c r="F131" s="5">
        <v>20</v>
      </c>
      <c r="G131" s="13">
        <v>154871.56</v>
      </c>
      <c r="H131" s="13">
        <v>215956.96</v>
      </c>
      <c r="I131" s="13">
        <v>215956.96</v>
      </c>
      <c r="J131" s="27"/>
    </row>
    <row r="132" spans="1:10" ht="30" x14ac:dyDescent="0.25">
      <c r="A132" s="6">
        <v>18</v>
      </c>
      <c r="B132" s="12" t="s">
        <v>129</v>
      </c>
      <c r="C132" s="5" t="s">
        <v>130</v>
      </c>
      <c r="D132" s="5">
        <v>62</v>
      </c>
      <c r="E132" s="5">
        <v>62</v>
      </c>
      <c r="F132" s="5">
        <v>41</v>
      </c>
      <c r="G132" s="13">
        <v>36119.79</v>
      </c>
      <c r="H132" s="13">
        <v>36119.79</v>
      </c>
      <c r="I132" s="13">
        <v>36119.79</v>
      </c>
      <c r="J132" s="27"/>
    </row>
    <row r="133" spans="1:10" ht="30" x14ac:dyDescent="0.25">
      <c r="A133" s="6">
        <v>19</v>
      </c>
      <c r="B133" s="12" t="s">
        <v>131</v>
      </c>
      <c r="C133" s="5" t="s">
        <v>111</v>
      </c>
      <c r="D133" s="5">
        <v>934731</v>
      </c>
      <c r="E133" s="5">
        <v>934731</v>
      </c>
      <c r="F133" s="5">
        <v>882159</v>
      </c>
      <c r="G133" s="13">
        <v>107447.33</v>
      </c>
      <c r="H133" s="13">
        <v>107447.33</v>
      </c>
      <c r="I133" s="13">
        <v>107447.33</v>
      </c>
      <c r="J133" s="27"/>
    </row>
    <row r="134" spans="1:10" ht="30" x14ac:dyDescent="0.25">
      <c r="A134" s="6">
        <v>20</v>
      </c>
      <c r="B134" s="12" t="s">
        <v>132</v>
      </c>
      <c r="C134" s="5" t="s">
        <v>111</v>
      </c>
      <c r="D134" s="5">
        <v>48862</v>
      </c>
      <c r="E134" s="5">
        <v>48862</v>
      </c>
      <c r="F134" s="5">
        <v>108169</v>
      </c>
      <c r="G134" s="13">
        <v>5274.65</v>
      </c>
      <c r="H134" s="13">
        <v>5274.65</v>
      </c>
      <c r="I134" s="13">
        <v>5274.65</v>
      </c>
      <c r="J134" s="27"/>
    </row>
    <row r="135" spans="1:10" ht="30" x14ac:dyDescent="0.25">
      <c r="A135" s="6">
        <v>21</v>
      </c>
      <c r="B135" s="12" t="s">
        <v>133</v>
      </c>
      <c r="C135" s="5" t="s">
        <v>111</v>
      </c>
      <c r="D135" s="5">
        <v>176135</v>
      </c>
      <c r="E135" s="5">
        <v>176135</v>
      </c>
      <c r="F135" s="5">
        <v>531494</v>
      </c>
      <c r="G135" s="13">
        <v>5875.86</v>
      </c>
      <c r="H135" s="13">
        <v>5875.86</v>
      </c>
      <c r="I135" s="13">
        <v>5875.86</v>
      </c>
      <c r="J135" s="27"/>
    </row>
    <row r="136" spans="1:10" ht="45" x14ac:dyDescent="0.25">
      <c r="A136" s="6">
        <v>22</v>
      </c>
      <c r="B136" s="12" t="s">
        <v>134</v>
      </c>
      <c r="C136" s="5" t="s">
        <v>135</v>
      </c>
      <c r="D136" s="5">
        <v>318</v>
      </c>
      <c r="E136" s="5">
        <v>318</v>
      </c>
      <c r="F136" s="5">
        <v>334</v>
      </c>
      <c r="G136" s="13">
        <v>258880.84</v>
      </c>
      <c r="H136" s="13">
        <v>278382.94</v>
      </c>
      <c r="I136" s="13">
        <v>278382.94</v>
      </c>
      <c r="J136" s="27"/>
    </row>
    <row r="137" spans="1:10" ht="45" x14ac:dyDescent="0.25">
      <c r="A137" s="6">
        <v>23</v>
      </c>
      <c r="B137" s="12" t="s">
        <v>136</v>
      </c>
      <c r="C137" s="5" t="s">
        <v>137</v>
      </c>
      <c r="D137" s="5">
        <v>442523</v>
      </c>
      <c r="E137" s="5">
        <v>442523</v>
      </c>
      <c r="F137" s="5">
        <v>447605</v>
      </c>
      <c r="G137" s="13">
        <v>80046.55</v>
      </c>
      <c r="H137" s="13">
        <v>80046.55</v>
      </c>
      <c r="I137" s="13">
        <v>80046.55</v>
      </c>
      <c r="J137" s="27"/>
    </row>
    <row r="138" spans="1:10" ht="50.25" x14ac:dyDescent="0.25">
      <c r="A138" s="6">
        <v>24</v>
      </c>
      <c r="B138" s="12" t="s">
        <v>138</v>
      </c>
      <c r="C138" s="5" t="s">
        <v>139</v>
      </c>
      <c r="D138" s="5" t="s">
        <v>140</v>
      </c>
      <c r="E138" s="5" t="s">
        <v>140</v>
      </c>
      <c r="F138" s="5" t="s">
        <v>140</v>
      </c>
      <c r="G138" s="13">
        <v>14000.24</v>
      </c>
      <c r="H138" s="13">
        <v>14000.24</v>
      </c>
      <c r="I138" s="13">
        <v>14000.24</v>
      </c>
      <c r="J138" s="27"/>
    </row>
    <row r="139" spans="1:10" ht="30" x14ac:dyDescent="0.25">
      <c r="A139" s="6">
        <v>25</v>
      </c>
      <c r="B139" s="12" t="s">
        <v>141</v>
      </c>
      <c r="C139" s="5" t="s">
        <v>139</v>
      </c>
      <c r="D139" s="5">
        <v>142</v>
      </c>
      <c r="E139" s="5">
        <v>142</v>
      </c>
      <c r="F139" s="5">
        <v>142</v>
      </c>
      <c r="G139" s="13">
        <v>56019.360000000001</v>
      </c>
      <c r="H139" s="13">
        <v>75411.360000000015</v>
      </c>
      <c r="I139" s="13">
        <v>75411.360000000015</v>
      </c>
      <c r="J139" s="27"/>
    </row>
    <row r="140" spans="1:10" ht="45" x14ac:dyDescent="0.25">
      <c r="A140" s="6">
        <v>26</v>
      </c>
      <c r="B140" s="12" t="s">
        <v>142</v>
      </c>
      <c r="C140" s="5" t="s">
        <v>143</v>
      </c>
      <c r="D140" s="5">
        <v>3276593</v>
      </c>
      <c r="E140" s="5">
        <v>3276593</v>
      </c>
      <c r="F140" s="5">
        <v>3276593</v>
      </c>
      <c r="G140" s="13">
        <v>20000</v>
      </c>
      <c r="H140" s="13">
        <v>50000</v>
      </c>
      <c r="I140" s="13">
        <v>50000</v>
      </c>
      <c r="J140" s="27"/>
    </row>
    <row r="141" spans="1:10" x14ac:dyDescent="0.25">
      <c r="A141" s="5"/>
      <c r="B141" s="14" t="s">
        <v>10</v>
      </c>
      <c r="C141" s="15"/>
      <c r="D141" s="15"/>
      <c r="E141" s="15"/>
      <c r="F141" s="15" t="s">
        <v>11</v>
      </c>
      <c r="G141" s="15">
        <f>SUM(G115:G140)</f>
        <v>1254341.2658800001</v>
      </c>
      <c r="H141" s="15">
        <f>SUM(H115:H140)</f>
        <v>1384321.15026</v>
      </c>
      <c r="I141" s="15">
        <f>SUM(I115:I140)</f>
        <v>1384321.15026</v>
      </c>
      <c r="J141" s="27"/>
    </row>
    <row r="142" spans="1:10" ht="14.45" customHeight="1" x14ac:dyDescent="0.25">
      <c r="A142" s="45" t="s">
        <v>144</v>
      </c>
      <c r="B142" s="45"/>
      <c r="C142" s="45"/>
      <c r="D142" s="45"/>
      <c r="E142" s="45"/>
      <c r="F142" s="45"/>
      <c r="G142" s="45"/>
      <c r="H142" s="45"/>
      <c r="I142" s="45"/>
      <c r="J142" s="27"/>
    </row>
    <row r="143" spans="1:10" ht="45" x14ac:dyDescent="0.25">
      <c r="A143" s="5" t="s">
        <v>145</v>
      </c>
      <c r="B143" s="7" t="s">
        <v>146</v>
      </c>
      <c r="C143" s="5" t="s">
        <v>8</v>
      </c>
      <c r="D143" s="16">
        <v>1061</v>
      </c>
      <c r="E143" s="16">
        <v>1210</v>
      </c>
      <c r="F143" s="16">
        <v>1214</v>
      </c>
      <c r="G143" s="5">
        <v>21861.3</v>
      </c>
      <c r="H143" s="5">
        <v>22544.162059999999</v>
      </c>
      <c r="I143" s="5">
        <v>22544.162059999999</v>
      </c>
      <c r="J143" s="27"/>
    </row>
    <row r="144" spans="1:10" ht="45" x14ac:dyDescent="0.25">
      <c r="A144" s="5" t="s">
        <v>147</v>
      </c>
      <c r="B144" s="7" t="s">
        <v>148</v>
      </c>
      <c r="C144" s="5" t="s">
        <v>8</v>
      </c>
      <c r="D144" s="16">
        <v>215</v>
      </c>
      <c r="E144" s="16">
        <v>215</v>
      </c>
      <c r="F144" s="16">
        <v>215</v>
      </c>
      <c r="G144" s="5">
        <v>703.32799999999997</v>
      </c>
      <c r="H144" s="5">
        <v>703.32799999999997</v>
      </c>
      <c r="I144" s="5">
        <v>703.32799999999997</v>
      </c>
      <c r="J144" s="27"/>
    </row>
    <row r="145" spans="1:10" ht="90" x14ac:dyDescent="0.25">
      <c r="A145" s="5" t="s">
        <v>149</v>
      </c>
      <c r="B145" s="7" t="s">
        <v>150</v>
      </c>
      <c r="C145" s="5" t="s">
        <v>8</v>
      </c>
      <c r="D145" s="16">
        <v>514</v>
      </c>
      <c r="E145" s="16">
        <v>305</v>
      </c>
      <c r="F145" s="16">
        <v>305</v>
      </c>
      <c r="G145" s="5">
        <v>22270.391640000002</v>
      </c>
      <c r="H145" s="5">
        <v>10022.475</v>
      </c>
      <c r="I145" s="5">
        <v>10022.475</v>
      </c>
      <c r="J145" s="27"/>
    </row>
    <row r="146" spans="1:10" ht="135" x14ac:dyDescent="0.25">
      <c r="A146" s="5" t="s">
        <v>151</v>
      </c>
      <c r="B146" s="7" t="s">
        <v>152</v>
      </c>
      <c r="C146" s="5" t="s">
        <v>8</v>
      </c>
      <c r="D146" s="16">
        <v>410</v>
      </c>
      <c r="E146" s="16">
        <v>330</v>
      </c>
      <c r="F146" s="16">
        <v>330</v>
      </c>
      <c r="G146" s="5">
        <v>17744.80373</v>
      </c>
      <c r="H146" s="5">
        <v>8395.4445500000002</v>
      </c>
      <c r="I146" s="5">
        <v>8395.4445500000002</v>
      </c>
      <c r="J146" s="27"/>
    </row>
    <row r="147" spans="1:10" ht="105" x14ac:dyDescent="0.25">
      <c r="A147" s="5" t="s">
        <v>153</v>
      </c>
      <c r="B147" s="7" t="s">
        <v>154</v>
      </c>
      <c r="C147" s="5" t="s">
        <v>8</v>
      </c>
      <c r="D147" s="16">
        <v>231</v>
      </c>
      <c r="E147" s="16">
        <v>107</v>
      </c>
      <c r="F147" s="16">
        <v>107</v>
      </c>
      <c r="G147" s="5">
        <v>10000</v>
      </c>
      <c r="H147" s="5">
        <v>4253.2</v>
      </c>
      <c r="I147" s="5">
        <v>4253.2</v>
      </c>
      <c r="J147" s="27"/>
    </row>
    <row r="148" spans="1:10" ht="90" x14ac:dyDescent="0.25">
      <c r="A148" s="5" t="s">
        <v>155</v>
      </c>
      <c r="B148" s="7" t="s">
        <v>156</v>
      </c>
      <c r="C148" s="5" t="s">
        <v>8</v>
      </c>
      <c r="D148" s="16">
        <v>108</v>
      </c>
      <c r="E148" s="16" t="s">
        <v>157</v>
      </c>
      <c r="F148" s="16" t="s">
        <v>157</v>
      </c>
      <c r="G148" s="5">
        <v>2000</v>
      </c>
      <c r="H148" s="5" t="s">
        <v>157</v>
      </c>
      <c r="I148" s="5" t="s">
        <v>157</v>
      </c>
      <c r="J148" s="27"/>
    </row>
    <row r="149" spans="1:10" ht="30" x14ac:dyDescent="0.25">
      <c r="A149" s="5" t="s">
        <v>158</v>
      </c>
      <c r="B149" s="7" t="s">
        <v>159</v>
      </c>
      <c r="C149" s="5" t="s">
        <v>160</v>
      </c>
      <c r="D149" s="16">
        <f>23120+55526</f>
        <v>78646</v>
      </c>
      <c r="E149" s="16">
        <f>33600+13950</f>
        <v>47550</v>
      </c>
      <c r="F149" s="16">
        <f>33600+13984</f>
        <v>47584</v>
      </c>
      <c r="G149" s="5">
        <v>5807.134</v>
      </c>
      <c r="H149" s="5">
        <v>5130.0209999999997</v>
      </c>
      <c r="I149" s="5">
        <v>3511.0450000000001</v>
      </c>
      <c r="J149" s="28"/>
    </row>
    <row r="150" spans="1:10" ht="105" x14ac:dyDescent="0.25">
      <c r="A150" s="5" t="s">
        <v>161</v>
      </c>
      <c r="B150" s="7" t="s">
        <v>162</v>
      </c>
      <c r="C150" s="5" t="s">
        <v>8</v>
      </c>
      <c r="D150" s="16">
        <v>13784</v>
      </c>
      <c r="E150" s="16">
        <v>13784</v>
      </c>
      <c r="F150" s="16">
        <v>13784</v>
      </c>
      <c r="G150" s="5">
        <v>14963.638999999999</v>
      </c>
      <c r="H150" s="5">
        <v>14963.638999999999</v>
      </c>
      <c r="I150" s="5">
        <v>14963.638999999999</v>
      </c>
      <c r="J150" s="27"/>
    </row>
    <row r="151" spans="1:10" ht="105" x14ac:dyDescent="0.25">
      <c r="A151" s="5" t="s">
        <v>163</v>
      </c>
      <c r="B151" s="7" t="s">
        <v>164</v>
      </c>
      <c r="C151" s="5" t="s">
        <v>8</v>
      </c>
      <c r="D151" s="16">
        <v>685</v>
      </c>
      <c r="E151" s="16">
        <v>1187</v>
      </c>
      <c r="F151" s="16">
        <v>1208</v>
      </c>
      <c r="G151" s="5">
        <v>12641.306</v>
      </c>
      <c r="H151" s="5">
        <v>21914.341069999999</v>
      </c>
      <c r="I151" s="5">
        <v>21914.341069999999</v>
      </c>
      <c r="J151" s="27"/>
    </row>
    <row r="152" spans="1:10" x14ac:dyDescent="0.25">
      <c r="A152" s="5" t="s">
        <v>165</v>
      </c>
      <c r="B152" s="7" t="s">
        <v>166</v>
      </c>
      <c r="C152" s="5" t="s">
        <v>8</v>
      </c>
      <c r="D152" s="16">
        <v>195</v>
      </c>
      <c r="E152" s="16">
        <v>956</v>
      </c>
      <c r="F152" s="16">
        <v>956</v>
      </c>
      <c r="G152" s="5">
        <v>1026.441</v>
      </c>
      <c r="H152" s="5">
        <v>5029.6589999999997</v>
      </c>
      <c r="I152" s="5">
        <v>5029.6589999999997</v>
      </c>
      <c r="J152" s="27"/>
    </row>
    <row r="153" spans="1:10" ht="30" x14ac:dyDescent="0.25">
      <c r="A153" s="5" t="s">
        <v>167</v>
      </c>
      <c r="B153" s="7" t="s">
        <v>168</v>
      </c>
      <c r="C153" s="5" t="s">
        <v>160</v>
      </c>
      <c r="D153" s="16" t="s">
        <v>157</v>
      </c>
      <c r="E153" s="16">
        <v>9170</v>
      </c>
      <c r="F153" s="16">
        <v>9170</v>
      </c>
      <c r="G153" s="5" t="s">
        <v>157</v>
      </c>
      <c r="H153" s="5">
        <v>677.11300000000006</v>
      </c>
      <c r="I153" s="5">
        <v>677.11300000000006</v>
      </c>
      <c r="J153" s="27"/>
    </row>
    <row r="154" spans="1:10" x14ac:dyDescent="0.25">
      <c r="A154" s="6">
        <v>8</v>
      </c>
      <c r="B154" s="31" t="s">
        <v>169</v>
      </c>
      <c r="C154" s="5"/>
      <c r="D154" s="16"/>
      <c r="E154" s="16"/>
      <c r="F154" s="16"/>
      <c r="G154" s="5"/>
      <c r="H154" s="5"/>
      <c r="I154" s="5"/>
      <c r="J154" s="27"/>
    </row>
    <row r="155" spans="1:10" ht="60" x14ac:dyDescent="0.25">
      <c r="A155" s="5" t="s">
        <v>170</v>
      </c>
      <c r="B155" s="7" t="s">
        <v>171</v>
      </c>
      <c r="C155" s="5" t="s">
        <v>21</v>
      </c>
      <c r="D155" s="16">
        <v>24</v>
      </c>
      <c r="E155" s="16">
        <v>20</v>
      </c>
      <c r="F155" s="16">
        <v>20</v>
      </c>
      <c r="G155" s="5">
        <v>1090.1400000000001</v>
      </c>
      <c r="H155" s="5">
        <v>908.452</v>
      </c>
      <c r="I155" s="5">
        <v>908.452</v>
      </c>
      <c r="J155" s="27"/>
    </row>
    <row r="156" spans="1:10" x14ac:dyDescent="0.25">
      <c r="A156" s="5" t="s">
        <v>172</v>
      </c>
      <c r="B156" s="7" t="s">
        <v>173</v>
      </c>
      <c r="C156" s="5" t="s">
        <v>21</v>
      </c>
      <c r="D156" s="16">
        <v>1</v>
      </c>
      <c r="E156" s="16">
        <v>1</v>
      </c>
      <c r="F156" s="16">
        <v>1</v>
      </c>
      <c r="G156" s="5">
        <v>800</v>
      </c>
      <c r="H156" s="5">
        <v>981.68799999999999</v>
      </c>
      <c r="I156" s="5">
        <v>981.68799999999999</v>
      </c>
      <c r="J156" s="27"/>
    </row>
    <row r="157" spans="1:10" ht="75" x14ac:dyDescent="0.25">
      <c r="A157" s="5" t="s">
        <v>174</v>
      </c>
      <c r="B157" s="7" t="s">
        <v>175</v>
      </c>
      <c r="C157" s="5" t="s">
        <v>21</v>
      </c>
      <c r="D157" s="16">
        <v>18</v>
      </c>
      <c r="E157" s="16">
        <v>18</v>
      </c>
      <c r="F157" s="16">
        <v>18</v>
      </c>
      <c r="G157" s="5">
        <v>1000</v>
      </c>
      <c r="H157" s="5">
        <v>1000</v>
      </c>
      <c r="I157" s="5">
        <v>1000</v>
      </c>
      <c r="J157" s="27"/>
    </row>
    <row r="158" spans="1:10" ht="60" x14ac:dyDescent="0.25">
      <c r="A158" s="5" t="s">
        <v>176</v>
      </c>
      <c r="B158" s="7" t="s">
        <v>177</v>
      </c>
      <c r="C158" s="5" t="s">
        <v>21</v>
      </c>
      <c r="D158" s="16">
        <v>1</v>
      </c>
      <c r="E158" s="16" t="s">
        <v>157</v>
      </c>
      <c r="F158" s="16" t="s">
        <v>157</v>
      </c>
      <c r="G158" s="5">
        <v>200</v>
      </c>
      <c r="H158" s="5" t="s">
        <v>157</v>
      </c>
      <c r="I158" s="5" t="s">
        <v>157</v>
      </c>
      <c r="J158" s="27"/>
    </row>
    <row r="159" spans="1:10" ht="45" x14ac:dyDescent="0.25">
      <c r="A159" s="5" t="s">
        <v>178</v>
      </c>
      <c r="B159" s="7" t="s">
        <v>179</v>
      </c>
      <c r="C159" s="5" t="s">
        <v>21</v>
      </c>
      <c r="D159" s="16">
        <v>1</v>
      </c>
      <c r="E159" s="16">
        <v>1</v>
      </c>
      <c r="F159" s="16">
        <v>1</v>
      </c>
      <c r="G159" s="5">
        <v>200</v>
      </c>
      <c r="H159" s="5">
        <v>200</v>
      </c>
      <c r="I159" s="5">
        <v>200</v>
      </c>
      <c r="J159" s="27"/>
    </row>
    <row r="160" spans="1:10" ht="30" x14ac:dyDescent="0.25">
      <c r="A160" s="5" t="s">
        <v>180</v>
      </c>
      <c r="B160" s="7" t="s">
        <v>181</v>
      </c>
      <c r="C160" s="5" t="s">
        <v>21</v>
      </c>
      <c r="D160" s="16">
        <v>1</v>
      </c>
      <c r="E160" s="16">
        <v>1</v>
      </c>
      <c r="F160" s="16">
        <v>1</v>
      </c>
      <c r="G160" s="5">
        <v>200</v>
      </c>
      <c r="H160" s="5">
        <v>200</v>
      </c>
      <c r="I160" s="5">
        <v>200</v>
      </c>
      <c r="J160" s="27"/>
    </row>
    <row r="161" spans="1:10" ht="45" x14ac:dyDescent="0.25">
      <c r="A161" s="6">
        <v>9</v>
      </c>
      <c r="B161" s="7" t="s">
        <v>182</v>
      </c>
      <c r="C161" s="5" t="s">
        <v>183</v>
      </c>
      <c r="D161" s="16">
        <v>4038</v>
      </c>
      <c r="E161" s="16">
        <v>417</v>
      </c>
      <c r="F161" s="16">
        <v>478</v>
      </c>
      <c r="G161" s="5">
        <v>6056.5586000000003</v>
      </c>
      <c r="H161" s="5">
        <v>626.17999999999995</v>
      </c>
      <c r="I161" s="5">
        <v>626.17999999999995</v>
      </c>
      <c r="J161" s="27"/>
    </row>
    <row r="162" spans="1:10" ht="45" x14ac:dyDescent="0.25">
      <c r="A162" s="6">
        <v>10</v>
      </c>
      <c r="B162" s="7" t="s">
        <v>184</v>
      </c>
      <c r="C162" s="5" t="s">
        <v>185</v>
      </c>
      <c r="D162" s="16">
        <v>26</v>
      </c>
      <c r="E162" s="16">
        <v>10</v>
      </c>
      <c r="F162" s="16">
        <v>10</v>
      </c>
      <c r="G162" s="5">
        <v>91</v>
      </c>
      <c r="H162" s="5">
        <v>35.655000000000001</v>
      </c>
      <c r="I162" s="5">
        <v>35.655000000000001</v>
      </c>
      <c r="J162" s="27"/>
    </row>
    <row r="163" spans="1:10" x14ac:dyDescent="0.25">
      <c r="A163" s="15"/>
      <c r="B163" s="10" t="s">
        <v>10</v>
      </c>
      <c r="C163" s="11"/>
      <c r="D163" s="11"/>
      <c r="E163" s="11"/>
      <c r="F163" s="11" t="s">
        <v>11</v>
      </c>
      <c r="G163" s="11">
        <f>SUM(G143:G162)</f>
        <v>118656.04197000001</v>
      </c>
      <c r="H163" s="11">
        <f>SUM(H143:H162)</f>
        <v>97585.357679999986</v>
      </c>
      <c r="I163" s="11">
        <f>SUM(I143:I162)</f>
        <v>95966.381679999977</v>
      </c>
      <c r="J163" s="27"/>
    </row>
    <row r="164" spans="1:10" ht="14.45" customHeight="1" x14ac:dyDescent="0.25">
      <c r="A164" s="45" t="s">
        <v>186</v>
      </c>
      <c r="B164" s="45"/>
      <c r="C164" s="45"/>
      <c r="D164" s="45"/>
      <c r="E164" s="45"/>
      <c r="F164" s="45"/>
      <c r="G164" s="45"/>
      <c r="H164" s="45"/>
      <c r="I164" s="45"/>
      <c r="J164" s="27"/>
    </row>
    <row r="165" spans="1:10" ht="105" x14ac:dyDescent="0.25">
      <c r="A165" s="6">
        <v>1</v>
      </c>
      <c r="B165" s="7" t="s">
        <v>187</v>
      </c>
      <c r="C165" s="5" t="s">
        <v>188</v>
      </c>
      <c r="D165" s="5">
        <v>22</v>
      </c>
      <c r="E165" s="5">
        <v>15</v>
      </c>
      <c r="F165" s="5">
        <v>15</v>
      </c>
      <c r="G165" s="5">
        <v>13000</v>
      </c>
      <c r="H165" s="5">
        <v>8600</v>
      </c>
      <c r="I165" s="5">
        <v>8600</v>
      </c>
      <c r="J165" s="27"/>
    </row>
    <row r="166" spans="1:10" ht="90" x14ac:dyDescent="0.25">
      <c r="A166" s="6">
        <v>2</v>
      </c>
      <c r="B166" s="7" t="s">
        <v>189</v>
      </c>
      <c r="C166" s="5" t="s">
        <v>188</v>
      </c>
      <c r="D166" s="5">
        <v>5</v>
      </c>
      <c r="E166" s="5">
        <v>93</v>
      </c>
      <c r="F166" s="5">
        <v>93</v>
      </c>
      <c r="G166" s="5">
        <v>10000</v>
      </c>
      <c r="H166" s="5">
        <v>29318.79682</v>
      </c>
      <c r="I166" s="5">
        <v>29318.79682</v>
      </c>
      <c r="J166" s="27"/>
    </row>
    <row r="167" spans="1:10" ht="90" x14ac:dyDescent="0.25">
      <c r="A167" s="6">
        <v>3</v>
      </c>
      <c r="B167" s="7" t="s">
        <v>190</v>
      </c>
      <c r="C167" s="5" t="s">
        <v>188</v>
      </c>
      <c r="D167" s="5">
        <v>32</v>
      </c>
      <c r="E167" s="5">
        <v>32</v>
      </c>
      <c r="F167" s="5">
        <v>32</v>
      </c>
      <c r="G167" s="5">
        <v>23300</v>
      </c>
      <c r="H167" s="5">
        <v>23300</v>
      </c>
      <c r="I167" s="5">
        <v>23300</v>
      </c>
      <c r="J167" s="27"/>
    </row>
    <row r="168" spans="1:10" ht="75" x14ac:dyDescent="0.25">
      <c r="A168" s="6">
        <v>4</v>
      </c>
      <c r="B168" s="7" t="s">
        <v>191</v>
      </c>
      <c r="C168" s="5" t="s">
        <v>188</v>
      </c>
      <c r="D168" s="5">
        <v>4</v>
      </c>
      <c r="E168" s="5">
        <v>7</v>
      </c>
      <c r="F168" s="5">
        <v>7</v>
      </c>
      <c r="G168" s="5">
        <v>14500</v>
      </c>
      <c r="H168" s="5">
        <v>21500</v>
      </c>
      <c r="I168" s="5">
        <v>21500</v>
      </c>
      <c r="J168" s="27"/>
    </row>
    <row r="169" spans="1:10" x14ac:dyDescent="0.25">
      <c r="A169" s="15"/>
      <c r="B169" s="10" t="s">
        <v>10</v>
      </c>
      <c r="C169" s="11"/>
      <c r="D169" s="15"/>
      <c r="E169" s="15"/>
      <c r="F169" s="15" t="s">
        <v>11</v>
      </c>
      <c r="G169" s="11">
        <f>SUM(G165:G168)</f>
        <v>60800</v>
      </c>
      <c r="H169" s="11">
        <f>SUM(H165:H168)</f>
        <v>82718.796820000003</v>
      </c>
      <c r="I169" s="11">
        <f>SUM(I165:I168)</f>
        <v>82718.796820000003</v>
      </c>
      <c r="J169" s="27"/>
    </row>
    <row r="170" spans="1:10" ht="14.45" customHeight="1" x14ac:dyDescent="0.25">
      <c r="A170" s="45" t="s">
        <v>192</v>
      </c>
      <c r="B170" s="45"/>
      <c r="C170" s="45"/>
      <c r="D170" s="45"/>
      <c r="E170" s="45"/>
      <c r="F170" s="45"/>
      <c r="G170" s="45"/>
      <c r="H170" s="45"/>
      <c r="I170" s="45"/>
      <c r="J170" s="27"/>
    </row>
    <row r="171" spans="1:10" ht="105" x14ac:dyDescent="0.25">
      <c r="A171" s="6">
        <v>1</v>
      </c>
      <c r="B171" s="7" t="s">
        <v>193</v>
      </c>
      <c r="C171" s="5" t="s">
        <v>194</v>
      </c>
      <c r="D171" s="6">
        <v>4363188</v>
      </c>
      <c r="E171" s="6">
        <v>4363188</v>
      </c>
      <c r="F171" s="6">
        <v>3747282</v>
      </c>
      <c r="G171" s="8">
        <f>1289734413.78/1000</f>
        <v>1289734.4137800001</v>
      </c>
      <c r="H171" s="8">
        <v>1294719.1399999999</v>
      </c>
      <c r="I171" s="8">
        <f>H171</f>
        <v>1294719.1399999999</v>
      </c>
      <c r="J171" s="27"/>
    </row>
    <row r="172" spans="1:10" ht="45" x14ac:dyDescent="0.25">
      <c r="A172" s="6">
        <v>2</v>
      </c>
      <c r="B172" s="7" t="s">
        <v>195</v>
      </c>
      <c r="C172" s="5" t="s">
        <v>194</v>
      </c>
      <c r="D172" s="6">
        <v>1244</v>
      </c>
      <c r="E172" s="6">
        <v>1244</v>
      </c>
      <c r="F172" s="6">
        <v>4535</v>
      </c>
      <c r="G172" s="8">
        <f>702673.4/1000</f>
        <v>702.67340000000002</v>
      </c>
      <c r="H172" s="8">
        <f>G172</f>
        <v>702.67340000000002</v>
      </c>
      <c r="I172" s="18">
        <f>H172</f>
        <v>702.67340000000002</v>
      </c>
      <c r="J172" s="27"/>
    </row>
    <row r="173" spans="1:10" x14ac:dyDescent="0.25">
      <c r="A173" s="15"/>
      <c r="B173" s="10" t="s">
        <v>10</v>
      </c>
      <c r="C173" s="11"/>
      <c r="D173" s="15"/>
      <c r="E173" s="15"/>
      <c r="F173" s="15" t="s">
        <v>11</v>
      </c>
      <c r="G173" s="11">
        <f>SUM(G171:G172)</f>
        <v>1290437.08718</v>
      </c>
      <c r="H173" s="11">
        <f>SUM(H171:H172)</f>
        <v>1295421.8133999999</v>
      </c>
      <c r="I173" s="11">
        <f>SUM(I171:I172)</f>
        <v>1295421.8133999999</v>
      </c>
      <c r="J173" s="27"/>
    </row>
    <row r="174" spans="1:10" ht="14.45" customHeight="1" x14ac:dyDescent="0.25">
      <c r="A174" s="45" t="s">
        <v>196</v>
      </c>
      <c r="B174" s="45"/>
      <c r="C174" s="45"/>
      <c r="D174" s="45"/>
      <c r="E174" s="45"/>
      <c r="F174" s="45"/>
      <c r="G174" s="45"/>
      <c r="H174" s="45"/>
      <c r="I174" s="45"/>
      <c r="J174" s="27"/>
    </row>
    <row r="175" spans="1:10" ht="45" x14ac:dyDescent="0.25">
      <c r="A175" s="6">
        <v>1</v>
      </c>
      <c r="B175" s="7" t="s">
        <v>197</v>
      </c>
      <c r="C175" s="5" t="s">
        <v>198</v>
      </c>
      <c r="D175" s="6">
        <v>35610</v>
      </c>
      <c r="E175" s="6">
        <v>40610</v>
      </c>
      <c r="F175" s="6">
        <v>48100</v>
      </c>
      <c r="G175" s="5">
        <v>83662.100000000006</v>
      </c>
      <c r="H175" s="5">
        <f>9221.39+86187.7</f>
        <v>95409.09</v>
      </c>
      <c r="I175" s="5">
        <v>95409.09</v>
      </c>
      <c r="J175" s="27"/>
    </row>
    <row r="176" spans="1:10" ht="60" x14ac:dyDescent="0.25">
      <c r="A176" s="6">
        <f>A175+1</f>
        <v>2</v>
      </c>
      <c r="B176" s="7" t="s">
        <v>199</v>
      </c>
      <c r="C176" s="5" t="s">
        <v>198</v>
      </c>
      <c r="D176" s="6">
        <v>2470</v>
      </c>
      <c r="E176" s="6">
        <v>2470</v>
      </c>
      <c r="F176" s="6">
        <v>2491</v>
      </c>
      <c r="G176" s="5">
        <f>72232.8+42043.2</f>
        <v>114276</v>
      </c>
      <c r="H176" s="5">
        <f>72232.8+42043.2</f>
        <v>114276</v>
      </c>
      <c r="I176" s="5">
        <v>114276</v>
      </c>
      <c r="J176" s="27"/>
    </row>
    <row r="177" spans="1:10" ht="55.15" customHeight="1" x14ac:dyDescent="0.25">
      <c r="A177" s="6">
        <f t="shared" ref="A177:A216" si="3">A176+1</f>
        <v>3</v>
      </c>
      <c r="B177" s="7" t="s">
        <v>200</v>
      </c>
      <c r="C177" s="5" t="s">
        <v>201</v>
      </c>
      <c r="D177" s="6">
        <v>126197</v>
      </c>
      <c r="E177" s="6">
        <v>126197</v>
      </c>
      <c r="F177" s="6">
        <v>102188</v>
      </c>
      <c r="G177" s="5">
        <f>49174.7+39298.1</f>
        <v>88472.799999999988</v>
      </c>
      <c r="H177" s="5">
        <f>49174.7+39298.1</f>
        <v>88472.799999999988</v>
      </c>
      <c r="I177" s="5">
        <v>88472.799999999988</v>
      </c>
      <c r="J177" s="27"/>
    </row>
    <row r="178" spans="1:10" ht="90" x14ac:dyDescent="0.25">
      <c r="A178" s="6">
        <f t="shared" si="3"/>
        <v>4</v>
      </c>
      <c r="B178" s="7" t="s">
        <v>202</v>
      </c>
      <c r="C178" s="5" t="s">
        <v>201</v>
      </c>
      <c r="D178" s="6">
        <v>15605</v>
      </c>
      <c r="E178" s="6">
        <v>15605</v>
      </c>
      <c r="F178" s="6">
        <v>17427</v>
      </c>
      <c r="G178" s="5">
        <v>6282.6</v>
      </c>
      <c r="H178" s="5">
        <v>6282.6</v>
      </c>
      <c r="I178" s="5">
        <v>6282.6</v>
      </c>
      <c r="J178" s="27"/>
    </row>
    <row r="179" spans="1:10" ht="44.25" x14ac:dyDescent="0.25">
      <c r="A179" s="6">
        <f t="shared" si="3"/>
        <v>5</v>
      </c>
      <c r="B179" s="7" t="s">
        <v>203</v>
      </c>
      <c r="C179" s="5" t="s">
        <v>201</v>
      </c>
      <c r="D179" s="6">
        <v>205389</v>
      </c>
      <c r="E179" s="6">
        <v>205389</v>
      </c>
      <c r="F179" s="6">
        <v>184484</v>
      </c>
      <c r="G179" s="5">
        <f>76454.1+29684.2+20574</f>
        <v>126712.3</v>
      </c>
      <c r="H179" s="5">
        <f>76454.1+29684.2+20574</f>
        <v>126712.3</v>
      </c>
      <c r="I179" s="5">
        <v>126712.3</v>
      </c>
      <c r="J179" s="27"/>
    </row>
    <row r="180" spans="1:10" ht="30" x14ac:dyDescent="0.25">
      <c r="A180" s="6">
        <f t="shared" si="3"/>
        <v>6</v>
      </c>
      <c r="B180" s="7" t="s">
        <v>204</v>
      </c>
      <c r="C180" s="5" t="s">
        <v>201</v>
      </c>
      <c r="D180" s="6">
        <v>236303</v>
      </c>
      <c r="E180" s="6">
        <v>231014</v>
      </c>
      <c r="F180" s="6">
        <v>213809</v>
      </c>
      <c r="G180" s="5">
        <v>124562.4</v>
      </c>
      <c r="H180" s="5">
        <v>121774.39999999999</v>
      </c>
      <c r="I180" s="5">
        <v>121774.39999999999</v>
      </c>
      <c r="J180" s="27"/>
    </row>
    <row r="181" spans="1:10" ht="58.5" x14ac:dyDescent="0.25">
      <c r="A181" s="6">
        <f t="shared" si="3"/>
        <v>7</v>
      </c>
      <c r="B181" s="7" t="s">
        <v>205</v>
      </c>
      <c r="C181" s="5" t="s">
        <v>201</v>
      </c>
      <c r="D181" s="6">
        <v>65480</v>
      </c>
      <c r="E181" s="6">
        <v>65480</v>
      </c>
      <c r="F181" s="6">
        <v>62943</v>
      </c>
      <c r="G181" s="5">
        <f>22879.4+29576.6</f>
        <v>52456</v>
      </c>
      <c r="H181" s="5">
        <f>22879.4+29576.6</f>
        <v>52456</v>
      </c>
      <c r="I181" s="5">
        <v>52456</v>
      </c>
      <c r="J181" s="27"/>
    </row>
    <row r="182" spans="1:10" ht="43.5" x14ac:dyDescent="0.25">
      <c r="A182" s="6">
        <f t="shared" si="3"/>
        <v>8</v>
      </c>
      <c r="B182" s="7" t="s">
        <v>206</v>
      </c>
      <c r="C182" s="5" t="s">
        <v>201</v>
      </c>
      <c r="D182" s="6">
        <v>44297</v>
      </c>
      <c r="E182" s="6">
        <v>44297</v>
      </c>
      <c r="F182" s="6">
        <v>37492</v>
      </c>
      <c r="G182" s="5">
        <v>23752.1</v>
      </c>
      <c r="H182" s="5">
        <v>23752.1</v>
      </c>
      <c r="I182" s="5">
        <v>23752.1</v>
      </c>
      <c r="J182" s="27"/>
    </row>
    <row r="183" spans="1:10" ht="43.5" x14ac:dyDescent="0.25">
      <c r="A183" s="6">
        <f t="shared" si="3"/>
        <v>9</v>
      </c>
      <c r="B183" s="7" t="s">
        <v>207</v>
      </c>
      <c r="C183" s="5" t="s">
        <v>201</v>
      </c>
      <c r="D183" s="6">
        <v>2000</v>
      </c>
      <c r="E183" s="6">
        <v>2000</v>
      </c>
      <c r="F183" s="6">
        <v>1898</v>
      </c>
      <c r="G183" s="5">
        <v>14027.6</v>
      </c>
      <c r="H183" s="5">
        <v>14027.6</v>
      </c>
      <c r="I183" s="5">
        <v>14027.6</v>
      </c>
      <c r="J183" s="27"/>
    </row>
    <row r="184" spans="1:10" ht="30" x14ac:dyDescent="0.25">
      <c r="A184" s="6">
        <f t="shared" si="3"/>
        <v>10</v>
      </c>
      <c r="B184" s="7" t="s">
        <v>208</v>
      </c>
      <c r="C184" s="5" t="s">
        <v>201</v>
      </c>
      <c r="D184" s="6">
        <v>20551</v>
      </c>
      <c r="E184" s="6">
        <v>20551</v>
      </c>
      <c r="F184" s="6">
        <v>12417</v>
      </c>
      <c r="G184" s="5">
        <v>8261.5</v>
      </c>
      <c r="H184" s="5">
        <f>8261.5</f>
        <v>8261.5</v>
      </c>
      <c r="I184" s="5">
        <v>8261.5</v>
      </c>
      <c r="J184" s="27"/>
    </row>
    <row r="185" spans="1:10" ht="43.5" x14ac:dyDescent="0.25">
      <c r="A185" s="6">
        <f t="shared" si="3"/>
        <v>11</v>
      </c>
      <c r="B185" s="7" t="s">
        <v>209</v>
      </c>
      <c r="C185" s="5" t="s">
        <v>201</v>
      </c>
      <c r="D185" s="6">
        <v>15000</v>
      </c>
      <c r="E185" s="6">
        <v>15000</v>
      </c>
      <c r="F185" s="6">
        <v>13220</v>
      </c>
      <c r="G185" s="5">
        <v>27174</v>
      </c>
      <c r="H185" s="5">
        <v>27174</v>
      </c>
      <c r="I185" s="5">
        <v>27174</v>
      </c>
      <c r="J185" s="27"/>
    </row>
    <row r="186" spans="1:10" ht="58.5" x14ac:dyDescent="0.25">
      <c r="A186" s="6">
        <f t="shared" si="3"/>
        <v>12</v>
      </c>
      <c r="B186" s="7" t="s">
        <v>210</v>
      </c>
      <c r="C186" s="5" t="s">
        <v>201</v>
      </c>
      <c r="D186" s="6">
        <v>1440</v>
      </c>
      <c r="E186" s="6">
        <v>1440</v>
      </c>
      <c r="F186" s="6">
        <v>1441</v>
      </c>
      <c r="G186" s="5">
        <v>10449.9</v>
      </c>
      <c r="H186" s="5">
        <v>10449.9</v>
      </c>
      <c r="I186" s="5">
        <v>10449.9</v>
      </c>
      <c r="J186" s="27"/>
    </row>
    <row r="187" spans="1:10" ht="58.5" x14ac:dyDescent="0.25">
      <c r="A187" s="6">
        <f t="shared" si="3"/>
        <v>13</v>
      </c>
      <c r="B187" s="7" t="s">
        <v>211</v>
      </c>
      <c r="C187" s="5" t="s">
        <v>201</v>
      </c>
      <c r="D187" s="6">
        <v>5667</v>
      </c>
      <c r="E187" s="6">
        <v>5667</v>
      </c>
      <c r="F187" s="6">
        <v>6688</v>
      </c>
      <c r="G187" s="5">
        <v>4928.6000000000004</v>
      </c>
      <c r="H187" s="5">
        <f>4928.6</f>
        <v>4928.6000000000004</v>
      </c>
      <c r="I187" s="5">
        <v>4928.6000000000004</v>
      </c>
      <c r="J187" s="27"/>
    </row>
    <row r="188" spans="1:10" ht="30" x14ac:dyDescent="0.25">
      <c r="A188" s="6">
        <f t="shared" si="3"/>
        <v>14</v>
      </c>
      <c r="B188" s="7" t="s">
        <v>212</v>
      </c>
      <c r="C188" s="5" t="s">
        <v>201</v>
      </c>
      <c r="D188" s="6">
        <v>8686</v>
      </c>
      <c r="E188" s="6">
        <v>8686</v>
      </c>
      <c r="F188" s="6">
        <v>5335</v>
      </c>
      <c r="G188" s="5">
        <v>4825.8999999999996</v>
      </c>
      <c r="H188" s="5">
        <v>4825.8999999999996</v>
      </c>
      <c r="I188" s="5">
        <v>4825.8999999999996</v>
      </c>
      <c r="J188" s="27"/>
    </row>
    <row r="189" spans="1:10" ht="44.25" x14ac:dyDescent="0.25">
      <c r="A189" s="6">
        <f t="shared" si="3"/>
        <v>15</v>
      </c>
      <c r="B189" s="7" t="s">
        <v>213</v>
      </c>
      <c r="C189" s="5" t="s">
        <v>214</v>
      </c>
      <c r="D189" s="6">
        <v>390</v>
      </c>
      <c r="E189" s="6">
        <v>390</v>
      </c>
      <c r="F189" s="6">
        <v>371</v>
      </c>
      <c r="G189" s="5">
        <v>7681.9</v>
      </c>
      <c r="H189" s="5">
        <v>7681.9</v>
      </c>
      <c r="I189" s="5">
        <v>7681.9</v>
      </c>
      <c r="J189" s="27"/>
    </row>
    <row r="190" spans="1:10" ht="30" x14ac:dyDescent="0.25">
      <c r="A190" s="6">
        <f t="shared" si="3"/>
        <v>16</v>
      </c>
      <c r="B190" s="7" t="s">
        <v>215</v>
      </c>
      <c r="C190" s="5" t="s">
        <v>214</v>
      </c>
      <c r="D190" s="6">
        <v>502</v>
      </c>
      <c r="E190" s="6">
        <v>502</v>
      </c>
      <c r="F190" s="6">
        <v>413</v>
      </c>
      <c r="G190" s="5">
        <v>8273.7000000000007</v>
      </c>
      <c r="H190" s="5">
        <v>8273.7000000000007</v>
      </c>
      <c r="I190" s="5">
        <v>8273.7000000000007</v>
      </c>
      <c r="J190" s="27"/>
    </row>
    <row r="191" spans="1:10" ht="30" x14ac:dyDescent="0.25">
      <c r="A191" s="6">
        <f t="shared" si="3"/>
        <v>17</v>
      </c>
      <c r="B191" s="7" t="s">
        <v>216</v>
      </c>
      <c r="C191" s="5" t="s">
        <v>214</v>
      </c>
      <c r="D191" s="6">
        <v>1030</v>
      </c>
      <c r="E191" s="6">
        <v>1030</v>
      </c>
      <c r="F191" s="6">
        <v>722</v>
      </c>
      <c r="G191" s="5">
        <v>11657.1</v>
      </c>
      <c r="H191" s="5">
        <v>11657.1</v>
      </c>
      <c r="I191" s="5">
        <v>11657.1</v>
      </c>
      <c r="J191" s="27"/>
    </row>
    <row r="192" spans="1:10" ht="60" x14ac:dyDescent="0.25">
      <c r="A192" s="6">
        <f t="shared" si="3"/>
        <v>18</v>
      </c>
      <c r="B192" s="7" t="s">
        <v>217</v>
      </c>
      <c r="C192" s="5" t="s">
        <v>218</v>
      </c>
      <c r="D192" s="6">
        <v>868</v>
      </c>
      <c r="E192" s="6">
        <v>882</v>
      </c>
      <c r="F192" s="6">
        <v>882</v>
      </c>
      <c r="G192" s="5">
        <f>144718.3+49208.3</f>
        <v>193926.59999999998</v>
      </c>
      <c r="H192" s="5">
        <f>148272.8+49208.3</f>
        <v>197481.09999999998</v>
      </c>
      <c r="I192" s="5">
        <v>197481.09999999998</v>
      </c>
      <c r="J192" s="27"/>
    </row>
    <row r="193" spans="1:10" ht="60" x14ac:dyDescent="0.25">
      <c r="A193" s="6">
        <f t="shared" si="3"/>
        <v>19</v>
      </c>
      <c r="B193" s="7" t="s">
        <v>219</v>
      </c>
      <c r="C193" s="5" t="s">
        <v>218</v>
      </c>
      <c r="D193" s="6">
        <v>65</v>
      </c>
      <c r="E193" s="6">
        <v>65</v>
      </c>
      <c r="F193" s="6">
        <v>65</v>
      </c>
      <c r="G193" s="5">
        <v>9374.5</v>
      </c>
      <c r="H193" s="5">
        <v>9374.5</v>
      </c>
      <c r="I193" s="5">
        <v>9374.5</v>
      </c>
      <c r="J193" s="27"/>
    </row>
    <row r="194" spans="1:10" ht="60" x14ac:dyDescent="0.25">
      <c r="A194" s="6">
        <f t="shared" si="3"/>
        <v>20</v>
      </c>
      <c r="B194" s="7" t="s">
        <v>220</v>
      </c>
      <c r="C194" s="5" t="s">
        <v>218</v>
      </c>
      <c r="D194" s="6">
        <v>16</v>
      </c>
      <c r="E194" s="6">
        <v>17</v>
      </c>
      <c r="F194" s="6">
        <v>17</v>
      </c>
      <c r="G194" s="5">
        <v>4261.3</v>
      </c>
      <c r="H194" s="5">
        <v>4527.6099999999997</v>
      </c>
      <c r="I194" s="5">
        <v>4527.6099999999997</v>
      </c>
      <c r="J194" s="27"/>
    </row>
    <row r="195" spans="1:10" ht="60" x14ac:dyDescent="0.25">
      <c r="A195" s="6">
        <f t="shared" si="3"/>
        <v>21</v>
      </c>
      <c r="B195" s="7" t="s">
        <v>221</v>
      </c>
      <c r="C195" s="5" t="s">
        <v>218</v>
      </c>
      <c r="D195" s="6">
        <v>38</v>
      </c>
      <c r="E195" s="6">
        <v>38</v>
      </c>
      <c r="F195" s="6">
        <v>38</v>
      </c>
      <c r="G195" s="5">
        <v>7749.2</v>
      </c>
      <c r="H195" s="5">
        <v>7749.2</v>
      </c>
      <c r="I195" s="5">
        <v>7749.2</v>
      </c>
      <c r="J195" s="27"/>
    </row>
    <row r="196" spans="1:10" ht="60" x14ac:dyDescent="0.25">
      <c r="A196" s="6">
        <f t="shared" si="3"/>
        <v>22</v>
      </c>
      <c r="B196" s="7" t="s">
        <v>222</v>
      </c>
      <c r="C196" s="5" t="s">
        <v>218</v>
      </c>
      <c r="D196" s="6">
        <v>541</v>
      </c>
      <c r="E196" s="6">
        <v>551</v>
      </c>
      <c r="F196" s="6">
        <v>551</v>
      </c>
      <c r="G196" s="5">
        <f>125761.5+7673</f>
        <v>133434.5</v>
      </c>
      <c r="H196" s="5">
        <f>129420.5+7673</f>
        <v>137093.5</v>
      </c>
      <c r="I196" s="5">
        <v>137093.5</v>
      </c>
      <c r="J196" s="27"/>
    </row>
    <row r="197" spans="1:10" ht="60" x14ac:dyDescent="0.25">
      <c r="A197" s="6">
        <f t="shared" si="3"/>
        <v>23</v>
      </c>
      <c r="B197" s="7" t="s">
        <v>223</v>
      </c>
      <c r="C197" s="5" t="s">
        <v>218</v>
      </c>
      <c r="D197" s="6">
        <v>520</v>
      </c>
      <c r="E197" s="6">
        <v>520</v>
      </c>
      <c r="F197" s="6">
        <v>520</v>
      </c>
      <c r="G197" s="5">
        <v>68066.3</v>
      </c>
      <c r="H197" s="5">
        <v>68066.3</v>
      </c>
      <c r="I197" s="5">
        <v>68066.3</v>
      </c>
      <c r="J197" s="27"/>
    </row>
    <row r="198" spans="1:10" ht="60" x14ac:dyDescent="0.25">
      <c r="A198" s="6">
        <f t="shared" si="3"/>
        <v>24</v>
      </c>
      <c r="B198" s="7" t="s">
        <v>224</v>
      </c>
      <c r="C198" s="5" t="s">
        <v>218</v>
      </c>
      <c r="D198" s="6">
        <v>879</v>
      </c>
      <c r="E198" s="6">
        <v>854</v>
      </c>
      <c r="F198" s="6">
        <v>847</v>
      </c>
      <c r="G198" s="5">
        <f>226420.1+34201</f>
        <v>260621.1</v>
      </c>
      <c r="H198" s="5">
        <f>218940.3+34201</f>
        <v>253141.3</v>
      </c>
      <c r="I198" s="5">
        <v>253141.3</v>
      </c>
      <c r="J198" s="27"/>
    </row>
    <row r="199" spans="1:10" ht="60" x14ac:dyDescent="0.25">
      <c r="A199" s="6">
        <f t="shared" si="3"/>
        <v>25</v>
      </c>
      <c r="B199" s="7" t="s">
        <v>225</v>
      </c>
      <c r="C199" s="5" t="s">
        <v>218</v>
      </c>
      <c r="D199" s="6">
        <v>233</v>
      </c>
      <c r="E199" s="6">
        <v>233</v>
      </c>
      <c r="F199" s="6">
        <v>233</v>
      </c>
      <c r="G199" s="5">
        <f>46411.4+3171.7</f>
        <v>49583.1</v>
      </c>
      <c r="H199" s="5">
        <f>46411.4+3171.7</f>
        <v>49583.1</v>
      </c>
      <c r="I199" s="5">
        <v>49583.1</v>
      </c>
      <c r="J199" s="27"/>
    </row>
    <row r="200" spans="1:10" ht="60" x14ac:dyDescent="0.25">
      <c r="A200" s="6">
        <f t="shared" si="3"/>
        <v>26</v>
      </c>
      <c r="B200" s="7" t="s">
        <v>226</v>
      </c>
      <c r="C200" s="5" t="s">
        <v>218</v>
      </c>
      <c r="D200" s="6">
        <v>20</v>
      </c>
      <c r="E200" s="6">
        <v>20</v>
      </c>
      <c r="F200" s="6">
        <v>20</v>
      </c>
      <c r="G200" s="5">
        <v>20586.38</v>
      </c>
      <c r="H200" s="5">
        <v>20586.38</v>
      </c>
      <c r="I200" s="5">
        <v>20586.38</v>
      </c>
      <c r="J200" s="27"/>
    </row>
    <row r="201" spans="1:10" ht="60" x14ac:dyDescent="0.25">
      <c r="A201" s="6">
        <f t="shared" si="3"/>
        <v>27</v>
      </c>
      <c r="B201" s="7" t="s">
        <v>227</v>
      </c>
      <c r="C201" s="5" t="s">
        <v>218</v>
      </c>
      <c r="D201" s="6">
        <v>36</v>
      </c>
      <c r="E201" s="6">
        <v>36</v>
      </c>
      <c r="F201" s="6">
        <v>36</v>
      </c>
      <c r="G201" s="5">
        <v>5453.6</v>
      </c>
      <c r="H201" s="5">
        <v>5453.6</v>
      </c>
      <c r="I201" s="5">
        <v>5453.6</v>
      </c>
      <c r="J201" s="27"/>
    </row>
    <row r="202" spans="1:10" ht="60" x14ac:dyDescent="0.25">
      <c r="A202" s="6">
        <f t="shared" si="3"/>
        <v>28</v>
      </c>
      <c r="B202" s="7" t="s">
        <v>228</v>
      </c>
      <c r="C202" s="5" t="s">
        <v>218</v>
      </c>
      <c r="D202" s="6">
        <v>20</v>
      </c>
      <c r="E202" s="6">
        <v>20</v>
      </c>
      <c r="F202" s="6">
        <v>20</v>
      </c>
      <c r="G202" s="5">
        <v>3989.7</v>
      </c>
      <c r="H202" s="5">
        <v>3989.7</v>
      </c>
      <c r="I202" s="5">
        <v>3989.7</v>
      </c>
      <c r="J202" s="27"/>
    </row>
    <row r="203" spans="1:10" ht="60" x14ac:dyDescent="0.25">
      <c r="A203" s="6">
        <f t="shared" si="3"/>
        <v>29</v>
      </c>
      <c r="B203" s="7" t="s">
        <v>229</v>
      </c>
      <c r="C203" s="5" t="s">
        <v>218</v>
      </c>
      <c r="D203" s="6">
        <v>118</v>
      </c>
      <c r="E203" s="6">
        <v>118</v>
      </c>
      <c r="F203" s="6">
        <v>118</v>
      </c>
      <c r="G203" s="5">
        <v>15053.3</v>
      </c>
      <c r="H203" s="5">
        <v>15053.3</v>
      </c>
      <c r="I203" s="5">
        <v>15053.3</v>
      </c>
      <c r="J203" s="27"/>
    </row>
    <row r="204" spans="1:10" ht="60" x14ac:dyDescent="0.25">
      <c r="A204" s="6">
        <f t="shared" si="3"/>
        <v>30</v>
      </c>
      <c r="B204" s="7" t="s">
        <v>230</v>
      </c>
      <c r="C204" s="5" t="s">
        <v>218</v>
      </c>
      <c r="D204" s="6">
        <v>35</v>
      </c>
      <c r="E204" s="6">
        <v>35</v>
      </c>
      <c r="F204" s="6">
        <v>35</v>
      </c>
      <c r="G204" s="5">
        <v>2749.8</v>
      </c>
      <c r="H204" s="5">
        <v>2749.8</v>
      </c>
      <c r="I204" s="5">
        <v>2749.8</v>
      </c>
      <c r="J204" s="27"/>
    </row>
    <row r="205" spans="1:10" ht="90" x14ac:dyDescent="0.25">
      <c r="A205" s="6">
        <f t="shared" si="3"/>
        <v>31</v>
      </c>
      <c r="B205" s="7" t="s">
        <v>231</v>
      </c>
      <c r="C205" s="5" t="s">
        <v>218</v>
      </c>
      <c r="D205" s="6">
        <v>325</v>
      </c>
      <c r="E205" s="6">
        <v>325</v>
      </c>
      <c r="F205" s="6">
        <v>319</v>
      </c>
      <c r="G205" s="5">
        <v>25814</v>
      </c>
      <c r="H205" s="5">
        <v>25814</v>
      </c>
      <c r="I205" s="5">
        <v>25814</v>
      </c>
      <c r="J205" s="27"/>
    </row>
    <row r="206" spans="1:10" ht="75" x14ac:dyDescent="0.25">
      <c r="A206" s="6">
        <f t="shared" si="3"/>
        <v>32</v>
      </c>
      <c r="B206" s="7" t="s">
        <v>232</v>
      </c>
      <c r="C206" s="5" t="s">
        <v>218</v>
      </c>
      <c r="D206" s="6">
        <v>460</v>
      </c>
      <c r="E206" s="6">
        <v>460</v>
      </c>
      <c r="F206" s="6">
        <v>465</v>
      </c>
      <c r="G206" s="5">
        <f>37194.6</f>
        <v>37194.6</v>
      </c>
      <c r="H206" s="5">
        <f>37194.6</f>
        <v>37194.6</v>
      </c>
      <c r="I206" s="5">
        <v>37194.6</v>
      </c>
      <c r="J206" s="27"/>
    </row>
    <row r="207" spans="1:10" ht="75" x14ac:dyDescent="0.25">
      <c r="A207" s="6">
        <f t="shared" si="3"/>
        <v>33</v>
      </c>
      <c r="B207" s="7" t="s">
        <v>233</v>
      </c>
      <c r="C207" s="5" t="s">
        <v>218</v>
      </c>
      <c r="D207" s="6">
        <v>5371</v>
      </c>
      <c r="E207" s="6">
        <v>5371</v>
      </c>
      <c r="F207" s="6">
        <v>4961</v>
      </c>
      <c r="G207" s="5">
        <f>149541.7+69908</f>
        <v>219449.7</v>
      </c>
      <c r="H207" s="5">
        <f>149541.7+69908</f>
        <v>219449.7</v>
      </c>
      <c r="I207" s="5">
        <v>219449.7</v>
      </c>
      <c r="J207" s="27"/>
    </row>
    <row r="208" spans="1:10" ht="75" x14ac:dyDescent="0.25">
      <c r="A208" s="6">
        <f t="shared" si="3"/>
        <v>34</v>
      </c>
      <c r="B208" s="7" t="s">
        <v>234</v>
      </c>
      <c r="C208" s="5" t="s">
        <v>218</v>
      </c>
      <c r="D208" s="6">
        <v>2046</v>
      </c>
      <c r="E208" s="6">
        <v>1745</v>
      </c>
      <c r="F208" s="6">
        <v>1274</v>
      </c>
      <c r="G208" s="5">
        <f>9200+66185.5</f>
        <v>75385.5</v>
      </c>
      <c r="H208" s="5">
        <f>9200+54438.5</f>
        <v>63638.5</v>
      </c>
      <c r="I208" s="5">
        <v>63638.5</v>
      </c>
      <c r="J208" s="27"/>
    </row>
    <row r="209" spans="1:10" ht="60" x14ac:dyDescent="0.25">
      <c r="A209" s="6">
        <f t="shared" si="3"/>
        <v>35</v>
      </c>
      <c r="B209" s="7" t="s">
        <v>235</v>
      </c>
      <c r="C209" s="5" t="s">
        <v>218</v>
      </c>
      <c r="D209" s="6">
        <v>6458</v>
      </c>
      <c r="E209" s="6">
        <v>6458</v>
      </c>
      <c r="F209" s="6">
        <v>5708</v>
      </c>
      <c r="G209" s="5">
        <v>86984.1</v>
      </c>
      <c r="H209" s="5">
        <v>86984.1</v>
      </c>
      <c r="I209" s="5">
        <v>86984.1</v>
      </c>
      <c r="J209" s="27"/>
    </row>
    <row r="210" spans="1:10" ht="104.25" x14ac:dyDescent="0.25">
      <c r="A210" s="6">
        <f t="shared" si="3"/>
        <v>36</v>
      </c>
      <c r="B210" s="7" t="s">
        <v>236</v>
      </c>
      <c r="C210" s="5" t="s">
        <v>218</v>
      </c>
      <c r="D210" s="6">
        <v>270</v>
      </c>
      <c r="E210" s="6">
        <v>270</v>
      </c>
      <c r="F210" s="6">
        <v>227</v>
      </c>
      <c r="G210" s="5">
        <v>21226.799999999999</v>
      </c>
      <c r="H210" s="5">
        <v>21226.799999999999</v>
      </c>
      <c r="I210" s="5">
        <v>21226.799999999999</v>
      </c>
      <c r="J210" s="27"/>
    </row>
    <row r="211" spans="1:10" ht="30" x14ac:dyDescent="0.25">
      <c r="A211" s="6">
        <f t="shared" si="3"/>
        <v>37</v>
      </c>
      <c r="B211" s="7" t="s">
        <v>237</v>
      </c>
      <c r="C211" s="5" t="s">
        <v>238</v>
      </c>
      <c r="D211" s="6">
        <v>170680</v>
      </c>
      <c r="E211" s="6">
        <v>170680</v>
      </c>
      <c r="F211" s="6">
        <v>151851</v>
      </c>
      <c r="G211" s="5">
        <v>441974.4</v>
      </c>
      <c r="H211" s="5">
        <v>441974.4</v>
      </c>
      <c r="I211" s="5">
        <v>441974.4</v>
      </c>
      <c r="J211" s="27"/>
    </row>
    <row r="212" spans="1:10" ht="30" x14ac:dyDescent="0.25">
      <c r="A212" s="6">
        <f t="shared" si="3"/>
        <v>38</v>
      </c>
      <c r="B212" s="7" t="s">
        <v>239</v>
      </c>
      <c r="C212" s="5" t="s">
        <v>240</v>
      </c>
      <c r="D212" s="6">
        <v>850</v>
      </c>
      <c r="E212" s="6">
        <v>850</v>
      </c>
      <c r="F212" s="6">
        <v>725</v>
      </c>
      <c r="G212" s="5">
        <v>16625.599999999999</v>
      </c>
      <c r="H212" s="5">
        <v>16625.599999999999</v>
      </c>
      <c r="I212" s="5">
        <v>16625.599999999999</v>
      </c>
      <c r="J212" s="27"/>
    </row>
    <row r="213" spans="1:10" ht="30" x14ac:dyDescent="0.25">
      <c r="A213" s="6">
        <f t="shared" si="3"/>
        <v>39</v>
      </c>
      <c r="B213" s="7" t="s">
        <v>241</v>
      </c>
      <c r="C213" s="5" t="s">
        <v>242</v>
      </c>
      <c r="D213" s="6" t="s">
        <v>243</v>
      </c>
      <c r="E213" s="6" t="s">
        <v>243</v>
      </c>
      <c r="F213" s="6" t="s">
        <v>243</v>
      </c>
      <c r="G213" s="5">
        <f>6681.1+3533.2</f>
        <v>10214.299999999999</v>
      </c>
      <c r="H213" s="5">
        <f>6681.1+3533.2</f>
        <v>10214.299999999999</v>
      </c>
      <c r="I213" s="5">
        <v>10214.299999999999</v>
      </c>
      <c r="J213" s="27"/>
    </row>
    <row r="214" spans="1:10" ht="74.25" x14ac:dyDescent="0.25">
      <c r="A214" s="6">
        <f t="shared" si="3"/>
        <v>40</v>
      </c>
      <c r="B214" s="7" t="s">
        <v>244</v>
      </c>
      <c r="C214" s="5" t="s">
        <v>245</v>
      </c>
      <c r="D214" s="6">
        <v>1466</v>
      </c>
      <c r="E214" s="6">
        <v>1545</v>
      </c>
      <c r="F214" s="6">
        <v>1594</v>
      </c>
      <c r="G214" s="5">
        <v>166556.4</v>
      </c>
      <c r="H214" s="5">
        <v>175094</v>
      </c>
      <c r="I214" s="5">
        <v>175094</v>
      </c>
      <c r="J214" s="27"/>
    </row>
    <row r="215" spans="1:10" ht="45" x14ac:dyDescent="0.25">
      <c r="A215" s="6">
        <f t="shared" si="3"/>
        <v>41</v>
      </c>
      <c r="B215" s="7" t="s">
        <v>246</v>
      </c>
      <c r="C215" s="5" t="s">
        <v>245</v>
      </c>
      <c r="D215" s="6">
        <v>2473</v>
      </c>
      <c r="E215" s="6">
        <v>2473</v>
      </c>
      <c r="F215" s="6">
        <v>3103</v>
      </c>
      <c r="G215" s="5">
        <v>29564.400000000001</v>
      </c>
      <c r="H215" s="5">
        <v>29564.400000000001</v>
      </c>
      <c r="I215" s="5">
        <v>29564.400000000001</v>
      </c>
      <c r="J215" s="27"/>
    </row>
    <row r="216" spans="1:10" ht="60" x14ac:dyDescent="0.25">
      <c r="A216" s="6">
        <f t="shared" si="3"/>
        <v>42</v>
      </c>
      <c r="B216" s="7" t="s">
        <v>247</v>
      </c>
      <c r="C216" s="5" t="s">
        <v>248</v>
      </c>
      <c r="D216" s="6">
        <v>228050</v>
      </c>
      <c r="E216" s="6">
        <v>228050</v>
      </c>
      <c r="F216" s="6">
        <v>233894</v>
      </c>
      <c r="G216" s="5">
        <v>48527.5</v>
      </c>
      <c r="H216" s="5">
        <v>48527.5</v>
      </c>
      <c r="I216" s="5">
        <v>48527.5</v>
      </c>
      <c r="J216" s="27"/>
    </row>
    <row r="217" spans="1:10" ht="75" x14ac:dyDescent="0.25">
      <c r="A217" s="6">
        <f>A216+1</f>
        <v>43</v>
      </c>
      <c r="B217" s="7" t="s">
        <v>249</v>
      </c>
      <c r="C217" s="5" t="s">
        <v>26</v>
      </c>
      <c r="D217" s="6">
        <v>1</v>
      </c>
      <c r="E217" s="6">
        <v>1</v>
      </c>
      <c r="F217" s="6">
        <v>1</v>
      </c>
      <c r="G217" s="5">
        <v>71495.5</v>
      </c>
      <c r="H217" s="5">
        <v>71495.5</v>
      </c>
      <c r="I217" s="5">
        <v>71495.5</v>
      </c>
      <c r="J217" s="27"/>
    </row>
    <row r="218" spans="1:10" s="19" customFormat="1" x14ac:dyDescent="0.25">
      <c r="A218" s="15"/>
      <c r="B218" s="10" t="s">
        <v>10</v>
      </c>
      <c r="C218" s="11"/>
      <c r="D218" s="15"/>
      <c r="E218" s="15"/>
      <c r="F218" s="15"/>
      <c r="G218" s="11">
        <f>SUM(G175:G217)</f>
        <v>2743318.68</v>
      </c>
      <c r="H218" s="11">
        <f>SUM(H175:H217)</f>
        <v>2749068.2800000003</v>
      </c>
      <c r="I218" s="11">
        <f>SUM(I175:I217)</f>
        <v>2749068.2800000003</v>
      </c>
      <c r="J218" s="29"/>
    </row>
    <row r="219" spans="1:10" ht="14.45" customHeight="1" x14ac:dyDescent="0.25">
      <c r="A219" s="45" t="s">
        <v>250</v>
      </c>
      <c r="B219" s="45"/>
      <c r="C219" s="45"/>
      <c r="D219" s="45"/>
      <c r="E219" s="45"/>
      <c r="F219" s="45"/>
      <c r="G219" s="45"/>
      <c r="H219" s="45"/>
      <c r="I219" s="45"/>
      <c r="J219" s="27"/>
    </row>
    <row r="220" spans="1:10" ht="45" x14ac:dyDescent="0.25">
      <c r="A220" s="6">
        <v>1</v>
      </c>
      <c r="B220" s="12" t="s">
        <v>251</v>
      </c>
      <c r="C220" s="5" t="s">
        <v>8</v>
      </c>
      <c r="D220" s="5">
        <v>3713</v>
      </c>
      <c r="E220" s="5">
        <v>3780</v>
      </c>
      <c r="F220" s="5">
        <v>3780</v>
      </c>
      <c r="G220" s="5">
        <v>451250.7</v>
      </c>
      <c r="H220" s="5">
        <v>451250.7</v>
      </c>
      <c r="I220" s="5">
        <v>451250.7</v>
      </c>
      <c r="J220" s="27"/>
    </row>
    <row r="221" spans="1:10" ht="60" x14ac:dyDescent="0.25">
      <c r="A221" s="6">
        <v>2</v>
      </c>
      <c r="B221" s="12" t="s">
        <v>252</v>
      </c>
      <c r="C221" s="5" t="s">
        <v>8</v>
      </c>
      <c r="D221" s="5">
        <v>10041</v>
      </c>
      <c r="E221" s="5">
        <v>10221</v>
      </c>
      <c r="F221" s="5">
        <v>10221</v>
      </c>
      <c r="G221" s="5">
        <v>1312303</v>
      </c>
      <c r="H221" s="5">
        <v>1354493.26</v>
      </c>
      <c r="I221" s="5">
        <v>1354493.26</v>
      </c>
      <c r="J221" s="27"/>
    </row>
    <row r="222" spans="1:10" ht="60" x14ac:dyDescent="0.25">
      <c r="A222" s="6">
        <v>3</v>
      </c>
      <c r="B222" s="12" t="s">
        <v>253</v>
      </c>
      <c r="C222" s="5" t="s">
        <v>8</v>
      </c>
      <c r="D222" s="5">
        <v>1001</v>
      </c>
      <c r="E222" s="5">
        <v>1027</v>
      </c>
      <c r="F222" s="5">
        <v>1027</v>
      </c>
      <c r="G222" s="5">
        <v>44410</v>
      </c>
      <c r="H222" s="5">
        <v>44410</v>
      </c>
      <c r="I222" s="5">
        <v>44410</v>
      </c>
      <c r="J222" s="27"/>
    </row>
    <row r="223" spans="1:10" ht="60" x14ac:dyDescent="0.25">
      <c r="A223" s="6">
        <v>4</v>
      </c>
      <c r="B223" s="12" t="s">
        <v>254</v>
      </c>
      <c r="C223" s="5" t="s">
        <v>255</v>
      </c>
      <c r="D223" s="5">
        <v>279000</v>
      </c>
      <c r="E223" s="5">
        <v>292500</v>
      </c>
      <c r="F223" s="5">
        <v>292500</v>
      </c>
      <c r="G223" s="5">
        <v>68156.899999999907</v>
      </c>
      <c r="H223" s="5">
        <v>69312.699999999895</v>
      </c>
      <c r="I223" s="5">
        <v>69312.699999999895</v>
      </c>
      <c r="J223" s="27"/>
    </row>
    <row r="224" spans="1:10" ht="60" x14ac:dyDescent="0.25">
      <c r="A224" s="6">
        <v>5</v>
      </c>
      <c r="B224" s="12" t="s">
        <v>254</v>
      </c>
      <c r="C224" s="5" t="s">
        <v>255</v>
      </c>
      <c r="D224" s="5">
        <v>83696</v>
      </c>
      <c r="E224" s="5">
        <v>83696</v>
      </c>
      <c r="F224" s="5">
        <v>87529</v>
      </c>
      <c r="G224" s="5">
        <v>74909.8</v>
      </c>
      <c r="H224" s="5">
        <v>74909.8</v>
      </c>
      <c r="I224" s="5">
        <v>74909.8</v>
      </c>
      <c r="J224" s="27"/>
    </row>
    <row r="225" spans="1:10" ht="45" x14ac:dyDescent="0.25">
      <c r="A225" s="6">
        <v>6</v>
      </c>
      <c r="B225" s="12" t="s">
        <v>256</v>
      </c>
      <c r="C225" s="5" t="s">
        <v>8</v>
      </c>
      <c r="D225" s="5">
        <v>2493</v>
      </c>
      <c r="E225" s="5">
        <v>2493</v>
      </c>
      <c r="F225" s="5">
        <v>2493</v>
      </c>
      <c r="G225" s="5">
        <v>492306.1</v>
      </c>
      <c r="H225" s="5">
        <v>492306.1</v>
      </c>
      <c r="I225" s="5">
        <v>492306.1</v>
      </c>
      <c r="J225" s="27"/>
    </row>
    <row r="226" spans="1:10" ht="45" x14ac:dyDescent="0.25">
      <c r="A226" s="6">
        <v>7</v>
      </c>
      <c r="B226" s="12" t="s">
        <v>257</v>
      </c>
      <c r="C226" s="5" t="s">
        <v>8</v>
      </c>
      <c r="D226" s="5">
        <v>38</v>
      </c>
      <c r="E226" s="5">
        <v>38</v>
      </c>
      <c r="F226" s="5">
        <v>38</v>
      </c>
      <c r="G226" s="5">
        <v>3833</v>
      </c>
      <c r="H226" s="5">
        <v>3833</v>
      </c>
      <c r="I226" s="5">
        <v>3833</v>
      </c>
      <c r="J226" s="27"/>
    </row>
    <row r="227" spans="1:10" ht="45" x14ac:dyDescent="0.25">
      <c r="A227" s="6">
        <v>8</v>
      </c>
      <c r="B227" s="12" t="s">
        <v>258</v>
      </c>
      <c r="C227" s="5" t="s">
        <v>8</v>
      </c>
      <c r="D227" s="5">
        <v>1070</v>
      </c>
      <c r="E227" s="5">
        <v>1072</v>
      </c>
      <c r="F227" s="5">
        <v>1072</v>
      </c>
      <c r="G227" s="5">
        <v>132737.9</v>
      </c>
      <c r="H227" s="5">
        <v>132737.9</v>
      </c>
      <c r="I227" s="5">
        <v>132737.9</v>
      </c>
      <c r="J227" s="27"/>
    </row>
    <row r="228" spans="1:10" ht="45" x14ac:dyDescent="0.25">
      <c r="A228" s="6">
        <v>9</v>
      </c>
      <c r="B228" s="12" t="s">
        <v>259</v>
      </c>
      <c r="C228" s="5" t="s">
        <v>8</v>
      </c>
      <c r="D228" s="5">
        <v>374</v>
      </c>
      <c r="E228" s="5">
        <v>374</v>
      </c>
      <c r="F228" s="5">
        <v>374</v>
      </c>
      <c r="G228" s="5">
        <v>79363.7</v>
      </c>
      <c r="H228" s="5">
        <v>79363.7</v>
      </c>
      <c r="I228" s="5">
        <v>79363.7</v>
      </c>
      <c r="J228" s="27"/>
    </row>
    <row r="229" spans="1:10" ht="45" x14ac:dyDescent="0.25">
      <c r="A229" s="6"/>
      <c r="B229" s="20" t="s">
        <v>260</v>
      </c>
      <c r="C229" s="5" t="s">
        <v>8</v>
      </c>
      <c r="D229" s="5">
        <v>13</v>
      </c>
      <c r="E229" s="5">
        <v>13</v>
      </c>
      <c r="F229" s="5">
        <v>13</v>
      </c>
      <c r="G229" s="5">
        <v>1311</v>
      </c>
      <c r="H229" s="5">
        <v>1311</v>
      </c>
      <c r="I229" s="5">
        <v>1311</v>
      </c>
      <c r="J229" s="27"/>
    </row>
    <row r="230" spans="1:10" ht="30" x14ac:dyDescent="0.25">
      <c r="A230" s="6">
        <v>10</v>
      </c>
      <c r="B230" s="20" t="s">
        <v>261</v>
      </c>
      <c r="C230" s="5" t="s">
        <v>8</v>
      </c>
      <c r="D230" s="5">
        <v>206</v>
      </c>
      <c r="E230" s="5">
        <v>206</v>
      </c>
      <c r="F230" s="5">
        <v>206</v>
      </c>
      <c r="G230" s="5">
        <v>26578.2</v>
      </c>
      <c r="H230" s="5">
        <v>26578.2</v>
      </c>
      <c r="I230" s="5">
        <v>26578.2</v>
      </c>
      <c r="J230" s="27"/>
    </row>
    <row r="231" spans="1:10" ht="60" x14ac:dyDescent="0.25">
      <c r="A231" s="6">
        <v>11</v>
      </c>
      <c r="B231" s="12" t="s">
        <v>262</v>
      </c>
      <c r="C231" s="5" t="s">
        <v>8</v>
      </c>
      <c r="D231" s="5">
        <v>39</v>
      </c>
      <c r="E231" s="5">
        <v>39</v>
      </c>
      <c r="F231" s="5">
        <v>39</v>
      </c>
      <c r="G231" s="5">
        <v>7950.4</v>
      </c>
      <c r="H231" s="5">
        <v>7950.4</v>
      </c>
      <c r="I231" s="5">
        <v>7950.4</v>
      </c>
      <c r="J231" s="27"/>
    </row>
    <row r="232" spans="1:10" ht="45" x14ac:dyDescent="0.25">
      <c r="A232" s="6">
        <v>12</v>
      </c>
      <c r="B232" s="20" t="s">
        <v>263</v>
      </c>
      <c r="C232" s="5" t="s">
        <v>8</v>
      </c>
      <c r="D232" s="5">
        <v>120</v>
      </c>
      <c r="E232" s="5">
        <v>120</v>
      </c>
      <c r="F232" s="5">
        <v>120</v>
      </c>
      <c r="G232" s="5">
        <v>15974.4</v>
      </c>
      <c r="H232" s="5">
        <v>15974.4</v>
      </c>
      <c r="I232" s="5">
        <v>15974.4</v>
      </c>
      <c r="J232" s="27"/>
    </row>
    <row r="233" spans="1:10" ht="30" x14ac:dyDescent="0.25">
      <c r="A233" s="6">
        <v>13</v>
      </c>
      <c r="B233" s="12" t="s">
        <v>168</v>
      </c>
      <c r="C233" s="5" t="s">
        <v>255</v>
      </c>
      <c r="D233" s="5">
        <v>653408</v>
      </c>
      <c r="E233" s="5">
        <v>653408</v>
      </c>
      <c r="F233" s="5">
        <v>653411</v>
      </c>
      <c r="G233" s="5">
        <v>71663</v>
      </c>
      <c r="H233" s="5">
        <v>71663</v>
      </c>
      <c r="I233" s="5">
        <v>71663</v>
      </c>
      <c r="J233" s="27"/>
    </row>
    <row r="234" spans="1:10" ht="30" x14ac:dyDescent="0.25">
      <c r="A234" s="6">
        <v>14</v>
      </c>
      <c r="B234" s="20" t="s">
        <v>264</v>
      </c>
      <c r="C234" s="5" t="s">
        <v>255</v>
      </c>
      <c r="D234" s="5">
        <v>995867</v>
      </c>
      <c r="E234" s="5">
        <v>955942</v>
      </c>
      <c r="F234" s="5">
        <v>956026</v>
      </c>
      <c r="G234" s="5">
        <v>117760.1</v>
      </c>
      <c r="H234" s="5">
        <v>118519.34782720392</v>
      </c>
      <c r="I234" s="5">
        <v>118519.34782720392</v>
      </c>
      <c r="J234" s="27"/>
    </row>
    <row r="235" spans="1:10" ht="30" x14ac:dyDescent="0.25">
      <c r="A235" s="6">
        <v>15</v>
      </c>
      <c r="B235" s="12" t="s">
        <v>265</v>
      </c>
      <c r="C235" s="5" t="s">
        <v>266</v>
      </c>
      <c r="D235" s="5">
        <v>51</v>
      </c>
      <c r="E235" s="5">
        <v>51</v>
      </c>
      <c r="F235" s="5">
        <v>38</v>
      </c>
      <c r="G235" s="5">
        <v>30407</v>
      </c>
      <c r="H235" s="5">
        <v>30407</v>
      </c>
      <c r="I235" s="5">
        <v>30407</v>
      </c>
      <c r="J235" s="27"/>
    </row>
    <row r="236" spans="1:10" ht="45" x14ac:dyDescent="0.25">
      <c r="A236" s="6">
        <v>16</v>
      </c>
      <c r="B236" s="12" t="s">
        <v>267</v>
      </c>
      <c r="C236" s="5" t="s">
        <v>8</v>
      </c>
      <c r="D236" s="5">
        <v>319</v>
      </c>
      <c r="E236" s="5">
        <v>402</v>
      </c>
      <c r="F236" s="5">
        <v>402</v>
      </c>
      <c r="G236" s="5">
        <v>389507</v>
      </c>
      <c r="H236" s="5">
        <v>406962</v>
      </c>
      <c r="I236" s="5">
        <v>406962</v>
      </c>
      <c r="J236" s="27"/>
    </row>
    <row r="237" spans="1:10" ht="60" x14ac:dyDescent="0.25">
      <c r="A237" s="6">
        <v>17</v>
      </c>
      <c r="B237" s="12" t="s">
        <v>268</v>
      </c>
      <c r="C237" s="5" t="s">
        <v>8</v>
      </c>
      <c r="D237" s="5">
        <v>12</v>
      </c>
      <c r="E237" s="5">
        <v>10</v>
      </c>
      <c r="F237" s="5">
        <v>10</v>
      </c>
      <c r="G237" s="5">
        <v>12538.8</v>
      </c>
      <c r="H237" s="5">
        <v>10449</v>
      </c>
      <c r="I237" s="5">
        <v>10449</v>
      </c>
      <c r="J237" s="27"/>
    </row>
    <row r="238" spans="1:10" ht="60" x14ac:dyDescent="0.25">
      <c r="A238" s="6">
        <v>18</v>
      </c>
      <c r="B238" s="12" t="s">
        <v>269</v>
      </c>
      <c r="C238" s="5" t="s">
        <v>8</v>
      </c>
      <c r="D238" s="5">
        <v>292</v>
      </c>
      <c r="E238" s="5">
        <v>292</v>
      </c>
      <c r="F238" s="5">
        <v>292</v>
      </c>
      <c r="G238" s="5">
        <v>18279.2</v>
      </c>
      <c r="H238" s="5">
        <v>18279.2</v>
      </c>
      <c r="I238" s="5">
        <v>18279.2</v>
      </c>
      <c r="J238" s="27"/>
    </row>
    <row r="239" spans="1:10" ht="60" x14ac:dyDescent="0.25">
      <c r="A239" s="6">
        <v>19</v>
      </c>
      <c r="B239" s="12" t="s">
        <v>270</v>
      </c>
      <c r="C239" s="5" t="s">
        <v>8</v>
      </c>
      <c r="D239" s="5">
        <v>160</v>
      </c>
      <c r="E239" s="5">
        <v>160</v>
      </c>
      <c r="F239" s="5">
        <v>160</v>
      </c>
      <c r="G239" s="5">
        <v>16512</v>
      </c>
      <c r="H239" s="5">
        <v>16512</v>
      </c>
      <c r="I239" s="5">
        <v>16512</v>
      </c>
      <c r="J239" s="27"/>
    </row>
    <row r="240" spans="1:10" ht="45" x14ac:dyDescent="0.25">
      <c r="A240" s="6">
        <v>20</v>
      </c>
      <c r="B240" s="12" t="s">
        <v>271</v>
      </c>
      <c r="C240" s="5" t="s">
        <v>8</v>
      </c>
      <c r="D240" s="5">
        <v>4660</v>
      </c>
      <c r="E240" s="5">
        <v>4660</v>
      </c>
      <c r="F240" s="5">
        <v>4660</v>
      </c>
      <c r="G240" s="5">
        <v>4208</v>
      </c>
      <c r="H240" s="5">
        <v>4208</v>
      </c>
      <c r="I240" s="5">
        <v>4208</v>
      </c>
      <c r="J240" s="27"/>
    </row>
    <row r="241" spans="1:10" ht="30" x14ac:dyDescent="0.25">
      <c r="A241" s="6">
        <v>21</v>
      </c>
      <c r="B241" s="12" t="s">
        <v>272</v>
      </c>
      <c r="C241" s="5" t="s">
        <v>8</v>
      </c>
      <c r="D241" s="5">
        <v>1250</v>
      </c>
      <c r="E241" s="5">
        <v>1250</v>
      </c>
      <c r="F241" s="5">
        <v>1250</v>
      </c>
      <c r="G241" s="5">
        <v>10312.5</v>
      </c>
      <c r="H241" s="5">
        <v>10312.5</v>
      </c>
      <c r="I241" s="5">
        <v>10312.5</v>
      </c>
      <c r="J241" s="27"/>
    </row>
    <row r="242" spans="1:10" ht="30" x14ac:dyDescent="0.25">
      <c r="A242" s="6">
        <v>22</v>
      </c>
      <c r="B242" s="12" t="s">
        <v>273</v>
      </c>
      <c r="C242" s="5" t="s">
        <v>8</v>
      </c>
      <c r="D242" s="5">
        <v>25</v>
      </c>
      <c r="E242" s="5">
        <v>25</v>
      </c>
      <c r="F242" s="5">
        <v>25</v>
      </c>
      <c r="G242" s="5">
        <v>1944</v>
      </c>
      <c r="H242" s="5">
        <v>1944</v>
      </c>
      <c r="I242" s="5">
        <v>1944</v>
      </c>
      <c r="J242" s="27"/>
    </row>
    <row r="243" spans="1:10" ht="30" x14ac:dyDescent="0.25">
      <c r="A243" s="6">
        <v>23</v>
      </c>
      <c r="B243" s="12" t="s">
        <v>274</v>
      </c>
      <c r="C243" s="5" t="s">
        <v>255</v>
      </c>
      <c r="D243" s="5">
        <v>611056</v>
      </c>
      <c r="E243" s="5">
        <v>736179</v>
      </c>
      <c r="F243" s="5">
        <v>714372</v>
      </c>
      <c r="G243" s="5">
        <v>116100.5</v>
      </c>
      <c r="H243" s="5">
        <v>122715.64133287301</v>
      </c>
      <c r="I243" s="5">
        <v>122715.64133287301</v>
      </c>
      <c r="J243" s="27"/>
    </row>
    <row r="244" spans="1:10" ht="45" x14ac:dyDescent="0.25">
      <c r="A244" s="6">
        <v>24</v>
      </c>
      <c r="B244" s="12" t="s">
        <v>275</v>
      </c>
      <c r="C244" s="5" t="s">
        <v>276</v>
      </c>
      <c r="D244" s="5">
        <v>360</v>
      </c>
      <c r="E244" s="5">
        <v>360</v>
      </c>
      <c r="F244" s="5">
        <v>360</v>
      </c>
      <c r="G244" s="5">
        <v>4330.1000000000004</v>
      </c>
      <c r="H244" s="5">
        <v>4330.1000000000004</v>
      </c>
      <c r="I244" s="5">
        <v>4330.1000000000004</v>
      </c>
      <c r="J244" s="27"/>
    </row>
    <row r="245" spans="1:10" ht="45" x14ac:dyDescent="0.25">
      <c r="A245" s="6">
        <v>25</v>
      </c>
      <c r="B245" s="12" t="s">
        <v>275</v>
      </c>
      <c r="C245" s="5" t="s">
        <v>276</v>
      </c>
      <c r="D245" s="5">
        <v>304</v>
      </c>
      <c r="E245" s="5">
        <v>305</v>
      </c>
      <c r="F245" s="5">
        <v>305</v>
      </c>
      <c r="G245" s="5">
        <v>49150</v>
      </c>
      <c r="H245" s="5">
        <v>49311.7</v>
      </c>
      <c r="I245" s="5">
        <v>49311.7</v>
      </c>
      <c r="J245" s="27"/>
    </row>
    <row r="246" spans="1:10" ht="45" x14ac:dyDescent="0.25">
      <c r="A246" s="6">
        <v>26</v>
      </c>
      <c r="B246" s="12" t="s">
        <v>277</v>
      </c>
      <c r="C246" s="5" t="s">
        <v>276</v>
      </c>
      <c r="D246" s="5">
        <v>65</v>
      </c>
      <c r="E246" s="5">
        <v>65</v>
      </c>
      <c r="F246" s="5">
        <v>65</v>
      </c>
      <c r="G246" s="5">
        <v>2550.9</v>
      </c>
      <c r="H246" s="5">
        <v>2550.9</v>
      </c>
      <c r="I246" s="5">
        <v>2550.9</v>
      </c>
      <c r="J246" s="27"/>
    </row>
    <row r="247" spans="1:10" ht="45" x14ac:dyDescent="0.25">
      <c r="A247" s="6">
        <v>27</v>
      </c>
      <c r="B247" s="12" t="s">
        <v>278</v>
      </c>
      <c r="C247" s="5" t="s">
        <v>276</v>
      </c>
      <c r="D247" s="5">
        <v>120</v>
      </c>
      <c r="E247" s="5">
        <v>120</v>
      </c>
      <c r="F247" s="5">
        <v>120</v>
      </c>
      <c r="G247" s="5">
        <v>4303.5</v>
      </c>
      <c r="H247" s="5">
        <v>4303.5</v>
      </c>
      <c r="I247" s="5">
        <v>4303.5</v>
      </c>
      <c r="J247" s="27"/>
    </row>
    <row r="248" spans="1:10" ht="25.5" customHeight="1" x14ac:dyDescent="0.25">
      <c r="A248" s="6">
        <v>28</v>
      </c>
      <c r="B248" s="12" t="s">
        <v>279</v>
      </c>
      <c r="C248" s="5" t="s">
        <v>280</v>
      </c>
      <c r="D248" s="5">
        <v>94581</v>
      </c>
      <c r="E248" s="5">
        <v>88759</v>
      </c>
      <c r="F248" s="5">
        <v>56764</v>
      </c>
      <c r="G248" s="5">
        <v>196066.8</v>
      </c>
      <c r="H248" s="5">
        <v>196066.8</v>
      </c>
      <c r="I248" s="5">
        <v>196066.8</v>
      </c>
      <c r="J248" s="27"/>
    </row>
    <row r="249" spans="1:10" ht="30" x14ac:dyDescent="0.25">
      <c r="A249" s="6">
        <v>29</v>
      </c>
      <c r="B249" s="12" t="s">
        <v>281</v>
      </c>
      <c r="C249" s="5" t="s">
        <v>8</v>
      </c>
      <c r="D249" s="5">
        <v>295</v>
      </c>
      <c r="E249" s="5">
        <v>295</v>
      </c>
      <c r="F249" s="5">
        <v>295</v>
      </c>
      <c r="G249" s="5">
        <v>30172.400000000001</v>
      </c>
      <c r="H249" s="5">
        <v>29722.9</v>
      </c>
      <c r="I249" s="5">
        <v>29722.9</v>
      </c>
      <c r="J249" s="27"/>
    </row>
    <row r="250" spans="1:10" ht="105" x14ac:dyDescent="0.25">
      <c r="A250" s="6">
        <v>30</v>
      </c>
      <c r="B250" s="12" t="s">
        <v>282</v>
      </c>
      <c r="C250" s="5" t="s">
        <v>8</v>
      </c>
      <c r="D250" s="5">
        <v>119267</v>
      </c>
      <c r="E250" s="5">
        <v>95473</v>
      </c>
      <c r="F250" s="5">
        <v>95473</v>
      </c>
      <c r="G250" s="5">
        <v>93320.4</v>
      </c>
      <c r="H250" s="5">
        <v>74890.399999999994</v>
      </c>
      <c r="I250" s="5">
        <v>74890.399999999994</v>
      </c>
      <c r="J250" s="27"/>
    </row>
    <row r="251" spans="1:10" ht="30" x14ac:dyDescent="0.25">
      <c r="A251" s="6">
        <v>31</v>
      </c>
      <c r="B251" s="12" t="s">
        <v>283</v>
      </c>
      <c r="C251" s="5" t="s">
        <v>8</v>
      </c>
      <c r="D251" s="5">
        <v>6500</v>
      </c>
      <c r="E251" s="5">
        <v>6500</v>
      </c>
      <c r="F251" s="5">
        <v>6500</v>
      </c>
      <c r="G251" s="5">
        <v>845</v>
      </c>
      <c r="H251" s="5">
        <v>845</v>
      </c>
      <c r="I251" s="5">
        <v>845</v>
      </c>
      <c r="J251" s="27"/>
    </row>
    <row r="252" spans="1:10" ht="120" x14ac:dyDescent="0.25">
      <c r="A252" s="6">
        <v>32</v>
      </c>
      <c r="B252" s="12" t="s">
        <v>284</v>
      </c>
      <c r="C252" s="5" t="s">
        <v>8</v>
      </c>
      <c r="D252" s="5">
        <v>79086</v>
      </c>
      <c r="E252" s="5">
        <v>87914</v>
      </c>
      <c r="F252" s="5">
        <v>89080</v>
      </c>
      <c r="G252" s="5">
        <v>71536</v>
      </c>
      <c r="H252" s="5">
        <v>75521.228839491203</v>
      </c>
      <c r="I252" s="5">
        <v>75521.228839491203</v>
      </c>
      <c r="J252" s="28"/>
    </row>
    <row r="253" spans="1:10" ht="30" x14ac:dyDescent="0.25">
      <c r="A253" s="6">
        <v>33</v>
      </c>
      <c r="B253" s="12" t="s">
        <v>285</v>
      </c>
      <c r="C253" s="5" t="s">
        <v>255</v>
      </c>
      <c r="D253" s="5">
        <v>35100</v>
      </c>
      <c r="E253" s="5">
        <v>35100</v>
      </c>
      <c r="F253" s="5">
        <v>49887</v>
      </c>
      <c r="G253" s="5">
        <v>2509.6</v>
      </c>
      <c r="H253" s="5">
        <v>2509.6</v>
      </c>
      <c r="I253" s="5">
        <v>2509.6</v>
      </c>
      <c r="J253" s="28"/>
    </row>
    <row r="254" spans="1:10" ht="30" x14ac:dyDescent="0.25">
      <c r="A254" s="6">
        <v>34</v>
      </c>
      <c r="B254" s="12" t="s">
        <v>286</v>
      </c>
      <c r="C254" s="5" t="s">
        <v>8</v>
      </c>
      <c r="D254" s="5">
        <v>0</v>
      </c>
      <c r="E254" s="5">
        <v>18</v>
      </c>
      <c r="F254" s="5">
        <v>18</v>
      </c>
      <c r="G254" s="5">
        <v>0</v>
      </c>
      <c r="H254" s="5">
        <v>3797.1</v>
      </c>
      <c r="I254" s="5">
        <v>3797.1</v>
      </c>
      <c r="J254" s="27"/>
    </row>
    <row r="255" spans="1:10" x14ac:dyDescent="0.25">
      <c r="A255" s="15"/>
      <c r="B255" s="10" t="s">
        <v>10</v>
      </c>
      <c r="C255" s="11"/>
      <c r="D255" s="15"/>
      <c r="E255" s="15"/>
      <c r="F255" s="15" t="s">
        <v>11</v>
      </c>
      <c r="G255" s="11">
        <f>SUM(G220:G254)</f>
        <v>3955101.9</v>
      </c>
      <c r="H255" s="11">
        <f t="shared" ref="H255:I255" si="4">SUM(H220:H254)</f>
        <v>4010252.0779995685</v>
      </c>
      <c r="I255" s="11">
        <f t="shared" si="4"/>
        <v>4010252.0779995685</v>
      </c>
      <c r="J255" s="27"/>
    </row>
    <row r="256" spans="1:10" ht="14.45" customHeight="1" x14ac:dyDescent="0.25">
      <c r="A256" s="45" t="s">
        <v>287</v>
      </c>
      <c r="B256" s="45"/>
      <c r="C256" s="45"/>
      <c r="D256" s="45"/>
      <c r="E256" s="45"/>
      <c r="F256" s="45"/>
      <c r="G256" s="45"/>
      <c r="H256" s="45"/>
      <c r="I256" s="45"/>
      <c r="J256" s="27"/>
    </row>
    <row r="257" spans="1:11" ht="30" x14ac:dyDescent="0.25">
      <c r="A257" s="6">
        <v>1</v>
      </c>
      <c r="B257" s="7" t="s">
        <v>288</v>
      </c>
      <c r="C257" s="5" t="s">
        <v>289</v>
      </c>
      <c r="D257" s="5">
        <v>11</v>
      </c>
      <c r="E257" s="5">
        <v>11</v>
      </c>
      <c r="F257" s="5">
        <v>12</v>
      </c>
      <c r="G257" s="46">
        <v>5600</v>
      </c>
      <c r="H257" s="46">
        <v>5600</v>
      </c>
      <c r="I257" s="46">
        <v>5600</v>
      </c>
      <c r="J257" s="27"/>
    </row>
    <row r="258" spans="1:11" ht="30" x14ac:dyDescent="0.25">
      <c r="A258" s="6">
        <v>2</v>
      </c>
      <c r="B258" s="7" t="s">
        <v>290</v>
      </c>
      <c r="C258" s="5" t="s">
        <v>289</v>
      </c>
      <c r="D258" s="5">
        <v>11</v>
      </c>
      <c r="E258" s="5">
        <v>11</v>
      </c>
      <c r="F258" s="5">
        <v>17</v>
      </c>
      <c r="G258" s="46"/>
      <c r="H258" s="46"/>
      <c r="I258" s="46"/>
      <c r="J258" s="27"/>
    </row>
    <row r="259" spans="1:11" ht="60" x14ac:dyDescent="0.25">
      <c r="A259" s="6">
        <v>3</v>
      </c>
      <c r="B259" s="7" t="s">
        <v>291</v>
      </c>
      <c r="C259" s="5" t="s">
        <v>292</v>
      </c>
      <c r="D259" s="5">
        <v>60000</v>
      </c>
      <c r="E259" s="5">
        <v>60000</v>
      </c>
      <c r="F259" s="5">
        <v>60000</v>
      </c>
      <c r="G259" s="5">
        <v>500</v>
      </c>
      <c r="H259" s="5">
        <v>500</v>
      </c>
      <c r="I259" s="5">
        <v>500</v>
      </c>
      <c r="J259" s="27"/>
    </row>
    <row r="260" spans="1:11" ht="105" x14ac:dyDescent="0.25">
      <c r="A260" s="6">
        <v>4</v>
      </c>
      <c r="B260" s="7" t="s">
        <v>293</v>
      </c>
      <c r="C260" s="5" t="s">
        <v>294</v>
      </c>
      <c r="D260" s="5">
        <v>6</v>
      </c>
      <c r="E260" s="5">
        <v>8</v>
      </c>
      <c r="F260" s="5">
        <v>9</v>
      </c>
      <c r="G260" s="5">
        <v>43066.5</v>
      </c>
      <c r="H260" s="5">
        <v>52307.5</v>
      </c>
      <c r="I260" s="5">
        <v>52307.5</v>
      </c>
      <c r="J260" s="27"/>
    </row>
    <row r="261" spans="1:11" ht="105" x14ac:dyDescent="0.25">
      <c r="A261" s="6">
        <v>5</v>
      </c>
      <c r="B261" s="7" t="s">
        <v>295</v>
      </c>
      <c r="C261" s="5" t="s">
        <v>294</v>
      </c>
      <c r="D261" s="5">
        <v>14</v>
      </c>
      <c r="E261" s="5">
        <v>11</v>
      </c>
      <c r="F261" s="5">
        <v>11</v>
      </c>
      <c r="G261" s="5">
        <v>13000</v>
      </c>
      <c r="H261" s="5">
        <v>10132.200000000001</v>
      </c>
      <c r="I261" s="5">
        <v>10132.200000000001</v>
      </c>
      <c r="J261" s="27"/>
    </row>
    <row r="262" spans="1:11" ht="135" x14ac:dyDescent="0.25">
      <c r="A262" s="6">
        <v>6</v>
      </c>
      <c r="B262" s="7" t="s">
        <v>296</v>
      </c>
      <c r="C262" s="5" t="s">
        <v>297</v>
      </c>
      <c r="D262" s="5">
        <v>4</v>
      </c>
      <c r="E262" s="5">
        <v>4</v>
      </c>
      <c r="F262" s="5">
        <v>8</v>
      </c>
      <c r="G262" s="5">
        <v>12900</v>
      </c>
      <c r="H262" s="5">
        <v>12900</v>
      </c>
      <c r="I262" s="5">
        <v>12900</v>
      </c>
      <c r="J262" s="27"/>
    </row>
    <row r="263" spans="1:11" ht="150" x14ac:dyDescent="0.25">
      <c r="A263" s="6">
        <v>7</v>
      </c>
      <c r="B263" s="7" t="s">
        <v>298</v>
      </c>
      <c r="C263" s="5" t="s">
        <v>299</v>
      </c>
      <c r="D263" s="5">
        <v>15</v>
      </c>
      <c r="E263" s="5">
        <v>15</v>
      </c>
      <c r="F263" s="5">
        <v>53</v>
      </c>
      <c r="G263" s="5">
        <v>7900</v>
      </c>
      <c r="H263" s="5">
        <v>7900</v>
      </c>
      <c r="I263" s="5">
        <v>7900</v>
      </c>
      <c r="J263" s="30"/>
    </row>
    <row r="264" spans="1:11" ht="30" x14ac:dyDescent="0.25">
      <c r="A264" s="6">
        <v>8</v>
      </c>
      <c r="B264" s="36" t="s">
        <v>300</v>
      </c>
      <c r="C264" s="5"/>
      <c r="D264" s="5"/>
      <c r="E264" s="5"/>
      <c r="F264" s="5"/>
      <c r="G264" s="5">
        <v>12846.4</v>
      </c>
      <c r="H264" s="5">
        <v>12846.4</v>
      </c>
      <c r="I264" s="5">
        <v>12846.4</v>
      </c>
      <c r="J264" s="30"/>
      <c r="K264" s="17"/>
    </row>
    <row r="265" spans="1:11" x14ac:dyDescent="0.25">
      <c r="A265" s="11"/>
      <c r="B265" s="14" t="s">
        <v>10</v>
      </c>
      <c r="C265" s="11"/>
      <c r="D265" s="15"/>
      <c r="E265" s="15"/>
      <c r="F265" s="15" t="s">
        <v>11</v>
      </c>
      <c r="G265" s="11">
        <f>SUM(G257:G264)</f>
        <v>95812.9</v>
      </c>
      <c r="H265" s="11">
        <f>SUM(H257:H264)</f>
        <v>102186.09999999999</v>
      </c>
      <c r="I265" s="11">
        <f>SUM(I257:I264)</f>
        <v>102186.09999999999</v>
      </c>
      <c r="J265" s="28"/>
    </row>
    <row r="266" spans="1:11" ht="14.45" customHeight="1" x14ac:dyDescent="0.25">
      <c r="A266" s="44" t="s">
        <v>301</v>
      </c>
      <c r="B266" s="44"/>
      <c r="C266" s="44"/>
      <c r="D266" s="15"/>
      <c r="E266" s="15"/>
      <c r="F266" s="15" t="s">
        <v>11</v>
      </c>
      <c r="G266" s="11">
        <f>G265+G255+G218+G173+G169+G163+G141+G113+G67+G46+G29+G22+G16+G10</f>
        <v>13964300.357459925</v>
      </c>
      <c r="H266" s="11">
        <f>H265+H255+H218+H173+H169+H163+H141+H113+H67+H46+H29+H22+H16+H10</f>
        <v>14368649.577094637</v>
      </c>
      <c r="I266" s="11">
        <f>I265+I255+I218+I173+I169+I163+I141+I113+I67+I46+I29+I22+I16+I10</f>
        <v>14277371.761094637</v>
      </c>
      <c r="J266" s="27"/>
    </row>
    <row r="267" spans="1:11" ht="21" x14ac:dyDescent="0.35">
      <c r="A267" s="39"/>
      <c r="B267" s="40"/>
      <c r="C267" s="39"/>
      <c r="D267" s="41"/>
      <c r="E267" s="41"/>
      <c r="F267" s="41"/>
      <c r="G267" s="42"/>
      <c r="H267" s="42"/>
      <c r="I267" s="42"/>
    </row>
    <row r="268" spans="1:11" x14ac:dyDescent="0.25">
      <c r="G268" s="23"/>
      <c r="H268" s="23"/>
      <c r="I268" s="23"/>
    </row>
    <row r="269" spans="1:11" x14ac:dyDescent="0.25">
      <c r="G269" s="23"/>
      <c r="H269" s="23"/>
      <c r="I269" s="23"/>
    </row>
    <row r="270" spans="1:11" x14ac:dyDescent="0.25">
      <c r="G270" s="17"/>
      <c r="H270" s="17"/>
      <c r="I270" s="17"/>
      <c r="J270" s="17"/>
    </row>
    <row r="271" spans="1:11" x14ac:dyDescent="0.25">
      <c r="G271" s="17"/>
      <c r="H271" s="17"/>
      <c r="I271" s="17"/>
    </row>
    <row r="272" spans="1:11" x14ac:dyDescent="0.25">
      <c r="G272" s="17"/>
      <c r="H272" s="17"/>
      <c r="I272" s="17"/>
    </row>
  </sheetData>
  <mergeCells count="26">
    <mergeCell ref="A2:I2"/>
    <mergeCell ref="A4:A5"/>
    <mergeCell ref="B4:B5"/>
    <mergeCell ref="C4:C5"/>
    <mergeCell ref="D4:F4"/>
    <mergeCell ref="G4:I4"/>
    <mergeCell ref="A164:I164"/>
    <mergeCell ref="A7:I7"/>
    <mergeCell ref="A11:I11"/>
    <mergeCell ref="A17:I17"/>
    <mergeCell ref="A23:I23"/>
    <mergeCell ref="A30:I30"/>
    <mergeCell ref="A47:I47"/>
    <mergeCell ref="A68:I68"/>
    <mergeCell ref="A109:A110"/>
    <mergeCell ref="B109:B110"/>
    <mergeCell ref="A114:I114"/>
    <mergeCell ref="A142:I142"/>
    <mergeCell ref="A266:C266"/>
    <mergeCell ref="A170:I170"/>
    <mergeCell ref="A174:I174"/>
    <mergeCell ref="A219:I219"/>
    <mergeCell ref="A256:I256"/>
    <mergeCell ref="G257:G258"/>
    <mergeCell ref="H257:H258"/>
    <mergeCell ref="I257:I258"/>
  </mergeCells>
  <pageMargins left="0.78740157480314965" right="0.39370078740157483" top="0.78740157480314965" bottom="0.78740157480314965" header="0.31496062992125984" footer="0.31496062992125984"/>
  <pageSetup paperSize="9" scale="6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 год</vt:lpstr>
      <vt:lpstr>Лист2</vt:lpstr>
      <vt:lpstr>Лист3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2021-03-22T09:43:59Z</dcterms:modified>
</cp:coreProperties>
</file>