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-15" windowWidth="14310" windowHeight="12450" tabRatio="478"/>
  </bookViews>
  <sheets>
    <sheet name="дор.фонд на 01.01.21 (декабрь)" sheetId="14" r:id="rId1"/>
  </sheets>
  <definedNames>
    <definedName name="_xlnm.Print_Titles" localSheetId="0">'дор.фонд на 01.01.21 (декабрь)'!$M:$N,'дор.фонд на 01.01.21 (декабрь)'!$3:$7</definedName>
    <definedName name="_xlnm.Print_Area" localSheetId="0">'дор.фонд на 01.01.21 (декабрь)'!$M$1:$EA$294</definedName>
  </definedNames>
  <calcPr calcId="145621"/>
</workbook>
</file>

<file path=xl/calcChain.xml><?xml version="1.0" encoding="utf-8"?>
<calcChain xmlns="http://schemas.openxmlformats.org/spreadsheetml/2006/main">
  <c r="CD260" i="14" l="1"/>
  <c r="CI260" i="14"/>
  <c r="AB260" i="14"/>
  <c r="CK282" i="14" l="1"/>
  <c r="DA331" i="14" l="1"/>
  <c r="CZ331" i="14"/>
  <c r="CY331" i="14"/>
  <c r="DA329" i="14"/>
  <c r="CZ329" i="14"/>
  <c r="CY329" i="14"/>
  <c r="DA328" i="14"/>
  <c r="CZ328" i="14"/>
  <c r="CY328" i="14"/>
  <c r="DA327" i="14"/>
  <c r="CZ327" i="14"/>
  <c r="CY327" i="14"/>
  <c r="DA326" i="14"/>
  <c r="CZ326" i="14"/>
  <c r="CY326" i="14"/>
  <c r="DA325" i="14"/>
  <c r="CZ325" i="14"/>
  <c r="CY325" i="14"/>
  <c r="DA324" i="14"/>
  <c r="CZ324" i="14"/>
  <c r="CY324" i="14"/>
  <c r="DA323" i="14"/>
  <c r="CZ323" i="14"/>
  <c r="CY323" i="14"/>
  <c r="DA321" i="14"/>
  <c r="CZ321" i="14"/>
  <c r="CY321" i="14"/>
  <c r="DA317" i="14"/>
  <c r="CZ317" i="14"/>
  <c r="CY317" i="14"/>
  <c r="DA315" i="14"/>
  <c r="CZ315" i="14"/>
  <c r="CY315" i="14"/>
  <c r="DA314" i="14"/>
  <c r="CZ314" i="14"/>
  <c r="CY314" i="14"/>
  <c r="DA313" i="14"/>
  <c r="CZ313" i="14"/>
  <c r="CY313" i="14"/>
  <c r="DA312" i="14"/>
  <c r="CZ312" i="14"/>
  <c r="CY312" i="14"/>
  <c r="DA311" i="14"/>
  <c r="CZ311" i="14"/>
  <c r="CY311" i="14"/>
  <c r="DA307" i="14"/>
  <c r="CZ307" i="14"/>
  <c r="CY307" i="14"/>
  <c r="DA306" i="14"/>
  <c r="CZ306" i="14"/>
  <c r="CY306" i="14"/>
  <c r="DA305" i="14"/>
  <c r="CZ305" i="14"/>
  <c r="CY305" i="14"/>
  <c r="DA304" i="14"/>
  <c r="CY304" i="14"/>
  <c r="DA303" i="14"/>
  <c r="CZ303" i="14"/>
  <c r="CY303" i="14"/>
  <c r="DA302" i="14"/>
  <c r="CZ302" i="14"/>
  <c r="CY302" i="14"/>
  <c r="DA301" i="14"/>
  <c r="CY301" i="14"/>
  <c r="DA300" i="14"/>
  <c r="CY300" i="14"/>
  <c r="DA299" i="14"/>
  <c r="CY299" i="14"/>
  <c r="DA298" i="14"/>
  <c r="CY298" i="14"/>
  <c r="DA297" i="14"/>
  <c r="CZ297" i="14"/>
  <c r="CY297" i="14"/>
  <c r="DA293" i="14"/>
  <c r="CZ293" i="14"/>
  <c r="CY293" i="14"/>
  <c r="DA292" i="14"/>
  <c r="CZ292" i="14"/>
  <c r="CY292" i="14"/>
  <c r="DA291" i="14"/>
  <c r="CZ291" i="14"/>
  <c r="DA290" i="14"/>
  <c r="CZ290" i="14"/>
  <c r="CY290" i="14"/>
  <c r="DA289" i="14"/>
  <c r="CZ289" i="14"/>
  <c r="CY289" i="14"/>
  <c r="DA288" i="14"/>
  <c r="CZ288" i="14"/>
  <c r="DA287" i="14"/>
  <c r="CZ287" i="14"/>
  <c r="CY287" i="14"/>
  <c r="DA286" i="14"/>
  <c r="CZ286" i="14"/>
  <c r="CY284" i="14"/>
  <c r="CY281" i="14"/>
  <c r="CY280" i="14"/>
  <c r="CY278" i="14"/>
  <c r="CY275" i="14"/>
  <c r="CY274" i="14"/>
  <c r="CY272" i="14"/>
  <c r="CY271" i="14"/>
  <c r="DA265" i="14"/>
  <c r="CZ265" i="14"/>
  <c r="CY265" i="14"/>
  <c r="DA261" i="14"/>
  <c r="CZ261" i="14"/>
  <c r="CY261" i="14"/>
  <c r="DA259" i="14"/>
  <c r="CY259" i="14"/>
  <c r="DA258" i="14"/>
  <c r="CY258" i="14"/>
  <c r="DA257" i="14"/>
  <c r="CY257" i="14"/>
  <c r="DA256" i="14"/>
  <c r="CY256" i="14"/>
  <c r="DA255" i="14"/>
  <c r="CY255" i="14"/>
  <c r="DA253" i="14"/>
  <c r="CY253" i="14"/>
  <c r="DA252" i="14"/>
  <c r="CY252" i="14"/>
  <c r="DA251" i="14"/>
  <c r="CY251" i="14"/>
  <c r="DA250" i="14"/>
  <c r="CY250" i="14"/>
  <c r="DA249" i="14"/>
  <c r="CY249" i="14"/>
  <c r="DA248" i="14"/>
  <c r="CY248" i="14"/>
  <c r="DA247" i="14"/>
  <c r="CY247" i="14"/>
  <c r="DA246" i="14"/>
  <c r="CY246" i="14"/>
  <c r="DA245" i="14"/>
  <c r="CY245" i="14"/>
  <c r="DA243" i="14"/>
  <c r="CY243" i="14"/>
  <c r="DA242" i="14"/>
  <c r="CY242" i="14"/>
  <c r="DA241" i="14"/>
  <c r="CY241" i="14"/>
  <c r="DA240" i="14"/>
  <c r="CY240" i="14"/>
  <c r="DA239" i="14"/>
  <c r="CY239" i="14"/>
  <c r="DA238" i="14"/>
  <c r="CY238" i="14"/>
  <c r="DA237" i="14"/>
  <c r="CY237" i="14"/>
  <c r="DA236" i="14"/>
  <c r="CY236" i="14"/>
  <c r="DA235" i="14"/>
  <c r="CY235" i="14"/>
  <c r="DA234" i="14"/>
  <c r="CY234" i="14"/>
  <c r="DA233" i="14"/>
  <c r="CY233" i="14"/>
  <c r="DA231" i="14"/>
  <c r="CY231" i="14"/>
  <c r="DA230" i="14"/>
  <c r="CY230" i="14"/>
  <c r="CY229" i="14"/>
  <c r="DA228" i="14"/>
  <c r="CY228" i="14"/>
  <c r="DA227" i="14"/>
  <c r="CY227" i="14"/>
  <c r="DA226" i="14"/>
  <c r="CY226" i="14"/>
  <c r="DA225" i="14"/>
  <c r="CY225" i="14"/>
  <c r="DA224" i="14"/>
  <c r="CY224" i="14"/>
  <c r="DA223" i="14"/>
  <c r="CY223" i="14"/>
  <c r="DA221" i="14"/>
  <c r="CY221" i="14"/>
  <c r="DA220" i="14"/>
  <c r="CY220" i="14"/>
  <c r="DA219" i="14"/>
  <c r="CY219" i="14"/>
  <c r="DA218" i="14"/>
  <c r="CY218" i="14"/>
  <c r="DA217" i="14"/>
  <c r="CY217" i="14"/>
  <c r="DA216" i="14"/>
  <c r="CY216" i="14"/>
  <c r="DA215" i="14"/>
  <c r="CY215" i="14"/>
  <c r="DA214" i="14"/>
  <c r="CY214" i="14"/>
  <c r="DA213" i="14"/>
  <c r="CY213" i="14"/>
  <c r="DA212" i="14"/>
  <c r="CY212" i="14"/>
  <c r="DA211" i="14"/>
  <c r="CY211" i="14"/>
  <c r="DA210" i="14"/>
  <c r="CY210" i="14"/>
  <c r="DA209" i="14"/>
  <c r="CY209" i="14"/>
  <c r="DA208" i="14"/>
  <c r="CY208" i="14"/>
  <c r="DA207" i="14"/>
  <c r="CY207" i="14"/>
  <c r="DA206" i="14"/>
  <c r="CY206" i="14"/>
  <c r="DA204" i="14"/>
  <c r="CY204" i="14"/>
  <c r="DA203" i="14"/>
  <c r="CY203" i="14"/>
  <c r="DA202" i="14"/>
  <c r="CY202" i="14"/>
  <c r="DA201" i="14"/>
  <c r="CY201" i="14"/>
  <c r="DA200" i="14"/>
  <c r="CY200" i="14"/>
  <c r="DA199" i="14"/>
  <c r="CY199" i="14"/>
  <c r="DA198" i="14"/>
  <c r="CY198" i="14"/>
  <c r="DA196" i="14"/>
  <c r="CY196" i="14"/>
  <c r="DA195" i="14"/>
  <c r="CY195" i="14"/>
  <c r="DA194" i="14"/>
  <c r="CY194" i="14"/>
  <c r="DA193" i="14"/>
  <c r="CY193" i="14"/>
  <c r="DA192" i="14"/>
  <c r="CY192" i="14"/>
  <c r="DA191" i="14"/>
  <c r="CY191" i="14"/>
  <c r="DA190" i="14"/>
  <c r="CY190" i="14"/>
  <c r="DA189" i="14"/>
  <c r="CY189" i="14"/>
  <c r="DA188" i="14"/>
  <c r="CY188" i="14"/>
  <c r="DA187" i="14"/>
  <c r="CY187" i="14"/>
  <c r="DA186" i="14"/>
  <c r="CY186" i="14"/>
  <c r="DA185" i="14"/>
  <c r="CY185" i="14"/>
  <c r="DA184" i="14"/>
  <c r="CY184" i="14"/>
  <c r="DA183" i="14"/>
  <c r="CY183" i="14"/>
  <c r="DA182" i="14"/>
  <c r="CY182" i="14"/>
  <c r="DA181" i="14"/>
  <c r="CY181" i="14"/>
  <c r="CY180" i="14"/>
  <c r="DA178" i="14"/>
  <c r="CY178" i="14"/>
  <c r="DA177" i="14"/>
  <c r="CY177" i="14"/>
  <c r="DA176" i="14"/>
  <c r="CY176" i="14"/>
  <c r="DA175" i="14"/>
  <c r="CY175" i="14"/>
  <c r="DA174" i="14"/>
  <c r="CY174" i="14"/>
  <c r="DA173" i="14"/>
  <c r="CY173" i="14"/>
  <c r="DA172" i="14"/>
  <c r="CY172" i="14"/>
  <c r="DA171" i="14"/>
  <c r="CY171" i="14"/>
  <c r="DA170" i="14"/>
  <c r="CY170" i="14"/>
  <c r="DA169" i="14"/>
  <c r="CY169" i="14"/>
  <c r="DA168" i="14"/>
  <c r="CY168" i="14"/>
  <c r="DA167" i="14"/>
  <c r="CY167" i="14"/>
  <c r="DA166" i="14"/>
  <c r="CY166" i="14"/>
  <c r="DA165" i="14"/>
  <c r="CY165" i="14"/>
  <c r="DA164" i="14"/>
  <c r="CY164" i="14"/>
  <c r="DA163" i="14"/>
  <c r="CY163" i="14"/>
  <c r="DA162" i="14"/>
  <c r="CY162" i="14"/>
  <c r="DA160" i="14"/>
  <c r="CY160" i="14"/>
  <c r="DA159" i="14"/>
  <c r="CY159" i="14"/>
  <c r="CY158" i="14"/>
  <c r="DA157" i="14"/>
  <c r="CY157" i="14"/>
  <c r="DA156" i="14"/>
  <c r="CY156" i="14"/>
  <c r="DA155" i="14"/>
  <c r="CY155" i="14"/>
  <c r="DA154" i="14"/>
  <c r="CY154" i="14"/>
  <c r="DA152" i="14"/>
  <c r="CY152" i="14"/>
  <c r="DA151" i="14"/>
  <c r="CY151" i="14"/>
  <c r="DA150" i="14"/>
  <c r="CY150" i="14"/>
  <c r="DA149" i="14"/>
  <c r="CY149" i="14"/>
  <c r="DA148" i="14"/>
  <c r="CY148" i="14"/>
  <c r="DA147" i="14"/>
  <c r="CY147" i="14"/>
  <c r="CY146" i="14"/>
  <c r="DA145" i="14"/>
  <c r="CY145" i="14"/>
  <c r="DA144" i="14"/>
  <c r="CY144" i="14"/>
  <c r="CY143" i="14"/>
  <c r="DA142" i="14"/>
  <c r="CY142" i="14"/>
  <c r="DA141" i="14"/>
  <c r="CY141" i="14"/>
  <c r="DA140" i="14"/>
  <c r="CY140" i="14"/>
  <c r="DA138" i="14"/>
  <c r="CY138" i="14"/>
  <c r="DA137" i="14"/>
  <c r="CY137" i="14"/>
  <c r="DA136" i="14"/>
  <c r="CY136" i="14"/>
  <c r="DA135" i="14"/>
  <c r="CY135" i="14"/>
  <c r="DA134" i="14"/>
  <c r="CY134" i="14"/>
  <c r="DA133" i="14"/>
  <c r="CY133" i="14"/>
  <c r="DA132" i="14"/>
  <c r="CY132" i="14"/>
  <c r="DA131" i="14"/>
  <c r="CY131" i="14"/>
  <c r="DA129" i="14"/>
  <c r="CY129" i="14"/>
  <c r="DA128" i="14"/>
  <c r="CY128" i="14"/>
  <c r="DA127" i="14"/>
  <c r="CY127" i="14"/>
  <c r="DA126" i="14"/>
  <c r="CY126" i="14"/>
  <c r="DA125" i="14"/>
  <c r="CY125" i="14"/>
  <c r="DA124" i="14"/>
  <c r="CY124" i="14"/>
  <c r="DA123" i="14"/>
  <c r="CY123" i="14"/>
  <c r="DA122" i="14"/>
  <c r="CY122" i="14"/>
  <c r="CY121" i="14"/>
  <c r="DA120" i="14"/>
  <c r="CY120" i="14"/>
  <c r="DA119" i="14"/>
  <c r="CY119" i="14"/>
  <c r="DA118" i="14"/>
  <c r="CY118" i="14"/>
  <c r="DA117" i="14"/>
  <c r="CY117" i="14"/>
  <c r="DA115" i="14"/>
  <c r="CY115" i="14"/>
  <c r="DA114" i="14"/>
  <c r="CY114" i="14"/>
  <c r="DA113" i="14"/>
  <c r="CY113" i="14"/>
  <c r="DA112" i="14"/>
  <c r="CY112" i="14"/>
  <c r="DA111" i="14"/>
  <c r="CY111" i="14"/>
  <c r="DA110" i="14"/>
  <c r="CY110" i="14"/>
  <c r="DA109" i="14"/>
  <c r="CY109" i="14"/>
  <c r="DA108" i="14"/>
  <c r="CY108" i="14"/>
  <c r="DA107" i="14"/>
  <c r="CY107" i="14"/>
  <c r="DA106" i="14"/>
  <c r="CY106" i="14"/>
  <c r="DA105" i="14"/>
  <c r="CY105" i="14"/>
  <c r="DA104" i="14"/>
  <c r="CY104" i="14"/>
  <c r="DA103" i="14"/>
  <c r="CY103" i="14"/>
  <c r="DA102" i="14"/>
  <c r="CY102" i="14"/>
  <c r="DA101" i="14"/>
  <c r="CY101" i="14"/>
  <c r="DA100" i="14"/>
  <c r="CY100" i="14"/>
  <c r="DA99" i="14"/>
  <c r="CY99" i="14"/>
  <c r="DA98" i="14"/>
  <c r="CY98" i="14"/>
  <c r="DA97" i="14"/>
  <c r="CY97" i="14"/>
  <c r="DA95" i="14"/>
  <c r="CY95" i="14"/>
  <c r="DA94" i="14"/>
  <c r="CY94" i="14"/>
  <c r="CY93" i="14"/>
  <c r="DA92" i="14"/>
  <c r="CY92" i="14"/>
  <c r="DA91" i="14"/>
  <c r="CY91" i="14"/>
  <c r="DA90" i="14"/>
  <c r="CY90" i="14"/>
  <c r="DA89" i="14"/>
  <c r="CY89" i="14"/>
  <c r="DA88" i="14"/>
  <c r="CY88" i="14"/>
  <c r="DA87" i="14"/>
  <c r="CY87" i="14"/>
  <c r="DA86" i="14"/>
  <c r="CY86" i="14"/>
  <c r="DA85" i="14"/>
  <c r="CY85" i="14"/>
  <c r="DA84" i="14"/>
  <c r="CY84" i="14"/>
  <c r="DA83" i="14"/>
  <c r="CY83" i="14"/>
  <c r="DA82" i="14"/>
  <c r="CY82" i="14"/>
  <c r="DA80" i="14"/>
  <c r="CY80" i="14"/>
  <c r="CY79" i="14"/>
  <c r="DA78" i="14"/>
  <c r="CY78" i="14"/>
  <c r="DA77" i="14"/>
  <c r="DA76" i="14"/>
  <c r="CY76" i="14"/>
  <c r="DA75" i="14"/>
  <c r="CY75" i="14"/>
  <c r="DA74" i="14"/>
  <c r="CY74" i="14"/>
  <c r="DA73" i="14"/>
  <c r="CY73" i="14"/>
  <c r="DA72" i="14"/>
  <c r="CY72" i="14"/>
  <c r="DA71" i="14"/>
  <c r="CY71" i="14"/>
  <c r="DA70" i="14"/>
  <c r="CY70" i="14"/>
  <c r="DA69" i="14"/>
  <c r="CY69" i="14"/>
  <c r="DA68" i="14"/>
  <c r="CY68" i="14"/>
  <c r="DA67" i="14"/>
  <c r="CY67" i="14"/>
  <c r="DA66" i="14"/>
  <c r="CY66" i="14"/>
  <c r="DA65" i="14"/>
  <c r="CY65" i="14"/>
  <c r="CY64" i="14"/>
  <c r="DA63" i="14"/>
  <c r="CY63" i="14"/>
  <c r="DA62" i="14"/>
  <c r="CY62" i="14"/>
  <c r="DA61" i="14"/>
  <c r="CY61" i="14"/>
  <c r="DA60" i="14"/>
  <c r="CY60" i="14"/>
  <c r="DA58" i="14"/>
  <c r="CY58" i="14"/>
  <c r="DA57" i="14"/>
  <c r="CY57" i="14"/>
  <c r="DA56" i="14"/>
  <c r="CY56" i="14"/>
  <c r="DA55" i="14"/>
  <c r="CY55" i="14"/>
  <c r="DA54" i="14"/>
  <c r="CY54" i="14"/>
  <c r="CY53" i="14"/>
  <c r="DA52" i="14"/>
  <c r="CY52" i="14"/>
  <c r="DA51" i="14"/>
  <c r="CY51" i="14"/>
  <c r="CY50" i="14"/>
  <c r="CY49" i="14"/>
  <c r="DA48" i="14"/>
  <c r="CY48" i="14"/>
  <c r="DA47" i="14"/>
  <c r="CY47" i="14"/>
  <c r="DA46" i="14"/>
  <c r="CY46" i="14"/>
  <c r="DA45" i="14"/>
  <c r="CY45" i="14"/>
  <c r="DA44" i="14"/>
  <c r="CY44" i="14"/>
  <c r="DA43" i="14"/>
  <c r="CY43" i="14"/>
  <c r="DA42" i="14"/>
  <c r="CY42" i="14"/>
  <c r="DA40" i="14"/>
  <c r="CY40" i="14"/>
  <c r="DA39" i="14"/>
  <c r="CY39" i="14"/>
  <c r="DA38" i="14"/>
  <c r="CY38" i="14"/>
  <c r="DA37" i="14"/>
  <c r="CY37" i="14"/>
  <c r="DA36" i="14"/>
  <c r="CY36" i="14"/>
  <c r="DA35" i="14"/>
  <c r="CY35" i="14"/>
  <c r="DA34" i="14"/>
  <c r="CY34" i="14"/>
  <c r="DA33" i="14"/>
  <c r="CY33" i="14"/>
  <c r="DA32" i="14"/>
  <c r="CY32" i="14"/>
  <c r="DA31" i="14"/>
  <c r="CY31" i="14"/>
  <c r="DA30" i="14"/>
  <c r="CY30" i="14"/>
  <c r="DA29" i="14"/>
  <c r="CY29" i="14"/>
  <c r="DA28" i="14"/>
  <c r="CY28" i="14"/>
  <c r="DA27" i="14"/>
  <c r="CY27" i="14"/>
  <c r="DA26" i="14"/>
  <c r="CY26" i="14"/>
  <c r="DA25" i="14"/>
  <c r="CY25" i="14"/>
  <c r="DA24" i="14"/>
  <c r="CY24" i="14"/>
  <c r="DA23" i="14"/>
  <c r="CY23" i="14"/>
  <c r="DA21" i="14"/>
  <c r="CY21" i="14"/>
  <c r="DA20" i="14"/>
  <c r="CY20" i="14"/>
  <c r="DA19" i="14"/>
  <c r="CY19" i="14"/>
  <c r="DA18" i="14"/>
  <c r="CY18" i="14"/>
  <c r="DA17" i="14"/>
  <c r="CY17" i="14"/>
  <c r="DA16" i="14"/>
  <c r="CY16" i="14"/>
  <c r="DA15" i="14"/>
  <c r="CY15" i="14"/>
  <c r="DA14" i="14"/>
  <c r="CY14" i="14"/>
  <c r="DA13" i="14"/>
  <c r="CY13" i="14"/>
  <c r="DA12" i="14"/>
  <c r="CY12" i="14"/>
  <c r="DA11" i="14"/>
  <c r="CY11" i="14"/>
  <c r="DA9" i="14"/>
  <c r="CY9" i="14"/>
  <c r="CV331" i="14"/>
  <c r="CU331" i="14"/>
  <c r="CT331" i="14"/>
  <c r="CS331" i="14" s="1"/>
  <c r="CV329" i="14"/>
  <c r="CU329" i="14"/>
  <c r="CT329" i="14"/>
  <c r="CV328" i="14"/>
  <c r="CU328" i="14"/>
  <c r="CT328" i="14"/>
  <c r="CV327" i="14"/>
  <c r="CU327" i="14"/>
  <c r="CT327" i="14"/>
  <c r="CS327" i="14" s="1"/>
  <c r="CV326" i="14"/>
  <c r="CU326" i="14"/>
  <c r="CT326" i="14"/>
  <c r="CV325" i="14"/>
  <c r="CU325" i="14"/>
  <c r="CT325" i="14"/>
  <c r="CS325" i="14" s="1"/>
  <c r="CV324" i="14"/>
  <c r="CU324" i="14"/>
  <c r="CT324" i="14"/>
  <c r="CV323" i="14"/>
  <c r="CU323" i="14"/>
  <c r="CT323" i="14"/>
  <c r="CS323" i="14" s="1"/>
  <c r="CV321" i="14"/>
  <c r="CU321" i="14"/>
  <c r="CT321" i="14"/>
  <c r="CV317" i="14"/>
  <c r="CU317" i="14"/>
  <c r="CT317" i="14"/>
  <c r="CS317" i="14" s="1"/>
  <c r="CV315" i="14"/>
  <c r="CU315" i="14"/>
  <c r="CT315" i="14"/>
  <c r="CS315" i="14" s="1"/>
  <c r="CV314" i="14"/>
  <c r="CU314" i="14"/>
  <c r="CT314" i="14"/>
  <c r="CV313" i="14"/>
  <c r="CU313" i="14"/>
  <c r="CT313" i="14"/>
  <c r="CS313" i="14" s="1"/>
  <c r="CV312" i="14"/>
  <c r="CU312" i="14"/>
  <c r="CT312" i="14"/>
  <c r="CV311" i="14"/>
  <c r="CU311" i="14"/>
  <c r="CT311" i="14"/>
  <c r="CS311" i="14" s="1"/>
  <c r="CV307" i="14"/>
  <c r="CU307" i="14"/>
  <c r="CT307" i="14"/>
  <c r="CV306" i="14"/>
  <c r="CU306" i="14"/>
  <c r="CT306" i="14"/>
  <c r="CS306" i="14" s="1"/>
  <c r="CV305" i="14"/>
  <c r="CU305" i="14"/>
  <c r="CT305" i="14"/>
  <c r="CV304" i="14"/>
  <c r="CT304" i="14"/>
  <c r="CV303" i="14"/>
  <c r="CU303" i="14"/>
  <c r="CT303" i="14"/>
  <c r="CV302" i="14"/>
  <c r="CU302" i="14"/>
  <c r="CT302" i="14"/>
  <c r="CS302" i="14" s="1"/>
  <c r="CV301" i="14"/>
  <c r="CT301" i="14"/>
  <c r="CV300" i="14"/>
  <c r="CT300" i="14"/>
  <c r="CV299" i="14"/>
  <c r="CT299" i="14"/>
  <c r="CV298" i="14"/>
  <c r="CT298" i="14"/>
  <c r="CV297" i="14"/>
  <c r="CU297" i="14"/>
  <c r="CT297" i="14"/>
  <c r="CV293" i="14"/>
  <c r="CU293" i="14"/>
  <c r="CT293" i="14"/>
  <c r="CS293" i="14" s="1"/>
  <c r="CV292" i="14"/>
  <c r="CU292" i="14"/>
  <c r="CT292" i="14"/>
  <c r="CV291" i="14"/>
  <c r="CU291" i="14"/>
  <c r="CV290" i="14"/>
  <c r="CU290" i="14"/>
  <c r="CT290" i="14"/>
  <c r="CV289" i="14"/>
  <c r="CU289" i="14"/>
  <c r="CT289" i="14"/>
  <c r="CS289" i="14" s="1"/>
  <c r="CV288" i="14"/>
  <c r="CU288" i="14"/>
  <c r="CV287" i="14"/>
  <c r="CU287" i="14"/>
  <c r="CT287" i="14"/>
  <c r="CS287" i="14" s="1"/>
  <c r="CV286" i="14"/>
  <c r="CU286" i="14"/>
  <c r="CT284" i="14"/>
  <c r="CS282" i="14"/>
  <c r="CT281" i="14"/>
  <c r="CT280" i="14"/>
  <c r="CT278" i="14"/>
  <c r="CS278" i="14" s="1"/>
  <c r="CT275" i="14"/>
  <c r="CT274" i="14"/>
  <c r="CS274" i="14" s="1"/>
  <c r="CT272" i="14"/>
  <c r="CT271" i="14"/>
  <c r="CS271" i="14" s="1"/>
  <c r="CV265" i="14"/>
  <c r="CU265" i="14"/>
  <c r="CT265" i="14"/>
  <c r="CV261" i="14"/>
  <c r="CU261" i="14"/>
  <c r="CT261" i="14"/>
  <c r="CV259" i="14"/>
  <c r="CT259" i="14"/>
  <c r="CV258" i="14"/>
  <c r="CT258" i="14"/>
  <c r="CV257" i="14"/>
  <c r="CT257" i="14"/>
  <c r="CV256" i="14"/>
  <c r="CT256" i="14"/>
  <c r="CV255" i="14"/>
  <c r="CT255" i="14"/>
  <c r="CV253" i="14"/>
  <c r="CT253" i="14"/>
  <c r="CV252" i="14"/>
  <c r="CT252" i="14"/>
  <c r="CV251" i="14"/>
  <c r="CT251" i="14"/>
  <c r="CV250" i="14"/>
  <c r="CT250" i="14"/>
  <c r="CV249" i="14"/>
  <c r="CT249" i="14"/>
  <c r="CV248" i="14"/>
  <c r="CT248" i="14"/>
  <c r="CV247" i="14"/>
  <c r="CT247" i="14"/>
  <c r="CV246" i="14"/>
  <c r="CT246" i="14"/>
  <c r="CV245" i="14"/>
  <c r="CT245" i="14"/>
  <c r="CV243" i="14"/>
  <c r="CT243" i="14"/>
  <c r="CV242" i="14"/>
  <c r="CT242" i="14"/>
  <c r="CV241" i="14"/>
  <c r="CT241" i="14"/>
  <c r="CV240" i="14"/>
  <c r="CT240" i="14"/>
  <c r="CV239" i="14"/>
  <c r="CT239" i="14"/>
  <c r="CV238" i="14"/>
  <c r="CT238" i="14"/>
  <c r="CV237" i="14"/>
  <c r="CT237" i="14"/>
  <c r="CV236" i="14"/>
  <c r="CT236" i="14"/>
  <c r="CV235" i="14"/>
  <c r="CT235" i="14"/>
  <c r="CV234" i="14"/>
  <c r="CT234" i="14"/>
  <c r="CV233" i="14"/>
  <c r="CT233" i="14"/>
  <c r="CV231" i="14"/>
  <c r="CT231" i="14"/>
  <c r="CV230" i="14"/>
  <c r="CT230" i="14"/>
  <c r="CT229" i="14"/>
  <c r="CV228" i="14"/>
  <c r="CT228" i="14"/>
  <c r="CV227" i="14"/>
  <c r="CT227" i="14"/>
  <c r="CV226" i="14"/>
  <c r="CT226" i="14"/>
  <c r="CV225" i="14"/>
  <c r="CT225" i="14"/>
  <c r="CV224" i="14"/>
  <c r="CT224" i="14"/>
  <c r="CV223" i="14"/>
  <c r="CT223" i="14"/>
  <c r="CV221" i="14"/>
  <c r="CT221" i="14"/>
  <c r="CV220" i="14"/>
  <c r="CT220" i="14"/>
  <c r="CV219" i="14"/>
  <c r="CT219" i="14"/>
  <c r="CV218" i="14"/>
  <c r="CT218" i="14"/>
  <c r="CV217" i="14"/>
  <c r="CT217" i="14"/>
  <c r="CV216" i="14"/>
  <c r="CT216" i="14"/>
  <c r="CV215" i="14"/>
  <c r="CT215" i="14"/>
  <c r="CV214" i="14"/>
  <c r="CT214" i="14"/>
  <c r="CV213" i="14"/>
  <c r="CT213" i="14"/>
  <c r="CV212" i="14"/>
  <c r="CT212" i="14"/>
  <c r="CV211" i="14"/>
  <c r="CT211" i="14"/>
  <c r="CV210" i="14"/>
  <c r="CT210" i="14"/>
  <c r="CV209" i="14"/>
  <c r="CT209" i="14"/>
  <c r="CV208" i="14"/>
  <c r="CT208" i="14"/>
  <c r="CV207" i="14"/>
  <c r="CT207" i="14"/>
  <c r="CV206" i="14"/>
  <c r="CT206" i="14"/>
  <c r="CV204" i="14"/>
  <c r="CT204" i="14"/>
  <c r="CV203" i="14"/>
  <c r="CT203" i="14"/>
  <c r="CV202" i="14"/>
  <c r="CT202" i="14"/>
  <c r="CV201" i="14"/>
  <c r="CT201" i="14"/>
  <c r="CV200" i="14"/>
  <c r="CT200" i="14"/>
  <c r="CV199" i="14"/>
  <c r="CT199" i="14"/>
  <c r="CV198" i="14"/>
  <c r="CT198" i="14"/>
  <c r="CV196" i="14"/>
  <c r="CT196" i="14"/>
  <c r="CV195" i="14"/>
  <c r="CT195" i="14"/>
  <c r="CV194" i="14"/>
  <c r="CT194" i="14"/>
  <c r="CV193" i="14"/>
  <c r="CT193" i="14"/>
  <c r="CV192" i="14"/>
  <c r="CT192" i="14"/>
  <c r="CV191" i="14"/>
  <c r="CT191" i="14"/>
  <c r="CV190" i="14"/>
  <c r="CT190" i="14"/>
  <c r="CV189" i="14"/>
  <c r="CT189" i="14"/>
  <c r="CV188" i="14"/>
  <c r="CT188" i="14"/>
  <c r="CV187" i="14"/>
  <c r="CT187" i="14"/>
  <c r="CV186" i="14"/>
  <c r="CT186" i="14"/>
  <c r="CV185" i="14"/>
  <c r="CT185" i="14"/>
  <c r="CV184" i="14"/>
  <c r="CT184" i="14"/>
  <c r="CV183" i="14"/>
  <c r="CT183" i="14"/>
  <c r="CV182" i="14"/>
  <c r="CT182" i="14"/>
  <c r="CV181" i="14"/>
  <c r="CT181" i="14"/>
  <c r="CT180" i="14"/>
  <c r="CV178" i="14"/>
  <c r="CT178" i="14"/>
  <c r="CV177" i="14"/>
  <c r="CT177" i="14"/>
  <c r="CV176" i="14"/>
  <c r="CT176" i="14"/>
  <c r="CV175" i="14"/>
  <c r="CT175" i="14"/>
  <c r="CV174" i="14"/>
  <c r="CT174" i="14"/>
  <c r="CV173" i="14"/>
  <c r="CT173" i="14"/>
  <c r="CV172" i="14"/>
  <c r="CT172" i="14"/>
  <c r="CV171" i="14"/>
  <c r="CT171" i="14"/>
  <c r="CV170" i="14"/>
  <c r="CT170" i="14"/>
  <c r="CV169" i="14"/>
  <c r="CT169" i="14"/>
  <c r="CV168" i="14"/>
  <c r="CT168" i="14"/>
  <c r="CV167" i="14"/>
  <c r="CT167" i="14"/>
  <c r="CV166" i="14"/>
  <c r="CT166" i="14"/>
  <c r="CV165" i="14"/>
  <c r="CT165" i="14"/>
  <c r="CV164" i="14"/>
  <c r="CT164" i="14"/>
  <c r="CV163" i="14"/>
  <c r="CT163" i="14"/>
  <c r="CV162" i="14"/>
  <c r="CT162" i="14"/>
  <c r="CV160" i="14"/>
  <c r="CT160" i="14"/>
  <c r="CV159" i="14"/>
  <c r="CT159" i="14"/>
  <c r="CT158" i="14"/>
  <c r="CV157" i="14"/>
  <c r="CT157" i="14"/>
  <c r="CV156" i="14"/>
  <c r="CT156" i="14"/>
  <c r="CV155" i="14"/>
  <c r="CT155" i="14"/>
  <c r="CV154" i="14"/>
  <c r="CT154" i="14"/>
  <c r="CV152" i="14"/>
  <c r="CT152" i="14"/>
  <c r="CV151" i="14"/>
  <c r="CT151" i="14"/>
  <c r="CV150" i="14"/>
  <c r="CT150" i="14"/>
  <c r="CV149" i="14"/>
  <c r="CT149" i="14"/>
  <c r="CV148" i="14"/>
  <c r="CT148" i="14"/>
  <c r="CV147" i="14"/>
  <c r="CT147" i="14"/>
  <c r="CT146" i="14"/>
  <c r="CV145" i="14"/>
  <c r="CT145" i="14"/>
  <c r="CV144" i="14"/>
  <c r="CT144" i="14"/>
  <c r="CT143" i="14"/>
  <c r="CV142" i="14"/>
  <c r="CT142" i="14"/>
  <c r="CV141" i="14"/>
  <c r="CT141" i="14"/>
  <c r="CV140" i="14"/>
  <c r="CT140" i="14"/>
  <c r="CV138" i="14"/>
  <c r="CT138" i="14"/>
  <c r="CV137" i="14"/>
  <c r="CT137" i="14"/>
  <c r="CV136" i="14"/>
  <c r="CT136" i="14"/>
  <c r="CV135" i="14"/>
  <c r="CT135" i="14"/>
  <c r="CV134" i="14"/>
  <c r="CT134" i="14"/>
  <c r="CV133" i="14"/>
  <c r="CT133" i="14"/>
  <c r="CV132" i="14"/>
  <c r="CT132" i="14"/>
  <c r="CV131" i="14"/>
  <c r="CT131" i="14"/>
  <c r="CV129" i="14"/>
  <c r="CT129" i="14"/>
  <c r="CV128" i="14"/>
  <c r="CT128" i="14"/>
  <c r="CV127" i="14"/>
  <c r="CT127" i="14"/>
  <c r="CV126" i="14"/>
  <c r="CT126" i="14"/>
  <c r="CV125" i="14"/>
  <c r="CT125" i="14"/>
  <c r="CV124" i="14"/>
  <c r="CT124" i="14"/>
  <c r="CV123" i="14"/>
  <c r="CT123" i="14"/>
  <c r="CV122" i="14"/>
  <c r="CT122" i="14"/>
  <c r="CT121" i="14"/>
  <c r="CV120" i="14"/>
  <c r="CT120" i="14"/>
  <c r="CV119" i="14"/>
  <c r="CT119" i="14"/>
  <c r="CV118" i="14"/>
  <c r="CT118" i="14"/>
  <c r="CV117" i="14"/>
  <c r="CT117" i="14"/>
  <c r="CV115" i="14"/>
  <c r="CT115" i="14"/>
  <c r="CV114" i="14"/>
  <c r="CT114" i="14"/>
  <c r="CV113" i="14"/>
  <c r="CT113" i="14"/>
  <c r="CV112" i="14"/>
  <c r="CT112" i="14"/>
  <c r="CV111" i="14"/>
  <c r="CT111" i="14"/>
  <c r="CV110" i="14"/>
  <c r="CT110" i="14"/>
  <c r="CV109" i="14"/>
  <c r="CT109" i="14"/>
  <c r="CV108" i="14"/>
  <c r="CT108" i="14"/>
  <c r="CV107" i="14"/>
  <c r="CT107" i="14"/>
  <c r="CV106" i="14"/>
  <c r="CT106" i="14"/>
  <c r="CV105" i="14"/>
  <c r="CT105" i="14"/>
  <c r="CV104" i="14"/>
  <c r="CT104" i="14"/>
  <c r="CV103" i="14"/>
  <c r="CT103" i="14"/>
  <c r="CV102" i="14"/>
  <c r="CT102" i="14"/>
  <c r="CV101" i="14"/>
  <c r="CT101" i="14"/>
  <c r="CV100" i="14"/>
  <c r="CT100" i="14"/>
  <c r="CV99" i="14"/>
  <c r="CT99" i="14"/>
  <c r="CV98" i="14"/>
  <c r="CT98" i="14"/>
  <c r="CV97" i="14"/>
  <c r="CT97" i="14"/>
  <c r="CV95" i="14"/>
  <c r="CT95" i="14"/>
  <c r="CV94" i="14"/>
  <c r="CT94" i="14"/>
  <c r="CT93" i="14"/>
  <c r="CV92" i="14"/>
  <c r="CT92" i="14"/>
  <c r="CV91" i="14"/>
  <c r="CT91" i="14"/>
  <c r="CV90" i="14"/>
  <c r="CT90" i="14"/>
  <c r="CV89" i="14"/>
  <c r="CT89" i="14"/>
  <c r="CV88" i="14"/>
  <c r="CT88" i="14"/>
  <c r="CV87" i="14"/>
  <c r="CT87" i="14"/>
  <c r="CV86" i="14"/>
  <c r="CT86" i="14"/>
  <c r="CV85" i="14"/>
  <c r="CT85" i="14"/>
  <c r="CV84" i="14"/>
  <c r="CT84" i="14"/>
  <c r="CV83" i="14"/>
  <c r="CT83" i="14"/>
  <c r="CV82" i="14"/>
  <c r="CT82" i="14"/>
  <c r="CV80" i="14"/>
  <c r="CT80" i="14"/>
  <c r="CT79" i="14"/>
  <c r="CV78" i="14"/>
  <c r="CT78" i="14"/>
  <c r="CV77" i="14"/>
  <c r="CV76" i="14"/>
  <c r="CT76" i="14"/>
  <c r="CV75" i="14"/>
  <c r="CT75" i="14"/>
  <c r="CV74" i="14"/>
  <c r="CT74" i="14"/>
  <c r="CV73" i="14"/>
  <c r="CT73" i="14"/>
  <c r="CV72" i="14"/>
  <c r="CT72" i="14"/>
  <c r="CV71" i="14"/>
  <c r="CT71" i="14"/>
  <c r="CV70" i="14"/>
  <c r="CT70" i="14"/>
  <c r="CV69" i="14"/>
  <c r="CT69" i="14"/>
  <c r="CV68" i="14"/>
  <c r="CT68" i="14"/>
  <c r="CV67" i="14"/>
  <c r="CT67" i="14"/>
  <c r="CV66" i="14"/>
  <c r="CT66" i="14"/>
  <c r="CV65" i="14"/>
  <c r="CT65" i="14"/>
  <c r="CT64" i="14"/>
  <c r="CV63" i="14"/>
  <c r="CT63" i="14"/>
  <c r="CV62" i="14"/>
  <c r="CT62" i="14"/>
  <c r="CV61" i="14"/>
  <c r="CT61" i="14"/>
  <c r="CV60" i="14"/>
  <c r="CT60" i="14"/>
  <c r="CV58" i="14"/>
  <c r="CT58" i="14"/>
  <c r="CV57" i="14"/>
  <c r="CT57" i="14"/>
  <c r="CV56" i="14"/>
  <c r="CT56" i="14"/>
  <c r="CV55" i="14"/>
  <c r="CT55" i="14"/>
  <c r="CV54" i="14"/>
  <c r="CT54" i="14"/>
  <c r="CT53" i="14"/>
  <c r="CV52" i="14"/>
  <c r="CT52" i="14"/>
  <c r="CV51" i="14"/>
  <c r="CT51" i="14"/>
  <c r="CT50" i="14"/>
  <c r="CT49" i="14"/>
  <c r="CV48" i="14"/>
  <c r="CT48" i="14"/>
  <c r="CV47" i="14"/>
  <c r="CT47" i="14"/>
  <c r="CV46" i="14"/>
  <c r="CT46" i="14"/>
  <c r="CV45" i="14"/>
  <c r="CT45" i="14"/>
  <c r="CV44" i="14"/>
  <c r="CT44" i="14"/>
  <c r="CV43" i="14"/>
  <c r="CT43" i="14"/>
  <c r="CV42" i="14"/>
  <c r="CT42" i="14"/>
  <c r="CV40" i="14"/>
  <c r="CT40" i="14"/>
  <c r="CV39" i="14"/>
  <c r="CT39" i="14"/>
  <c r="CV38" i="14"/>
  <c r="CT38" i="14"/>
  <c r="CV37" i="14"/>
  <c r="CT37" i="14"/>
  <c r="CV36" i="14"/>
  <c r="CT36" i="14"/>
  <c r="CV35" i="14"/>
  <c r="CT35" i="14"/>
  <c r="CV34" i="14"/>
  <c r="CT34" i="14"/>
  <c r="CV33" i="14"/>
  <c r="CT33" i="14"/>
  <c r="CV32" i="14"/>
  <c r="CT32" i="14"/>
  <c r="CV31" i="14"/>
  <c r="CT31" i="14"/>
  <c r="CV30" i="14"/>
  <c r="CT30" i="14"/>
  <c r="CV29" i="14"/>
  <c r="CT29" i="14"/>
  <c r="CV28" i="14"/>
  <c r="CT28" i="14"/>
  <c r="CV27" i="14"/>
  <c r="CT27" i="14"/>
  <c r="CV26" i="14"/>
  <c r="CT26" i="14"/>
  <c r="CV25" i="14"/>
  <c r="CT25" i="14"/>
  <c r="CV24" i="14"/>
  <c r="CT24" i="14"/>
  <c r="CV23" i="14"/>
  <c r="CT23" i="14"/>
  <c r="CV21" i="14"/>
  <c r="CT21" i="14"/>
  <c r="CV20" i="14"/>
  <c r="CT20" i="14"/>
  <c r="CV19" i="14"/>
  <c r="CT19" i="14"/>
  <c r="CV18" i="14"/>
  <c r="CT18" i="14"/>
  <c r="CV17" i="14"/>
  <c r="CT17" i="14"/>
  <c r="CV16" i="14"/>
  <c r="CT16" i="14"/>
  <c r="CV15" i="14"/>
  <c r="CT15" i="14"/>
  <c r="CV14" i="14"/>
  <c r="CT14" i="14"/>
  <c r="CV13" i="14"/>
  <c r="CT13" i="14"/>
  <c r="CV12" i="14"/>
  <c r="CT12" i="14"/>
  <c r="CV11" i="14"/>
  <c r="CT11" i="14"/>
  <c r="CV9" i="14"/>
  <c r="CT9" i="14"/>
  <c r="BK293" i="14"/>
  <c r="BJ293" i="14"/>
  <c r="BI293" i="14"/>
  <c r="BG293" i="14"/>
  <c r="BK292" i="14"/>
  <c r="BJ292" i="14"/>
  <c r="BI292" i="14"/>
  <c r="BH292" i="14" s="1"/>
  <c r="BG292" i="14"/>
  <c r="BK291" i="14"/>
  <c r="BJ291" i="14"/>
  <c r="BI291" i="14"/>
  <c r="BK290" i="14"/>
  <c r="BJ290" i="14"/>
  <c r="BI290" i="14"/>
  <c r="BH290" i="14" s="1"/>
  <c r="BG290" i="14"/>
  <c r="BK289" i="14"/>
  <c r="BJ289" i="14"/>
  <c r="BI289" i="14"/>
  <c r="BG289" i="14"/>
  <c r="BK288" i="14"/>
  <c r="BJ288" i="14"/>
  <c r="BI288" i="14"/>
  <c r="BH288" i="14" s="1"/>
  <c r="BK287" i="14"/>
  <c r="BJ287" i="14"/>
  <c r="BI287" i="14"/>
  <c r="BG287" i="14"/>
  <c r="BK286" i="14"/>
  <c r="BJ286" i="14"/>
  <c r="BI286" i="14"/>
  <c r="BH286" i="14" s="1"/>
  <c r="BG286" i="14"/>
  <c r="BG284" i="14"/>
  <c r="BK281" i="14"/>
  <c r="BJ281" i="14"/>
  <c r="BI281" i="14"/>
  <c r="BG281" i="14"/>
  <c r="BK280" i="14"/>
  <c r="BJ280" i="14"/>
  <c r="BI280" i="14"/>
  <c r="BG280" i="14"/>
  <c r="BK279" i="14"/>
  <c r="BJ279" i="14"/>
  <c r="BI279" i="14"/>
  <c r="BK278" i="14"/>
  <c r="BJ278" i="14"/>
  <c r="BI278" i="14"/>
  <c r="BG278" i="14"/>
  <c r="BK277" i="14"/>
  <c r="BJ277" i="14"/>
  <c r="BI277" i="14"/>
  <c r="BG275" i="14"/>
  <c r="BG274" i="14"/>
  <c r="BG272" i="14"/>
  <c r="BG271" i="14"/>
  <c r="BG269" i="14"/>
  <c r="BK265" i="14"/>
  <c r="BJ265" i="14"/>
  <c r="BI265" i="14"/>
  <c r="BG265" i="14"/>
  <c r="BJ263" i="14"/>
  <c r="BI263" i="14"/>
  <c r="BK261" i="14"/>
  <c r="BJ261" i="14"/>
  <c r="BI261" i="14"/>
  <c r="BG261" i="14"/>
  <c r="BK259" i="14"/>
  <c r="BJ259" i="14"/>
  <c r="BG259" i="14"/>
  <c r="BK258" i="14"/>
  <c r="BJ258" i="14"/>
  <c r="BI258" i="14"/>
  <c r="BH258" i="14" s="1"/>
  <c r="BG258" i="14"/>
  <c r="BK257" i="14"/>
  <c r="BJ257" i="14"/>
  <c r="BI257" i="14"/>
  <c r="BG257" i="14"/>
  <c r="BK256" i="14"/>
  <c r="BG256" i="14"/>
  <c r="BK255" i="14"/>
  <c r="BG255" i="14"/>
  <c r="BK254" i="14"/>
  <c r="BJ254" i="14"/>
  <c r="BI254" i="14"/>
  <c r="BH254" i="14" s="1"/>
  <c r="BK253" i="14"/>
  <c r="BJ253" i="14"/>
  <c r="BI253" i="14"/>
  <c r="BG253" i="14"/>
  <c r="BK252" i="14"/>
  <c r="BG252" i="14"/>
  <c r="BK251" i="14"/>
  <c r="BJ251" i="14"/>
  <c r="BI251" i="14"/>
  <c r="BG251" i="14"/>
  <c r="BK250" i="14"/>
  <c r="BJ250" i="14"/>
  <c r="BI250" i="14"/>
  <c r="BG250" i="14"/>
  <c r="BK249" i="14"/>
  <c r="BG249" i="14"/>
  <c r="BK248" i="14"/>
  <c r="BJ248" i="14"/>
  <c r="BI248" i="14"/>
  <c r="BG248" i="14"/>
  <c r="BK247" i="14"/>
  <c r="BJ247" i="14"/>
  <c r="BI247" i="14"/>
  <c r="BG247" i="14"/>
  <c r="BK246" i="14"/>
  <c r="BJ246" i="14"/>
  <c r="BI246" i="14"/>
  <c r="BG246" i="14"/>
  <c r="BK245" i="14"/>
  <c r="BJ245" i="14"/>
  <c r="BI245" i="14"/>
  <c r="BG245" i="14"/>
  <c r="BK243" i="14"/>
  <c r="BI243" i="14"/>
  <c r="BG243" i="14"/>
  <c r="BK242" i="14"/>
  <c r="BJ242" i="14"/>
  <c r="BI242" i="14"/>
  <c r="BG242" i="14"/>
  <c r="BK241" i="14"/>
  <c r="BJ241" i="14"/>
  <c r="BI241" i="14"/>
  <c r="BG241" i="14"/>
  <c r="BK240" i="14"/>
  <c r="BJ240" i="14"/>
  <c r="BI240" i="14"/>
  <c r="BG240" i="14"/>
  <c r="BK239" i="14"/>
  <c r="BJ239" i="14"/>
  <c r="BI239" i="14"/>
  <c r="BG239" i="14"/>
  <c r="BK238" i="14"/>
  <c r="BJ238" i="14"/>
  <c r="BI238" i="14"/>
  <c r="BH238" i="14"/>
  <c r="BG238" i="14"/>
  <c r="BK237" i="14"/>
  <c r="BJ237" i="14"/>
  <c r="BI237" i="14"/>
  <c r="BH237" i="14" s="1"/>
  <c r="BG237" i="14"/>
  <c r="BK236" i="14"/>
  <c r="BJ236" i="14"/>
  <c r="BG236" i="14"/>
  <c r="BK235" i="14"/>
  <c r="BJ235" i="14"/>
  <c r="BI235" i="14"/>
  <c r="BG235" i="14"/>
  <c r="BK234" i="14"/>
  <c r="BJ234" i="14"/>
  <c r="BI234" i="14"/>
  <c r="BH234" i="14" s="1"/>
  <c r="BG234" i="14"/>
  <c r="BK233" i="14"/>
  <c r="BJ233" i="14"/>
  <c r="BI233" i="14"/>
  <c r="BG233" i="14"/>
  <c r="BK231" i="14"/>
  <c r="BG231" i="14"/>
  <c r="BK230" i="14"/>
  <c r="BJ230" i="14"/>
  <c r="BI230" i="14"/>
  <c r="BH230" i="14" s="1"/>
  <c r="BG230" i="14"/>
  <c r="BJ229" i="14"/>
  <c r="BI229" i="14"/>
  <c r="BG229" i="14"/>
  <c r="BK228" i="14"/>
  <c r="BG228" i="14"/>
  <c r="BK227" i="14"/>
  <c r="BJ227" i="14"/>
  <c r="BI227" i="14"/>
  <c r="BG227" i="14"/>
  <c r="BK226" i="14"/>
  <c r="BJ226" i="14"/>
  <c r="BI226" i="14"/>
  <c r="BH226" i="14" s="1"/>
  <c r="BG226" i="14"/>
  <c r="BK225" i="14"/>
  <c r="BJ225" i="14"/>
  <c r="BI225" i="14"/>
  <c r="BG225" i="14"/>
  <c r="BK224" i="14"/>
  <c r="BJ224" i="14"/>
  <c r="BI224" i="14"/>
  <c r="BH224" i="14" s="1"/>
  <c r="BG224" i="14"/>
  <c r="BK223" i="14"/>
  <c r="BJ223" i="14"/>
  <c r="BI223" i="14"/>
  <c r="BG223" i="14"/>
  <c r="BK221" i="14"/>
  <c r="BG221" i="14"/>
  <c r="BK220" i="14"/>
  <c r="BJ220" i="14"/>
  <c r="BI220" i="14"/>
  <c r="BH220" i="14" s="1"/>
  <c r="BG220" i="14"/>
  <c r="BK219" i="14"/>
  <c r="BJ219" i="14"/>
  <c r="BI219" i="14"/>
  <c r="BG219" i="14"/>
  <c r="BK218" i="14"/>
  <c r="BJ218" i="14"/>
  <c r="BI218" i="14"/>
  <c r="BH218" i="14" s="1"/>
  <c r="BG218" i="14"/>
  <c r="BK217" i="14"/>
  <c r="BJ217" i="14"/>
  <c r="BG217" i="14"/>
  <c r="BK216" i="14"/>
  <c r="BJ216" i="14"/>
  <c r="BI216" i="14"/>
  <c r="BH216" i="14" s="1"/>
  <c r="BG216" i="14"/>
  <c r="BK215" i="14"/>
  <c r="BJ215" i="14"/>
  <c r="BI215" i="14"/>
  <c r="BG215" i="14"/>
  <c r="BK214" i="14"/>
  <c r="BJ214" i="14"/>
  <c r="BI214" i="14"/>
  <c r="BH214" i="14" s="1"/>
  <c r="BG214" i="14"/>
  <c r="BK213" i="14"/>
  <c r="BJ213" i="14"/>
  <c r="BI213" i="14"/>
  <c r="BG213" i="14"/>
  <c r="BK212" i="14"/>
  <c r="BG212" i="14"/>
  <c r="BK211" i="14"/>
  <c r="BJ211" i="14"/>
  <c r="BI211" i="14"/>
  <c r="BG211" i="14"/>
  <c r="BK210" i="14"/>
  <c r="BJ210" i="14"/>
  <c r="BG210" i="14"/>
  <c r="BK209" i="14"/>
  <c r="BJ209" i="14"/>
  <c r="BI209" i="14"/>
  <c r="BG209" i="14"/>
  <c r="BK208" i="14"/>
  <c r="BJ208" i="14"/>
  <c r="BI208" i="14"/>
  <c r="BH208" i="14" s="1"/>
  <c r="BG208" i="14"/>
  <c r="BK207" i="14"/>
  <c r="BJ207" i="14"/>
  <c r="BI207" i="14"/>
  <c r="BG207" i="14"/>
  <c r="BK206" i="14"/>
  <c r="BJ206" i="14"/>
  <c r="BG206" i="14"/>
  <c r="BK204" i="14"/>
  <c r="BJ204" i="14"/>
  <c r="BI204" i="14"/>
  <c r="BH204" i="14"/>
  <c r="BG204" i="14"/>
  <c r="BK203" i="14"/>
  <c r="BJ203" i="14"/>
  <c r="BI203" i="14"/>
  <c r="BH203" i="14" s="1"/>
  <c r="BF203" i="14" s="1"/>
  <c r="BG203" i="14"/>
  <c r="BK202" i="14"/>
  <c r="BJ202" i="14"/>
  <c r="BI202" i="14"/>
  <c r="BH202" i="14" s="1"/>
  <c r="BG202" i="14"/>
  <c r="BK201" i="14"/>
  <c r="BJ201" i="14"/>
  <c r="BG201" i="14"/>
  <c r="BK200" i="14"/>
  <c r="BJ200" i="14"/>
  <c r="BI200" i="14"/>
  <c r="BH200" i="14"/>
  <c r="BG200" i="14"/>
  <c r="BK199" i="14"/>
  <c r="BJ199" i="14"/>
  <c r="BI199" i="14"/>
  <c r="BG199" i="14"/>
  <c r="BK198" i="14"/>
  <c r="BJ198" i="14"/>
  <c r="BI198" i="14"/>
  <c r="BH198" i="14" s="1"/>
  <c r="BG198" i="14"/>
  <c r="BK196" i="14"/>
  <c r="BJ196" i="14"/>
  <c r="BI196" i="14"/>
  <c r="BH196" i="14" s="1"/>
  <c r="BG196" i="14"/>
  <c r="BK195" i="14"/>
  <c r="BJ195" i="14"/>
  <c r="BI195" i="14"/>
  <c r="BG195" i="14"/>
  <c r="BK194" i="14"/>
  <c r="BJ194" i="14"/>
  <c r="BI194" i="14"/>
  <c r="BH194" i="14"/>
  <c r="BG194" i="14"/>
  <c r="BK193" i="14"/>
  <c r="BJ193" i="14"/>
  <c r="BI193" i="14"/>
  <c r="BG193" i="14"/>
  <c r="BK192" i="14"/>
  <c r="BG192" i="14"/>
  <c r="BK191" i="14"/>
  <c r="BJ191" i="14"/>
  <c r="BI191" i="14"/>
  <c r="BG191" i="14"/>
  <c r="BK190" i="14"/>
  <c r="BG190" i="14"/>
  <c r="BK189" i="14"/>
  <c r="BJ189" i="14"/>
  <c r="BI189" i="14"/>
  <c r="BG189" i="14"/>
  <c r="BK188" i="14"/>
  <c r="BJ188" i="14"/>
  <c r="BG188" i="14"/>
  <c r="BK187" i="14"/>
  <c r="BJ187" i="14"/>
  <c r="BI187" i="14"/>
  <c r="BG187" i="14"/>
  <c r="BK186" i="14"/>
  <c r="BJ186" i="14"/>
  <c r="BG186" i="14"/>
  <c r="BK185" i="14"/>
  <c r="BJ185" i="14"/>
  <c r="BI185" i="14"/>
  <c r="BG185" i="14"/>
  <c r="BK184" i="14"/>
  <c r="BJ184" i="14"/>
  <c r="BI184" i="14"/>
  <c r="BH184" i="14" s="1"/>
  <c r="BG184" i="14"/>
  <c r="BK183" i="14"/>
  <c r="BJ183" i="14"/>
  <c r="BI183" i="14"/>
  <c r="BG183" i="14"/>
  <c r="BK182" i="14"/>
  <c r="BJ182" i="14"/>
  <c r="BI182" i="14"/>
  <c r="BH182" i="14"/>
  <c r="BG182" i="14"/>
  <c r="BK181" i="14"/>
  <c r="BJ181" i="14"/>
  <c r="BI181" i="14"/>
  <c r="BG181" i="14"/>
  <c r="BK180" i="14"/>
  <c r="BJ180" i="14"/>
  <c r="BI180" i="14"/>
  <c r="BH180" i="14" s="1"/>
  <c r="BG180" i="14"/>
  <c r="BK178" i="14"/>
  <c r="BJ178" i="14"/>
  <c r="BI178" i="14"/>
  <c r="BH178" i="14"/>
  <c r="BG178" i="14"/>
  <c r="BK177" i="14"/>
  <c r="BJ177" i="14"/>
  <c r="BI177" i="14"/>
  <c r="BG177" i="14"/>
  <c r="BK176" i="14"/>
  <c r="BJ176" i="14"/>
  <c r="BI176" i="14"/>
  <c r="BH176" i="14" s="1"/>
  <c r="BG176" i="14"/>
  <c r="BK175" i="14"/>
  <c r="BJ175" i="14"/>
  <c r="BI175" i="14"/>
  <c r="BG175" i="14"/>
  <c r="BK174" i="14"/>
  <c r="BJ174" i="14"/>
  <c r="BI174" i="14"/>
  <c r="BH174" i="14"/>
  <c r="BG174" i="14"/>
  <c r="BK173" i="14"/>
  <c r="BG173" i="14"/>
  <c r="BK172" i="14"/>
  <c r="BJ172" i="14"/>
  <c r="BI172" i="14"/>
  <c r="BH172" i="14" s="1"/>
  <c r="BG172" i="14"/>
  <c r="BK171" i="14"/>
  <c r="BJ171" i="14"/>
  <c r="BI171" i="14"/>
  <c r="BG171" i="14"/>
  <c r="BK170" i="14"/>
  <c r="BJ170" i="14"/>
  <c r="BI170" i="14"/>
  <c r="BH170" i="14"/>
  <c r="BG170" i="14"/>
  <c r="BK169" i="14"/>
  <c r="BG169" i="14"/>
  <c r="BK168" i="14"/>
  <c r="BJ168" i="14"/>
  <c r="BI168" i="14"/>
  <c r="BH168" i="14" s="1"/>
  <c r="BG168" i="14"/>
  <c r="BK167" i="14"/>
  <c r="BJ167" i="14"/>
  <c r="BI167" i="14"/>
  <c r="BG167" i="14"/>
  <c r="BK166" i="14"/>
  <c r="BG166" i="14"/>
  <c r="BK165" i="14"/>
  <c r="BJ165" i="14"/>
  <c r="BI165" i="14"/>
  <c r="BG165" i="14"/>
  <c r="BK164" i="14"/>
  <c r="BJ164" i="14"/>
  <c r="BI164" i="14"/>
  <c r="BH164" i="14" s="1"/>
  <c r="BG164" i="14"/>
  <c r="BK163" i="14"/>
  <c r="BJ163" i="14"/>
  <c r="BI163" i="14"/>
  <c r="BG163" i="14"/>
  <c r="BK162" i="14"/>
  <c r="BJ162" i="14"/>
  <c r="BI162" i="14"/>
  <c r="BH162" i="14"/>
  <c r="BG162" i="14"/>
  <c r="BK160" i="14"/>
  <c r="BJ160" i="14"/>
  <c r="BI160" i="14"/>
  <c r="BH160" i="14" s="1"/>
  <c r="BG160" i="14"/>
  <c r="BK159" i="14"/>
  <c r="BJ159" i="14"/>
  <c r="BI159" i="14"/>
  <c r="BG159" i="14"/>
  <c r="BK158" i="14"/>
  <c r="BG158" i="14"/>
  <c r="BK157" i="14"/>
  <c r="BJ157" i="14"/>
  <c r="BI157" i="14"/>
  <c r="BG157" i="14"/>
  <c r="BK156" i="14"/>
  <c r="BJ156" i="14"/>
  <c r="BG156" i="14"/>
  <c r="BK155" i="14"/>
  <c r="BJ155" i="14"/>
  <c r="BI155" i="14"/>
  <c r="BG155" i="14"/>
  <c r="BK154" i="14"/>
  <c r="BJ154" i="14"/>
  <c r="BI154" i="14"/>
  <c r="BH154" i="14"/>
  <c r="BG154" i="14"/>
  <c r="BK152" i="14"/>
  <c r="BJ152" i="14"/>
  <c r="BI152" i="14"/>
  <c r="BH152" i="14" s="1"/>
  <c r="BG152" i="14"/>
  <c r="BK151" i="14"/>
  <c r="BJ151" i="14"/>
  <c r="BI151" i="14"/>
  <c r="BK150" i="14"/>
  <c r="BJ150" i="14"/>
  <c r="BG150" i="14"/>
  <c r="BK149" i="14"/>
  <c r="BJ149" i="14"/>
  <c r="BG149" i="14"/>
  <c r="BK148" i="14"/>
  <c r="BJ148" i="14"/>
  <c r="BI148" i="14"/>
  <c r="BH148" i="14" s="1"/>
  <c r="BG148" i="14"/>
  <c r="BK147" i="14"/>
  <c r="BJ147" i="14"/>
  <c r="BI147" i="14"/>
  <c r="BG147" i="14"/>
  <c r="BK146" i="14"/>
  <c r="BJ146" i="14"/>
  <c r="BI146" i="14"/>
  <c r="BG146" i="14"/>
  <c r="BK145" i="14"/>
  <c r="BJ145" i="14"/>
  <c r="BI145" i="14"/>
  <c r="BG145" i="14"/>
  <c r="BK144" i="14"/>
  <c r="BJ144" i="14"/>
  <c r="BG144" i="14"/>
  <c r="BK143" i="14"/>
  <c r="BG143" i="14"/>
  <c r="BK142" i="14"/>
  <c r="BJ142" i="14"/>
  <c r="BI142" i="14"/>
  <c r="BH142" i="14" s="1"/>
  <c r="BG142" i="14"/>
  <c r="BK141" i="14"/>
  <c r="BJ141" i="14"/>
  <c r="BI141" i="14"/>
  <c r="BH141" i="14" s="1"/>
  <c r="BG141" i="14"/>
  <c r="BK140" i="14"/>
  <c r="BJ140" i="14"/>
  <c r="BI140" i="14"/>
  <c r="BG140" i="14"/>
  <c r="BK138" i="14"/>
  <c r="BJ138" i="14"/>
  <c r="BI138" i="14"/>
  <c r="BH138" i="14" s="1"/>
  <c r="BG138" i="14"/>
  <c r="BK137" i="14"/>
  <c r="BJ137" i="14"/>
  <c r="BI137" i="14"/>
  <c r="BH137" i="14" s="1"/>
  <c r="BG137" i="14"/>
  <c r="BK136" i="14"/>
  <c r="BI136" i="14"/>
  <c r="BG136" i="14"/>
  <c r="BK135" i="14"/>
  <c r="BJ135" i="14"/>
  <c r="BI135" i="14"/>
  <c r="BH135" i="14" s="1"/>
  <c r="BG135" i="14"/>
  <c r="BK134" i="14"/>
  <c r="BJ134" i="14"/>
  <c r="BG134" i="14"/>
  <c r="BK133" i="14"/>
  <c r="BJ133" i="14"/>
  <c r="BI133" i="14"/>
  <c r="BG133" i="14"/>
  <c r="BK132" i="14"/>
  <c r="BJ132" i="14"/>
  <c r="BI132" i="14"/>
  <c r="BG132" i="14"/>
  <c r="BK131" i="14"/>
  <c r="BJ131" i="14"/>
  <c r="BI131" i="14"/>
  <c r="BH131" i="14"/>
  <c r="BG131" i="14"/>
  <c r="BK129" i="14"/>
  <c r="BJ129" i="14"/>
  <c r="BI129" i="14"/>
  <c r="BH129" i="14" s="1"/>
  <c r="BG129" i="14"/>
  <c r="BK128" i="14"/>
  <c r="BJ128" i="14"/>
  <c r="BI128" i="14"/>
  <c r="BG128" i="14"/>
  <c r="BK127" i="14"/>
  <c r="BJ127" i="14"/>
  <c r="BI127" i="14"/>
  <c r="BH127" i="14" s="1"/>
  <c r="BG127" i="14"/>
  <c r="BK126" i="14"/>
  <c r="BJ126" i="14"/>
  <c r="BI126" i="14"/>
  <c r="BG126" i="14"/>
  <c r="BK125" i="14"/>
  <c r="BJ125" i="14"/>
  <c r="BI125" i="14"/>
  <c r="BG125" i="14"/>
  <c r="BK124" i="14"/>
  <c r="BJ124" i="14"/>
  <c r="BI124" i="14"/>
  <c r="BG124" i="14"/>
  <c r="BK123" i="14"/>
  <c r="BG123" i="14"/>
  <c r="BK122" i="14"/>
  <c r="BJ122" i="14"/>
  <c r="BI122" i="14"/>
  <c r="BK121" i="14"/>
  <c r="BG121" i="14"/>
  <c r="BK120" i="14"/>
  <c r="BJ120" i="14"/>
  <c r="BI120" i="14"/>
  <c r="BG120" i="14"/>
  <c r="BK119" i="14"/>
  <c r="BJ119" i="14"/>
  <c r="BI119" i="14"/>
  <c r="BH119" i="14" s="1"/>
  <c r="BG119" i="14"/>
  <c r="BK118" i="14"/>
  <c r="BJ118" i="14"/>
  <c r="BI118" i="14"/>
  <c r="BG118" i="14"/>
  <c r="BK117" i="14"/>
  <c r="BJ117" i="14"/>
  <c r="BI117" i="14"/>
  <c r="BG117" i="14"/>
  <c r="BK115" i="14"/>
  <c r="BJ115" i="14"/>
  <c r="BI115" i="14"/>
  <c r="BG115" i="14"/>
  <c r="BK114" i="14"/>
  <c r="BJ114" i="14"/>
  <c r="BI114" i="14"/>
  <c r="BG114" i="14"/>
  <c r="BK113" i="14"/>
  <c r="BI113" i="14"/>
  <c r="BG113" i="14"/>
  <c r="BK112" i="14"/>
  <c r="BI112" i="14"/>
  <c r="BG112" i="14"/>
  <c r="BK111" i="14"/>
  <c r="BJ111" i="14"/>
  <c r="BI111" i="14"/>
  <c r="BH111" i="14"/>
  <c r="BK110" i="14"/>
  <c r="BG110" i="14"/>
  <c r="BK109" i="14"/>
  <c r="BJ109" i="14"/>
  <c r="BI109" i="14"/>
  <c r="BH109" i="14" s="1"/>
  <c r="BG109" i="14"/>
  <c r="BK108" i="14"/>
  <c r="BJ108" i="14"/>
  <c r="BI108" i="14"/>
  <c r="BG108" i="14"/>
  <c r="BK107" i="14"/>
  <c r="BG107" i="14"/>
  <c r="BK106" i="14"/>
  <c r="BJ106" i="14"/>
  <c r="BI106" i="14"/>
  <c r="BG106" i="14"/>
  <c r="BK105" i="14"/>
  <c r="BJ105" i="14"/>
  <c r="BI105" i="14"/>
  <c r="BH105" i="14" s="1"/>
  <c r="BG105" i="14"/>
  <c r="BK104" i="14"/>
  <c r="BJ104" i="14"/>
  <c r="BI104" i="14"/>
  <c r="BG104" i="14"/>
  <c r="BK103" i="14"/>
  <c r="BJ103" i="14"/>
  <c r="BI103" i="14"/>
  <c r="BH103" i="14" s="1"/>
  <c r="BG103" i="14"/>
  <c r="BK102" i="14"/>
  <c r="BJ102" i="14"/>
  <c r="BI102" i="14"/>
  <c r="BG102" i="14"/>
  <c r="BK101" i="14"/>
  <c r="BI101" i="14"/>
  <c r="BG101" i="14"/>
  <c r="BK100" i="14"/>
  <c r="BJ100" i="14"/>
  <c r="BI100" i="14"/>
  <c r="BG100" i="14"/>
  <c r="BK99" i="14"/>
  <c r="BI99" i="14"/>
  <c r="BG99" i="14"/>
  <c r="BK98" i="14"/>
  <c r="BJ98" i="14"/>
  <c r="BI98" i="14"/>
  <c r="BG98" i="14"/>
  <c r="BK97" i="14"/>
  <c r="BJ97" i="14"/>
  <c r="BI97" i="14"/>
  <c r="BG97" i="14"/>
  <c r="BK95" i="14"/>
  <c r="BJ95" i="14"/>
  <c r="BI95" i="14"/>
  <c r="BH95" i="14"/>
  <c r="BG95" i="14"/>
  <c r="BK94" i="14"/>
  <c r="BJ94" i="14"/>
  <c r="BI94" i="14"/>
  <c r="BH94" i="14" s="1"/>
  <c r="BG94" i="14"/>
  <c r="BK93" i="14"/>
  <c r="BG93" i="14"/>
  <c r="BK92" i="14"/>
  <c r="BG92" i="14"/>
  <c r="BK91" i="14"/>
  <c r="BG91" i="14"/>
  <c r="BK90" i="14"/>
  <c r="BJ90" i="14"/>
  <c r="BI90" i="14"/>
  <c r="BG90" i="14"/>
  <c r="BK89" i="14"/>
  <c r="BJ89" i="14"/>
  <c r="BI89" i="14"/>
  <c r="BH89" i="14" s="1"/>
  <c r="BG89" i="14"/>
  <c r="BK88" i="14"/>
  <c r="BG88" i="14"/>
  <c r="BK87" i="14"/>
  <c r="BJ87" i="14"/>
  <c r="BG87" i="14"/>
  <c r="BK86" i="14"/>
  <c r="BJ86" i="14"/>
  <c r="BI86" i="14"/>
  <c r="BG86" i="14"/>
  <c r="BK85" i="14"/>
  <c r="BJ85" i="14"/>
  <c r="BI85" i="14"/>
  <c r="BG85" i="14"/>
  <c r="BK84" i="14"/>
  <c r="BJ84" i="14"/>
  <c r="BG84" i="14"/>
  <c r="BK83" i="14"/>
  <c r="BJ83" i="14"/>
  <c r="BI83" i="14"/>
  <c r="BG83" i="14"/>
  <c r="BK82" i="14"/>
  <c r="BJ82" i="14"/>
  <c r="BG82" i="14"/>
  <c r="BK80" i="14"/>
  <c r="BJ80" i="14"/>
  <c r="BI80" i="14"/>
  <c r="BG80" i="14"/>
  <c r="BK79" i="14"/>
  <c r="BJ79" i="14"/>
  <c r="BI79" i="14"/>
  <c r="BH79" i="14"/>
  <c r="BG79" i="14"/>
  <c r="BK78" i="14"/>
  <c r="BJ78" i="14"/>
  <c r="BI78" i="14"/>
  <c r="BH78" i="14" s="1"/>
  <c r="BG78" i="14"/>
  <c r="BK77" i="14"/>
  <c r="BJ77" i="14"/>
  <c r="BI77" i="14"/>
  <c r="BH77" i="14" s="1"/>
  <c r="BK76" i="14"/>
  <c r="BG76" i="14"/>
  <c r="BK75" i="14"/>
  <c r="BJ75" i="14"/>
  <c r="BG75" i="14"/>
  <c r="BK74" i="14"/>
  <c r="BJ74" i="14"/>
  <c r="BI74" i="14"/>
  <c r="BG74" i="14"/>
  <c r="BK73" i="14"/>
  <c r="BJ73" i="14"/>
  <c r="BI73" i="14"/>
  <c r="BH73" i="14" s="1"/>
  <c r="BG73" i="14"/>
  <c r="BK72" i="14"/>
  <c r="BJ72" i="14"/>
  <c r="BI72" i="14"/>
  <c r="BG72" i="14"/>
  <c r="BK71" i="14"/>
  <c r="BJ71" i="14"/>
  <c r="BI71" i="14"/>
  <c r="BH71" i="14" s="1"/>
  <c r="BG71" i="14"/>
  <c r="BK70" i="14"/>
  <c r="BJ70" i="14"/>
  <c r="BI70" i="14"/>
  <c r="BG70" i="14"/>
  <c r="BK69" i="14"/>
  <c r="BJ69" i="14"/>
  <c r="BI69" i="14"/>
  <c r="BG69" i="14"/>
  <c r="BK68" i="14"/>
  <c r="BJ68" i="14"/>
  <c r="BI68" i="14"/>
  <c r="BG68" i="14"/>
  <c r="BK67" i="14"/>
  <c r="BG67" i="14"/>
  <c r="BK66" i="14"/>
  <c r="BJ66" i="14"/>
  <c r="BH66" i="14" s="1"/>
  <c r="BI66" i="14"/>
  <c r="BG66" i="14"/>
  <c r="BF66" i="14" s="1"/>
  <c r="BK65" i="14"/>
  <c r="BJ65" i="14"/>
  <c r="BI65" i="14"/>
  <c r="BH65" i="14" s="1"/>
  <c r="BG65" i="14"/>
  <c r="BG64" i="14"/>
  <c r="BK63" i="14"/>
  <c r="BJ63" i="14"/>
  <c r="BG63" i="14"/>
  <c r="BK62" i="14"/>
  <c r="BG62" i="14"/>
  <c r="BK61" i="14"/>
  <c r="BJ61" i="14"/>
  <c r="BI61" i="14"/>
  <c r="BH61" i="14"/>
  <c r="BG61" i="14"/>
  <c r="BK60" i="14"/>
  <c r="BJ60" i="14"/>
  <c r="BG60" i="14"/>
  <c r="BK58" i="14"/>
  <c r="BJ58" i="14"/>
  <c r="BI58" i="14"/>
  <c r="BG58" i="14"/>
  <c r="BK57" i="14"/>
  <c r="BI57" i="14"/>
  <c r="BG57" i="14"/>
  <c r="BK56" i="14"/>
  <c r="BG56" i="14"/>
  <c r="BK55" i="14"/>
  <c r="BG55" i="14"/>
  <c r="BK54" i="14"/>
  <c r="BJ54" i="14"/>
  <c r="BI54" i="14"/>
  <c r="BG54" i="14"/>
  <c r="BK53" i="14"/>
  <c r="BG53" i="14"/>
  <c r="BK52" i="14"/>
  <c r="BJ52" i="14"/>
  <c r="BI52" i="14"/>
  <c r="BG52" i="14"/>
  <c r="BK51" i="14"/>
  <c r="BJ51" i="14"/>
  <c r="BI51" i="14"/>
  <c r="BH51" i="14" s="1"/>
  <c r="BG51" i="14"/>
  <c r="BK50" i="14"/>
  <c r="BJ50" i="14"/>
  <c r="BG50" i="14"/>
  <c r="BK49" i="14"/>
  <c r="BJ49" i="14"/>
  <c r="BI49" i="14"/>
  <c r="BH49" i="14" s="1"/>
  <c r="BG49" i="14"/>
  <c r="BK48" i="14"/>
  <c r="BJ48" i="14"/>
  <c r="BI48" i="14"/>
  <c r="BG48" i="14"/>
  <c r="BK47" i="14"/>
  <c r="BJ47" i="14"/>
  <c r="BI47" i="14"/>
  <c r="BG47" i="14"/>
  <c r="BK46" i="14"/>
  <c r="BJ46" i="14"/>
  <c r="BH46" i="14" s="1"/>
  <c r="BI46" i="14"/>
  <c r="BG46" i="14"/>
  <c r="BJ45" i="14"/>
  <c r="BI45" i="14"/>
  <c r="BH45" i="14"/>
  <c r="BG45" i="14"/>
  <c r="BK44" i="14"/>
  <c r="BJ44" i="14"/>
  <c r="BI44" i="14"/>
  <c r="BH44" i="14" s="1"/>
  <c r="BG44" i="14"/>
  <c r="BK43" i="14"/>
  <c r="BJ43" i="14"/>
  <c r="BI43" i="14"/>
  <c r="BG43" i="14"/>
  <c r="BK42" i="14"/>
  <c r="BJ42" i="14"/>
  <c r="BI42" i="14"/>
  <c r="BG42" i="14"/>
  <c r="BK40" i="14"/>
  <c r="BJ40" i="14"/>
  <c r="BI40" i="14"/>
  <c r="BH40" i="14" s="1"/>
  <c r="BF40" i="14" s="1"/>
  <c r="BG40" i="14"/>
  <c r="BK39" i="14"/>
  <c r="BJ39" i="14"/>
  <c r="BI39" i="14"/>
  <c r="BH39" i="14" s="1"/>
  <c r="BG39" i="14"/>
  <c r="BK38" i="14"/>
  <c r="BJ38" i="14"/>
  <c r="BI38" i="14"/>
  <c r="BG38" i="14"/>
  <c r="BK37" i="14"/>
  <c r="BJ37" i="14"/>
  <c r="BI37" i="14"/>
  <c r="BH37" i="14"/>
  <c r="BG37" i="14"/>
  <c r="BK36" i="14"/>
  <c r="BJ36" i="14"/>
  <c r="BI36" i="14"/>
  <c r="BH36" i="14" s="1"/>
  <c r="BF36" i="14" s="1"/>
  <c r="BG36" i="14"/>
  <c r="BK35" i="14"/>
  <c r="BJ35" i="14"/>
  <c r="BI35" i="14"/>
  <c r="BH35" i="14" s="1"/>
  <c r="BG35" i="14"/>
  <c r="BK34" i="14"/>
  <c r="BJ34" i="14"/>
  <c r="BI34" i="14"/>
  <c r="BG34" i="14"/>
  <c r="BK33" i="14"/>
  <c r="BJ33" i="14"/>
  <c r="BI33" i="14"/>
  <c r="BH33" i="14"/>
  <c r="BG33" i="14"/>
  <c r="BK32" i="14"/>
  <c r="BJ32" i="14"/>
  <c r="BI32" i="14"/>
  <c r="BH32" i="14" s="1"/>
  <c r="BF32" i="14" s="1"/>
  <c r="BG32" i="14"/>
  <c r="BK31" i="14"/>
  <c r="BJ31" i="14"/>
  <c r="BI31" i="14"/>
  <c r="BH31" i="14" s="1"/>
  <c r="BG31" i="14"/>
  <c r="BK30" i="14"/>
  <c r="BJ30" i="14"/>
  <c r="BI30" i="14"/>
  <c r="BG30" i="14"/>
  <c r="BK29" i="14"/>
  <c r="BJ29" i="14"/>
  <c r="BI29" i="14"/>
  <c r="BH29" i="14"/>
  <c r="BG29" i="14"/>
  <c r="BK28" i="14"/>
  <c r="BJ28" i="14"/>
  <c r="BI28" i="14"/>
  <c r="BH28" i="14" s="1"/>
  <c r="BF28" i="14" s="1"/>
  <c r="BG28" i="14"/>
  <c r="BK27" i="14"/>
  <c r="BJ27" i="14"/>
  <c r="BG27" i="14"/>
  <c r="BK26" i="14"/>
  <c r="BJ26" i="14"/>
  <c r="BI26" i="14"/>
  <c r="BG26" i="14"/>
  <c r="BK25" i="14"/>
  <c r="BJ25" i="14"/>
  <c r="BI25" i="14"/>
  <c r="BH25" i="14"/>
  <c r="BG25" i="14"/>
  <c r="BK24" i="14"/>
  <c r="BJ24" i="14"/>
  <c r="BI24" i="14"/>
  <c r="BH24" i="14" s="1"/>
  <c r="BF24" i="14" s="1"/>
  <c r="BG24" i="14"/>
  <c r="BK23" i="14"/>
  <c r="BJ23" i="14"/>
  <c r="BI23" i="14"/>
  <c r="BH23" i="14" s="1"/>
  <c r="BG23" i="14"/>
  <c r="BK21" i="14"/>
  <c r="BJ21" i="14"/>
  <c r="BI21" i="14"/>
  <c r="BH21" i="14"/>
  <c r="BG21" i="14"/>
  <c r="BK20" i="14"/>
  <c r="BJ20" i="14"/>
  <c r="BI20" i="14"/>
  <c r="BH20" i="14" s="1"/>
  <c r="BF20" i="14" s="1"/>
  <c r="BG20" i="14"/>
  <c r="BK19" i="14"/>
  <c r="BJ19" i="14"/>
  <c r="BI19" i="14"/>
  <c r="BH19" i="14" s="1"/>
  <c r="BG19" i="14"/>
  <c r="BK18" i="14"/>
  <c r="BJ18" i="14"/>
  <c r="BI18" i="14"/>
  <c r="BG18" i="14"/>
  <c r="BK17" i="14"/>
  <c r="BG17" i="14"/>
  <c r="BK16" i="14"/>
  <c r="BJ16" i="14"/>
  <c r="BI16" i="14"/>
  <c r="BH16" i="14" s="1"/>
  <c r="BF16" i="14" s="1"/>
  <c r="BG16" i="14"/>
  <c r="BK15" i="14"/>
  <c r="BJ15" i="14"/>
  <c r="BG15" i="14"/>
  <c r="BK14" i="14"/>
  <c r="BJ14" i="14"/>
  <c r="BI14" i="14"/>
  <c r="BG14" i="14"/>
  <c r="BK13" i="14"/>
  <c r="BJ13" i="14"/>
  <c r="BI13" i="14"/>
  <c r="BH13" i="14"/>
  <c r="BG13" i="14"/>
  <c r="BK12" i="14"/>
  <c r="BJ12" i="14"/>
  <c r="BI12" i="14"/>
  <c r="BH12" i="14" s="1"/>
  <c r="BF12" i="14" s="1"/>
  <c r="BG12" i="14"/>
  <c r="BK11" i="14"/>
  <c r="BG11" i="14"/>
  <c r="BK9" i="14"/>
  <c r="BG9" i="14"/>
  <c r="BL9" i="14"/>
  <c r="BL8" i="14" s="1"/>
  <c r="BL11" i="14"/>
  <c r="BL12" i="14"/>
  <c r="BL13" i="14"/>
  <c r="BL14" i="14"/>
  <c r="BL15" i="14"/>
  <c r="BL16" i="14"/>
  <c r="BL17" i="14"/>
  <c r="BL18" i="14"/>
  <c r="BL19" i="14"/>
  <c r="BL20" i="14"/>
  <c r="BL21" i="14"/>
  <c r="BL23" i="14"/>
  <c r="BL24" i="14"/>
  <c r="BL25" i="14"/>
  <c r="BL26" i="14"/>
  <c r="BL27" i="14"/>
  <c r="BL28" i="14"/>
  <c r="BL29" i="14"/>
  <c r="BL30" i="14"/>
  <c r="BL31" i="14"/>
  <c r="BL32" i="14"/>
  <c r="BL33" i="14"/>
  <c r="BL34" i="14"/>
  <c r="BL35" i="14"/>
  <c r="BL36" i="14"/>
  <c r="BL37" i="14"/>
  <c r="BL38" i="14"/>
  <c r="BL39" i="14"/>
  <c r="BL40" i="14"/>
  <c r="BL42" i="14"/>
  <c r="BL43" i="14"/>
  <c r="BL44" i="14"/>
  <c r="BL45" i="14"/>
  <c r="BL46" i="14"/>
  <c r="BL47" i="14"/>
  <c r="BL48" i="14"/>
  <c r="BL49" i="14"/>
  <c r="BL50" i="14"/>
  <c r="BL51" i="14"/>
  <c r="BL52" i="14"/>
  <c r="BL53" i="14"/>
  <c r="BL54" i="14"/>
  <c r="BL55" i="14"/>
  <c r="BL56" i="14"/>
  <c r="BL57" i="14"/>
  <c r="BL58" i="14"/>
  <c r="BL60" i="14"/>
  <c r="BL61" i="14"/>
  <c r="BL62" i="14"/>
  <c r="BL63" i="14"/>
  <c r="BL64" i="14"/>
  <c r="BL65" i="14"/>
  <c r="BL66" i="14"/>
  <c r="BL67" i="14"/>
  <c r="BL68" i="14"/>
  <c r="BL69" i="14"/>
  <c r="BL70" i="14"/>
  <c r="BL71" i="14"/>
  <c r="BL72" i="14"/>
  <c r="BL73" i="14"/>
  <c r="BL74" i="14"/>
  <c r="BL75" i="14"/>
  <c r="BL76" i="14"/>
  <c r="BL77" i="14"/>
  <c r="BL78" i="14"/>
  <c r="BL79" i="14"/>
  <c r="BL80" i="14"/>
  <c r="BL82" i="14"/>
  <c r="BL83" i="14"/>
  <c r="BL84" i="14"/>
  <c r="BL85" i="14"/>
  <c r="BL86" i="14"/>
  <c r="BL87" i="14"/>
  <c r="BL88" i="14"/>
  <c r="BL89" i="14"/>
  <c r="BL90" i="14"/>
  <c r="BL91" i="14"/>
  <c r="BL92" i="14"/>
  <c r="BL93" i="14"/>
  <c r="BL94" i="14"/>
  <c r="BL95" i="14"/>
  <c r="BL97" i="14"/>
  <c r="BL98" i="14"/>
  <c r="BL99" i="14"/>
  <c r="BL100" i="14"/>
  <c r="BL101" i="14"/>
  <c r="BL102" i="14"/>
  <c r="BL103" i="14"/>
  <c r="BL104" i="14"/>
  <c r="BL105" i="14"/>
  <c r="BL106" i="14"/>
  <c r="BL107" i="14"/>
  <c r="BL108" i="14"/>
  <c r="BL109" i="14"/>
  <c r="BL110" i="14"/>
  <c r="BL111" i="14"/>
  <c r="BL112" i="14"/>
  <c r="BL113" i="14"/>
  <c r="BL114" i="14"/>
  <c r="BL115" i="14"/>
  <c r="BL117" i="14"/>
  <c r="BL118" i="14"/>
  <c r="BL119" i="14"/>
  <c r="BL120" i="14"/>
  <c r="BL121" i="14"/>
  <c r="BL122" i="14"/>
  <c r="BL123" i="14"/>
  <c r="BL124" i="14"/>
  <c r="BL125" i="14"/>
  <c r="BL126" i="14"/>
  <c r="BL127" i="14"/>
  <c r="BL128" i="14"/>
  <c r="BL129" i="14"/>
  <c r="BL131" i="14"/>
  <c r="BL132" i="14"/>
  <c r="BL133" i="14"/>
  <c r="BL134" i="14"/>
  <c r="BL135" i="14"/>
  <c r="BL136" i="14"/>
  <c r="BL137" i="14"/>
  <c r="BL138" i="14"/>
  <c r="BL140" i="14"/>
  <c r="BL141" i="14"/>
  <c r="BL142" i="14"/>
  <c r="BL143" i="14"/>
  <c r="BL144" i="14"/>
  <c r="BL145" i="14"/>
  <c r="BL146" i="14"/>
  <c r="BL147" i="14"/>
  <c r="BL148" i="14"/>
  <c r="BL149" i="14"/>
  <c r="BL150" i="14"/>
  <c r="BL151" i="14"/>
  <c r="BL152" i="14"/>
  <c r="BL154" i="14"/>
  <c r="BL153" i="14" s="1"/>
  <c r="BL155" i="14"/>
  <c r="BL156" i="14"/>
  <c r="BL157" i="14"/>
  <c r="BL158" i="14"/>
  <c r="BL159" i="14"/>
  <c r="BL160" i="14"/>
  <c r="BL162" i="14"/>
  <c r="BL163" i="14"/>
  <c r="BL164" i="14"/>
  <c r="BL165" i="14"/>
  <c r="BL166" i="14"/>
  <c r="BL167" i="14"/>
  <c r="BL168" i="14"/>
  <c r="BL169" i="14"/>
  <c r="BL170" i="14"/>
  <c r="BL171" i="14"/>
  <c r="BL172" i="14"/>
  <c r="BL173" i="14"/>
  <c r="BL174" i="14"/>
  <c r="BL175" i="14"/>
  <c r="BL176" i="14"/>
  <c r="BL177" i="14"/>
  <c r="BL178" i="14"/>
  <c r="BL180" i="14"/>
  <c r="BL181" i="14"/>
  <c r="BL182" i="14"/>
  <c r="BL183" i="14"/>
  <c r="BL184" i="14"/>
  <c r="BL185" i="14"/>
  <c r="BL186" i="14"/>
  <c r="BL187" i="14"/>
  <c r="BL188" i="14"/>
  <c r="BL189" i="14"/>
  <c r="BL190" i="14"/>
  <c r="BL191" i="14"/>
  <c r="BL192" i="14"/>
  <c r="BL193" i="14"/>
  <c r="BL194" i="14"/>
  <c r="BL195" i="14"/>
  <c r="BL196" i="14"/>
  <c r="BL198" i="14"/>
  <c r="BL199" i="14"/>
  <c r="BL200" i="14"/>
  <c r="BL201" i="14"/>
  <c r="BL202" i="14"/>
  <c r="BL203" i="14"/>
  <c r="BL204" i="14"/>
  <c r="BL206" i="14"/>
  <c r="BL205" i="14" s="1"/>
  <c r="BL207" i="14"/>
  <c r="BL208" i="14"/>
  <c r="BL209" i="14"/>
  <c r="BL210" i="14"/>
  <c r="BL211" i="14"/>
  <c r="BL212" i="14"/>
  <c r="BL213" i="14"/>
  <c r="BL214" i="14"/>
  <c r="BL215" i="14"/>
  <c r="BL216" i="14"/>
  <c r="BL217" i="14"/>
  <c r="BL218" i="14"/>
  <c r="BL219" i="14"/>
  <c r="BL220" i="14"/>
  <c r="BL221" i="14"/>
  <c r="BL223" i="14"/>
  <c r="BL224" i="14"/>
  <c r="BL225" i="14"/>
  <c r="BL226" i="14"/>
  <c r="BL227" i="14"/>
  <c r="BL228" i="14"/>
  <c r="BL229" i="14"/>
  <c r="BL230" i="14"/>
  <c r="BL231" i="14"/>
  <c r="BL233" i="14"/>
  <c r="BL234" i="14"/>
  <c r="BL235" i="14"/>
  <c r="BL236" i="14"/>
  <c r="BL237" i="14"/>
  <c r="BL238" i="14"/>
  <c r="BL239" i="14"/>
  <c r="BL240" i="14"/>
  <c r="BL241" i="14"/>
  <c r="BL242" i="14"/>
  <c r="BL243" i="14"/>
  <c r="BL245" i="14"/>
  <c r="BL246" i="14"/>
  <c r="BL247" i="14"/>
  <c r="BL248" i="14"/>
  <c r="BL249" i="14"/>
  <c r="BL250" i="14"/>
  <c r="BL251" i="14"/>
  <c r="BL252" i="14"/>
  <c r="BL253" i="14"/>
  <c r="BL254" i="14"/>
  <c r="BL255" i="14"/>
  <c r="BL256" i="14"/>
  <c r="BL257" i="14"/>
  <c r="BL258" i="14"/>
  <c r="BL259" i="14"/>
  <c r="BL261" i="14"/>
  <c r="BL298" i="14"/>
  <c r="BL299" i="14"/>
  <c r="BL309" i="14" s="1"/>
  <c r="BL319" i="14" s="1"/>
  <c r="BL333" i="14" s="1"/>
  <c r="BL300" i="14"/>
  <c r="BL301" i="14"/>
  <c r="BL302" i="14"/>
  <c r="BL303" i="14"/>
  <c r="BL304" i="14"/>
  <c r="BL305" i="14"/>
  <c r="BL316" i="14"/>
  <c r="BL330" i="14"/>
  <c r="BL197" i="14" l="1"/>
  <c r="BL161" i="14"/>
  <c r="BL130" i="14"/>
  <c r="BL41" i="14"/>
  <c r="BF13" i="14"/>
  <c r="BH14" i="14"/>
  <c r="BF14" i="14" s="1"/>
  <c r="BH18" i="14"/>
  <c r="BF18" i="14" s="1"/>
  <c r="BF21" i="14"/>
  <c r="BF25" i="14"/>
  <c r="BH26" i="14"/>
  <c r="BF26" i="14" s="1"/>
  <c r="BF29" i="14"/>
  <c r="BH30" i="14"/>
  <c r="BF30" i="14" s="1"/>
  <c r="BF33" i="14"/>
  <c r="BH34" i="14"/>
  <c r="BF34" i="14" s="1"/>
  <c r="BF37" i="14"/>
  <c r="BH38" i="14"/>
  <c r="BF38" i="14" s="1"/>
  <c r="BF44" i="14"/>
  <c r="BF46" i="14"/>
  <c r="BH47" i="14"/>
  <c r="BH48" i="14"/>
  <c r="BH52" i="14"/>
  <c r="BF52" i="14" s="1"/>
  <c r="BH68" i="14"/>
  <c r="BH70" i="14"/>
  <c r="BF73" i="14"/>
  <c r="BH85" i="14"/>
  <c r="BH86" i="14"/>
  <c r="BF89" i="14"/>
  <c r="BH97" i="14"/>
  <c r="BH102" i="14"/>
  <c r="BF105" i="14"/>
  <c r="BH115" i="14"/>
  <c r="BH117" i="14"/>
  <c r="BH118" i="14"/>
  <c r="BH125" i="14"/>
  <c r="BH126" i="14"/>
  <c r="BH133" i="14"/>
  <c r="BF138" i="14"/>
  <c r="BH145" i="14"/>
  <c r="BH146" i="14"/>
  <c r="BH147" i="14"/>
  <c r="BF154" i="14"/>
  <c r="BH159" i="14"/>
  <c r="BF159" i="14" s="1"/>
  <c r="BF162" i="14"/>
  <c r="BF170" i="14"/>
  <c r="BH171" i="14"/>
  <c r="BF171" i="14" s="1"/>
  <c r="BF174" i="14"/>
  <c r="BH175" i="14"/>
  <c r="BF175" i="14" s="1"/>
  <c r="BF178" i="14"/>
  <c r="BF182" i="14"/>
  <c r="BH187" i="14"/>
  <c r="BF187" i="14" s="1"/>
  <c r="BH191" i="14"/>
  <c r="BF191" i="14" s="1"/>
  <c r="BF194" i="14"/>
  <c r="BH207" i="14"/>
  <c r="BF207" i="14" s="1"/>
  <c r="BF216" i="14"/>
  <c r="BH242" i="14"/>
  <c r="BH248" i="14"/>
  <c r="BH250" i="14"/>
  <c r="BH253" i="14"/>
  <c r="BH278" i="14"/>
  <c r="BH280" i="14"/>
  <c r="BF19" i="14"/>
  <c r="BF23" i="14"/>
  <c r="BF31" i="14"/>
  <c r="BF35" i="14"/>
  <c r="BF39" i="14"/>
  <c r="BF48" i="14"/>
  <c r="BF68" i="14"/>
  <c r="BF97" i="14"/>
  <c r="BF146" i="14"/>
  <c r="BF147" i="14"/>
  <c r="BF202" i="14"/>
  <c r="BF248" i="14"/>
  <c r="BF280" i="14"/>
  <c r="CS290" i="14"/>
  <c r="CS297" i="14"/>
  <c r="CS303" i="14"/>
  <c r="CS305" i="14"/>
  <c r="CS307" i="14"/>
  <c r="CS314" i="14"/>
  <c r="CS321" i="14"/>
  <c r="CS326" i="14"/>
  <c r="CS275" i="14"/>
  <c r="BL244" i="14"/>
  <c r="BH246" i="14"/>
  <c r="BF246" i="14" s="1"/>
  <c r="BH240" i="14"/>
  <c r="BL232" i="14"/>
  <c r="BL222" i="14"/>
  <c r="BF198" i="14"/>
  <c r="BL179" i="14"/>
  <c r="BH155" i="14"/>
  <c r="BF155" i="14" s="1"/>
  <c r="BL139" i="14"/>
  <c r="BF131" i="14"/>
  <c r="BL116" i="14"/>
  <c r="BL96" i="14"/>
  <c r="BL263" i="14"/>
  <c r="BL81" i="14"/>
  <c r="BH83" i="14"/>
  <c r="BF83" i="14" s="1"/>
  <c r="BH69" i="14"/>
  <c r="BL59" i="14"/>
  <c r="BH43" i="14"/>
  <c r="BL22" i="14"/>
  <c r="BL10" i="14"/>
  <c r="CS261" i="14"/>
  <c r="CS265" i="14"/>
  <c r="CS281" i="14"/>
  <c r="CS329" i="14"/>
  <c r="CS272" i="14"/>
  <c r="CS280" i="14"/>
  <c r="CS284" i="14"/>
  <c r="CS292" i="14"/>
  <c r="CS312" i="14"/>
  <c r="CS324" i="14"/>
  <c r="CS328" i="14"/>
  <c r="BF43" i="14"/>
  <c r="BF51" i="14"/>
  <c r="BH42" i="14"/>
  <c r="BF42" i="14" s="1"/>
  <c r="BH54" i="14"/>
  <c r="BF54" i="14" s="1"/>
  <c r="BH58" i="14"/>
  <c r="BF58" i="14" s="1"/>
  <c r="BH74" i="14"/>
  <c r="BH90" i="14"/>
  <c r="BH98" i="14"/>
  <c r="BH106" i="14"/>
  <c r="BH114" i="14"/>
  <c r="BF114" i="14" s="1"/>
  <c r="BH122" i="14"/>
  <c r="BH163" i="14"/>
  <c r="BF163" i="14" s="1"/>
  <c r="BH195" i="14"/>
  <c r="BF195" i="14" s="1"/>
  <c r="BF47" i="14"/>
  <c r="BF74" i="14"/>
  <c r="BF90" i="14"/>
  <c r="BF98" i="14"/>
  <c r="BF106" i="14"/>
  <c r="BF115" i="14"/>
  <c r="BF49" i="14"/>
  <c r="BF61" i="14"/>
  <c r="BF65" i="14"/>
  <c r="BF69" i="14"/>
  <c r="BF70" i="14"/>
  <c r="BF71" i="14"/>
  <c r="BF78" i="14"/>
  <c r="BF79" i="14"/>
  <c r="BF85" i="14"/>
  <c r="BF86" i="14"/>
  <c r="BF94" i="14"/>
  <c r="BF95" i="14"/>
  <c r="BF102" i="14"/>
  <c r="BF103" i="14"/>
  <c r="BF109" i="14"/>
  <c r="BF117" i="14"/>
  <c r="BF118" i="14"/>
  <c r="BF119" i="14"/>
  <c r="BF126" i="14"/>
  <c r="BF127" i="14"/>
  <c r="BF135" i="14"/>
  <c r="BF142" i="14"/>
  <c r="BH72" i="14"/>
  <c r="BF72" i="14" s="1"/>
  <c r="BH80" i="14"/>
  <c r="BF80" i="14" s="1"/>
  <c r="BH100" i="14"/>
  <c r="BF100" i="14" s="1"/>
  <c r="BH104" i="14"/>
  <c r="BF104" i="14" s="1"/>
  <c r="BH108" i="14"/>
  <c r="BF108" i="14" s="1"/>
  <c r="BH120" i="14"/>
  <c r="BF120" i="14" s="1"/>
  <c r="BH124" i="14"/>
  <c r="BF124" i="14" s="1"/>
  <c r="BH128" i="14"/>
  <c r="BF128" i="14" s="1"/>
  <c r="BH132" i="14"/>
  <c r="BF132" i="14" s="1"/>
  <c r="BH140" i="14"/>
  <c r="BF140" i="14" s="1"/>
  <c r="BH151" i="14"/>
  <c r="BH167" i="14"/>
  <c r="BF167" i="14" s="1"/>
  <c r="BH183" i="14"/>
  <c r="BF183" i="14" s="1"/>
  <c r="BH199" i="14"/>
  <c r="BF199" i="14" s="1"/>
  <c r="BH213" i="14"/>
  <c r="BH229" i="14"/>
  <c r="BH245" i="14"/>
  <c r="BH261" i="14"/>
  <c r="BH277" i="14"/>
  <c r="BH293" i="14"/>
  <c r="BF125" i="14"/>
  <c r="BF129" i="14"/>
  <c r="BF133" i="14"/>
  <c r="BF137" i="14"/>
  <c r="BF141" i="14"/>
  <c r="BF145" i="14"/>
  <c r="BF224" i="14"/>
  <c r="BF240" i="14"/>
  <c r="BF272" i="14"/>
  <c r="BH157" i="14"/>
  <c r="BF157" i="14" s="1"/>
  <c r="BH165" i="14"/>
  <c r="BF165" i="14" s="1"/>
  <c r="BH177" i="14"/>
  <c r="BF177" i="14" s="1"/>
  <c r="BH181" i="14"/>
  <c r="BF181" i="14" s="1"/>
  <c r="BH185" i="14"/>
  <c r="BF185" i="14" s="1"/>
  <c r="BH189" i="14"/>
  <c r="BF189" i="14" s="1"/>
  <c r="BH193" i="14"/>
  <c r="BF193" i="14" s="1"/>
  <c r="BH209" i="14"/>
  <c r="BF209" i="14" s="1"/>
  <c r="BH225" i="14"/>
  <c r="BF225" i="14" s="1"/>
  <c r="BH233" i="14"/>
  <c r="BF233" i="14" s="1"/>
  <c r="BH241" i="14"/>
  <c r="BF241" i="14" s="1"/>
  <c r="BH257" i="14"/>
  <c r="BF257" i="14" s="1"/>
  <c r="BH265" i="14"/>
  <c r="BF265" i="14" s="1"/>
  <c r="BH281" i="14"/>
  <c r="BF281" i="14" s="1"/>
  <c r="BH289" i="14"/>
  <c r="BF289" i="14" s="1"/>
  <c r="BF148" i="14"/>
  <c r="BF152" i="14"/>
  <c r="BF160" i="14"/>
  <c r="BF164" i="14"/>
  <c r="BF168" i="14"/>
  <c r="BF172" i="14"/>
  <c r="BF176" i="14"/>
  <c r="BF180" i="14"/>
  <c r="BF184" i="14"/>
  <c r="BF196" i="14"/>
  <c r="BF200" i="14"/>
  <c r="BF204" i="14"/>
  <c r="BF208" i="14"/>
  <c r="BF213" i="14"/>
  <c r="BF220" i="14"/>
  <c r="BF237" i="14"/>
  <c r="BF245" i="14"/>
  <c r="BF253" i="14"/>
  <c r="BF261" i="14"/>
  <c r="BF269" i="14"/>
  <c r="BF284" i="14"/>
  <c r="BF292" i="14"/>
  <c r="BF293" i="14"/>
  <c r="BH211" i="14"/>
  <c r="BF211" i="14" s="1"/>
  <c r="BH215" i="14"/>
  <c r="BF215" i="14" s="1"/>
  <c r="BH219" i="14"/>
  <c r="BF219" i="14" s="1"/>
  <c r="BH223" i="14"/>
  <c r="BF223" i="14" s="1"/>
  <c r="BH227" i="14"/>
  <c r="BF227" i="14" s="1"/>
  <c r="BH235" i="14"/>
  <c r="BF235" i="14" s="1"/>
  <c r="BH239" i="14"/>
  <c r="BF239" i="14" s="1"/>
  <c r="BH247" i="14"/>
  <c r="BF247" i="14" s="1"/>
  <c r="BH251" i="14"/>
  <c r="BF251" i="14" s="1"/>
  <c r="BH263" i="14"/>
  <c r="BF271" i="14"/>
  <c r="BF275" i="14"/>
  <c r="BH279" i="14"/>
  <c r="BH287" i="14"/>
  <c r="BF287" i="14" s="1"/>
  <c r="BH291" i="14"/>
  <c r="BF214" i="14"/>
  <c r="BF218" i="14"/>
  <c r="BF226" i="14"/>
  <c r="BF230" i="14"/>
  <c r="BF234" i="14"/>
  <c r="BF238" i="14"/>
  <c r="BF242" i="14"/>
  <c r="BF250" i="14"/>
  <c r="BF258" i="14"/>
  <c r="BF274" i="14"/>
  <c r="BF278" i="14"/>
  <c r="BF286" i="14"/>
  <c r="BF290" i="14"/>
  <c r="BL260" i="14" l="1"/>
  <c r="BL262" i="14" s="1"/>
  <c r="BL264" i="14" s="1"/>
  <c r="BL266" i="14" l="1"/>
  <c r="BL294" i="14" s="1"/>
  <c r="BL308" i="14" s="1"/>
  <c r="BL296" i="14"/>
  <c r="BL310" i="14" s="1"/>
  <c r="BL320" i="14" s="1"/>
  <c r="BL334" i="14" s="1"/>
  <c r="BL318" i="14" l="1"/>
  <c r="BL332" i="14" s="1"/>
  <c r="ER330" i="14" l="1"/>
  <c r="ER316" i="14"/>
  <c r="ER304" i="14"/>
  <c r="ER301" i="14"/>
  <c r="ER300" i="14"/>
  <c r="ER299" i="14"/>
  <c r="ER298" i="14" s="1"/>
  <c r="ER295" i="14"/>
  <c r="ER258" i="14"/>
  <c r="ER256" i="14"/>
  <c r="ER246" i="14"/>
  <c r="ER245" i="14"/>
  <c r="ER240" i="14"/>
  <c r="ER238" i="14"/>
  <c r="ER237" i="14"/>
  <c r="ER235" i="14"/>
  <c r="ER234" i="14"/>
  <c r="ER228" i="14"/>
  <c r="ER227" i="14"/>
  <c r="ER226" i="14"/>
  <c r="ER225" i="14"/>
  <c r="ER224" i="14"/>
  <c r="ER223" i="14"/>
  <c r="ER210" i="14"/>
  <c r="ER207" i="14"/>
  <c r="ER205" i="14" s="1"/>
  <c r="ER206" i="14"/>
  <c r="ER203" i="14"/>
  <c r="ER199" i="14"/>
  <c r="ER198" i="14"/>
  <c r="ER193" i="14"/>
  <c r="ER182" i="14"/>
  <c r="ER181" i="14"/>
  <c r="ER178" i="14"/>
  <c r="ER176" i="14"/>
  <c r="ER174" i="14"/>
  <c r="ER166" i="14"/>
  <c r="ER163" i="14"/>
  <c r="ER160" i="14"/>
  <c r="ER157" i="14"/>
  <c r="ER155" i="14"/>
  <c r="ER154" i="14"/>
  <c r="ER149" i="14"/>
  <c r="ER147" i="14"/>
  <c r="ER143" i="14"/>
  <c r="ER141" i="14"/>
  <c r="ER133" i="14"/>
  <c r="ER132" i="14"/>
  <c r="ER131" i="14"/>
  <c r="ER127" i="14"/>
  <c r="ER126" i="14"/>
  <c r="ER125" i="14"/>
  <c r="ER120" i="14"/>
  <c r="ER118" i="14"/>
  <c r="ER115" i="14"/>
  <c r="ER114" i="14"/>
  <c r="ER109" i="14"/>
  <c r="ER107" i="14"/>
  <c r="ER101" i="14"/>
  <c r="ER99" i="14"/>
  <c r="ER98" i="14"/>
  <c r="ER95" i="14"/>
  <c r="ER94" i="14"/>
  <c r="ER85" i="14"/>
  <c r="ER83" i="14"/>
  <c r="ER82" i="14"/>
  <c r="ER80" i="14"/>
  <c r="ER79" i="14"/>
  <c r="ER77" i="14"/>
  <c r="ER76" i="14"/>
  <c r="ER73" i="14"/>
  <c r="ER69" i="14"/>
  <c r="ER68" i="14"/>
  <c r="ER63" i="14"/>
  <c r="ER61" i="14"/>
  <c r="ER60" i="14"/>
  <c r="ER47" i="14"/>
  <c r="ER43" i="14"/>
  <c r="ER42" i="14"/>
  <c r="ER40" i="14"/>
  <c r="ER39" i="14"/>
  <c r="ER36" i="14"/>
  <c r="ER35" i="14"/>
  <c r="ER34" i="14"/>
  <c r="ER33" i="14"/>
  <c r="ER32" i="14"/>
  <c r="ER31" i="14"/>
  <c r="ER30" i="14"/>
  <c r="ER29" i="14"/>
  <c r="ER28" i="14"/>
  <c r="ER26" i="14"/>
  <c r="ER24" i="14"/>
  <c r="ER23" i="14"/>
  <c r="ER21" i="14"/>
  <c r="ER20" i="14"/>
  <c r="ER19" i="14"/>
  <c r="ER18" i="14"/>
  <c r="ER17" i="14"/>
  <c r="ER15" i="14"/>
  <c r="ER14" i="14"/>
  <c r="ER12" i="14"/>
  <c r="ER8" i="14"/>
  <c r="CM8" i="14"/>
  <c r="EK330" i="14"/>
  <c r="EM318" i="14"/>
  <c r="EM332" i="14" s="1"/>
  <c r="EL318" i="14"/>
  <c r="EL332" i="14" s="1"/>
  <c r="EK316" i="14"/>
  <c r="EK304" i="14"/>
  <c r="EK301" i="14"/>
  <c r="EK300" i="14"/>
  <c r="EK299" i="14"/>
  <c r="EK295" i="14"/>
  <c r="EL259" i="14"/>
  <c r="EK259" i="14" s="1"/>
  <c r="EK258" i="14"/>
  <c r="EK257" i="14"/>
  <c r="EM256" i="14"/>
  <c r="EL256" i="14"/>
  <c r="EM255" i="14"/>
  <c r="EL255" i="14"/>
  <c r="EM254" i="14"/>
  <c r="EK254" i="14" s="1"/>
  <c r="EM253" i="14"/>
  <c r="EL253" i="14"/>
  <c r="EK253" i="14" s="1"/>
  <c r="EK252" i="14"/>
  <c r="EK251" i="14"/>
  <c r="EK250" i="14"/>
  <c r="EM249" i="14"/>
  <c r="EL249" i="14"/>
  <c r="EL248" i="14"/>
  <c r="EK248" i="14" s="1"/>
  <c r="EK247" i="14"/>
  <c r="EK246" i="14"/>
  <c r="EK245" i="14"/>
  <c r="EK243" i="14"/>
  <c r="EM242" i="14"/>
  <c r="EK242" i="14"/>
  <c r="EK241" i="14"/>
  <c r="EK240" i="14"/>
  <c r="EM239" i="14"/>
  <c r="EK239" i="14"/>
  <c r="EK238" i="14"/>
  <c r="EK237" i="14"/>
  <c r="EM236" i="14"/>
  <c r="EM232" i="14" s="1"/>
  <c r="EL236" i="14"/>
  <c r="EK235" i="14"/>
  <c r="EK234" i="14"/>
  <c r="EK233" i="14"/>
  <c r="EM231" i="14"/>
  <c r="EL231" i="14"/>
  <c r="EM230" i="14"/>
  <c r="EK230" i="14" s="1"/>
  <c r="EK229" i="14"/>
  <c r="EM228" i="14"/>
  <c r="EL228" i="14"/>
  <c r="EK227" i="14"/>
  <c r="EK226" i="14"/>
  <c r="EK225" i="14"/>
  <c r="EK224" i="14"/>
  <c r="EK223" i="14"/>
  <c r="EM221" i="14"/>
  <c r="EL221" i="14"/>
  <c r="EK220" i="14"/>
  <c r="EK219" i="14"/>
  <c r="EK218" i="14"/>
  <c r="EM217" i="14"/>
  <c r="EK217" i="14" s="1"/>
  <c r="EM216" i="14"/>
  <c r="EK216" i="14" s="1"/>
  <c r="EK215" i="14"/>
  <c r="EK214" i="14"/>
  <c r="EK213" i="14"/>
  <c r="EM212" i="14"/>
  <c r="EK212" i="14" s="1"/>
  <c r="EK211" i="14"/>
  <c r="EK210" i="14"/>
  <c r="EM209" i="14"/>
  <c r="EK209" i="14" s="1"/>
  <c r="EK208" i="14"/>
  <c r="EK207" i="14"/>
  <c r="EK206" i="14"/>
  <c r="EM204" i="14"/>
  <c r="EL204" i="14"/>
  <c r="EK203" i="14"/>
  <c r="EK202" i="14"/>
  <c r="EL201" i="14"/>
  <c r="EM200" i="14"/>
  <c r="EK200" i="14" s="1"/>
  <c r="EK199" i="14"/>
  <c r="EK198" i="14"/>
  <c r="EK196" i="14"/>
  <c r="EM195" i="14"/>
  <c r="EL195" i="14"/>
  <c r="EK194" i="14"/>
  <c r="EK193" i="14"/>
  <c r="EM192" i="14"/>
  <c r="EK192" i="14" s="1"/>
  <c r="EK191" i="14"/>
  <c r="EM190" i="14"/>
  <c r="EL190" i="14"/>
  <c r="EM189" i="14"/>
  <c r="EK189" i="14" s="1"/>
  <c r="EM188" i="14"/>
  <c r="EL188" i="14"/>
  <c r="EK187" i="14"/>
  <c r="EK186" i="14"/>
  <c r="EM185" i="14"/>
  <c r="EL185" i="14"/>
  <c r="EK185" i="14" s="1"/>
  <c r="EM184" i="14"/>
  <c r="EK184" i="14" s="1"/>
  <c r="EM183" i="14"/>
  <c r="EL183" i="14"/>
  <c r="EK183" i="14" s="1"/>
  <c r="EK182" i="14"/>
  <c r="EK181" i="14"/>
  <c r="EM180" i="14"/>
  <c r="EK180" i="14" s="1"/>
  <c r="EK178" i="14"/>
  <c r="EK177" i="14"/>
  <c r="EK176" i="14"/>
  <c r="EK175" i="14"/>
  <c r="EK174" i="14"/>
  <c r="EM173" i="14"/>
  <c r="EL173" i="14"/>
  <c r="EK173" i="14" s="1"/>
  <c r="EM172" i="14"/>
  <c r="EK172" i="14" s="1"/>
  <c r="EK171" i="14"/>
  <c r="EK170" i="14"/>
  <c r="EM169" i="14"/>
  <c r="EL169" i="14"/>
  <c r="EK168" i="14"/>
  <c r="EK167" i="14"/>
  <c r="EL166" i="14"/>
  <c r="EK165" i="14"/>
  <c r="EK164" i="14"/>
  <c r="EK163" i="14"/>
  <c r="EK162" i="14"/>
  <c r="EK160" i="14"/>
  <c r="EK159" i="14"/>
  <c r="EM158" i="14"/>
  <c r="EL158" i="14"/>
  <c r="EK157" i="14"/>
  <c r="EL156" i="14"/>
  <c r="EK156" i="14" s="1"/>
  <c r="EK155" i="14"/>
  <c r="EK154" i="14"/>
  <c r="EM153" i="14"/>
  <c r="EM152" i="14"/>
  <c r="EL152" i="14"/>
  <c r="EK151" i="14"/>
  <c r="EM150" i="14"/>
  <c r="EL150" i="14"/>
  <c r="EK149" i="14"/>
  <c r="EK148" i="14"/>
  <c r="EK147" i="14"/>
  <c r="EM146" i="14"/>
  <c r="EK146" i="14" s="1"/>
  <c r="EM145" i="14"/>
  <c r="EK145" i="14" s="1"/>
  <c r="EM144" i="14"/>
  <c r="EK144" i="14" s="1"/>
  <c r="EL144" i="14"/>
  <c r="EM143" i="14"/>
  <c r="EL143" i="14"/>
  <c r="EK142" i="14"/>
  <c r="EK141" i="14"/>
  <c r="EK140" i="14"/>
  <c r="EK138" i="14"/>
  <c r="EM137" i="14"/>
  <c r="EK137" i="14" s="1"/>
  <c r="EM136" i="14"/>
  <c r="EK136" i="14" s="1"/>
  <c r="EM135" i="14"/>
  <c r="EL134" i="14"/>
  <c r="EK134" i="14" s="1"/>
  <c r="EK133" i="14"/>
  <c r="EK132" i="14"/>
  <c r="EK131" i="14"/>
  <c r="EK129" i="14"/>
  <c r="EK128" i="14"/>
  <c r="EK127" i="14"/>
  <c r="EK126" i="14"/>
  <c r="EK125" i="14"/>
  <c r="EM124" i="14"/>
  <c r="EK124" i="14" s="1"/>
  <c r="EM123" i="14"/>
  <c r="EL123" i="14"/>
  <c r="EK123" i="14" s="1"/>
  <c r="EK122" i="14"/>
  <c r="EM121" i="14"/>
  <c r="EL121" i="14"/>
  <c r="EK120" i="14"/>
  <c r="EK119" i="14"/>
  <c r="EK118" i="14"/>
  <c r="EK117" i="14"/>
  <c r="EK115" i="14"/>
  <c r="EK114" i="14"/>
  <c r="EM113" i="14"/>
  <c r="EK113" i="14" s="1"/>
  <c r="EM112" i="14"/>
  <c r="EK112" i="14"/>
  <c r="EK111" i="14"/>
  <c r="EL110" i="14"/>
  <c r="EK110" i="14" s="1"/>
  <c r="EK109" i="14"/>
  <c r="EK108" i="14"/>
  <c r="EM107" i="14"/>
  <c r="EL107" i="14"/>
  <c r="EM106" i="14"/>
  <c r="EL106" i="14"/>
  <c r="EK106" i="14" s="1"/>
  <c r="EK105" i="14"/>
  <c r="EM104" i="14"/>
  <c r="EK104" i="14" s="1"/>
  <c r="EL103" i="14"/>
  <c r="EK103" i="14" s="1"/>
  <c r="EM102" i="14"/>
  <c r="EL102" i="14"/>
  <c r="EK101" i="14"/>
  <c r="EK100" i="14"/>
  <c r="EK99" i="14"/>
  <c r="EK98" i="14"/>
  <c r="EM97" i="14"/>
  <c r="EL97" i="14"/>
  <c r="EK95" i="14"/>
  <c r="EK94" i="14"/>
  <c r="EM93" i="14"/>
  <c r="EK93" i="14" s="1"/>
  <c r="EM92" i="14"/>
  <c r="EL92" i="14"/>
  <c r="EM91" i="14"/>
  <c r="EL91" i="14"/>
  <c r="EK90" i="14"/>
  <c r="EK89" i="14"/>
  <c r="EM88" i="14"/>
  <c r="EL88" i="14"/>
  <c r="EM87" i="14"/>
  <c r="EL87" i="14"/>
  <c r="EK87" i="14" s="1"/>
  <c r="EM86" i="14"/>
  <c r="EK86" i="14" s="1"/>
  <c r="EK85" i="14"/>
  <c r="EM84" i="14"/>
  <c r="EL84" i="14"/>
  <c r="EK84" i="14" s="1"/>
  <c r="EK83" i="14"/>
  <c r="EK82" i="14"/>
  <c r="EK80" i="14"/>
  <c r="EK79" i="14"/>
  <c r="EK78" i="14"/>
  <c r="EK77" i="14"/>
  <c r="EK76" i="14"/>
  <c r="EM75" i="14"/>
  <c r="EL75" i="14"/>
  <c r="EK74" i="14"/>
  <c r="EK73" i="14"/>
  <c r="EK72" i="14"/>
  <c r="EM71" i="14"/>
  <c r="EK71" i="14" s="1"/>
  <c r="EK70" i="14"/>
  <c r="EK69" i="14"/>
  <c r="EK68" i="14"/>
  <c r="EL67" i="14"/>
  <c r="EK67" i="14" s="1"/>
  <c r="EK66" i="14"/>
  <c r="EK65" i="14"/>
  <c r="EM64" i="14"/>
  <c r="EL64" i="14"/>
  <c r="EK63" i="14"/>
  <c r="EM62" i="14"/>
  <c r="EL62" i="14"/>
  <c r="EK61" i="14"/>
  <c r="EK60" i="14"/>
  <c r="EM58" i="14"/>
  <c r="EK58" i="14" s="1"/>
  <c r="EK57" i="14"/>
  <c r="EM56" i="14"/>
  <c r="EL56" i="14"/>
  <c r="EM55" i="14"/>
  <c r="EL55" i="14"/>
  <c r="EK54" i="14"/>
  <c r="EM53" i="14"/>
  <c r="EL53" i="14"/>
  <c r="EK52" i="14"/>
  <c r="EM51" i="14"/>
  <c r="EL51" i="14"/>
  <c r="EM50" i="14"/>
  <c r="EL50" i="14"/>
  <c r="EM49" i="14"/>
  <c r="EK49" i="14"/>
  <c r="EL48" i="14"/>
  <c r="EK48" i="14" s="1"/>
  <c r="EK47" i="14"/>
  <c r="EK46" i="14"/>
  <c r="EM45" i="14"/>
  <c r="EL45" i="14"/>
  <c r="EM44" i="14"/>
  <c r="EL44" i="14"/>
  <c r="EK43" i="14"/>
  <c r="EK42" i="14"/>
  <c r="EK40" i="14"/>
  <c r="EK39" i="14"/>
  <c r="EK38" i="14"/>
  <c r="EM37" i="14"/>
  <c r="EL37" i="14"/>
  <c r="EK37" i="14" s="1"/>
  <c r="EK36" i="14"/>
  <c r="EK35" i="14"/>
  <c r="EK34" i="14"/>
  <c r="EK33" i="14"/>
  <c r="EK32" i="14"/>
  <c r="EK31" i="14"/>
  <c r="EK30" i="14"/>
  <c r="EK29" i="14"/>
  <c r="EK28" i="14"/>
  <c r="EM27" i="14"/>
  <c r="EM22" i="14" s="1"/>
  <c r="EL27" i="14"/>
  <c r="EK26" i="14"/>
  <c r="EK25" i="14"/>
  <c r="EK24" i="14"/>
  <c r="EK23" i="14"/>
  <c r="EK21" i="14"/>
  <c r="EK20" i="14"/>
  <c r="EK19" i="14"/>
  <c r="EK18" i="14"/>
  <c r="EM17" i="14"/>
  <c r="EL17" i="14"/>
  <c r="EK16" i="14"/>
  <c r="EK15" i="14"/>
  <c r="EK14" i="14"/>
  <c r="EM13" i="14"/>
  <c r="EK13" i="14"/>
  <c r="EK12" i="14"/>
  <c r="EM11" i="14"/>
  <c r="EL11" i="14"/>
  <c r="EL10" i="14"/>
  <c r="EM9" i="14"/>
  <c r="EM8" i="14" s="1"/>
  <c r="EL9" i="14"/>
  <c r="EL8" i="14" s="1"/>
  <c r="CF330" i="14"/>
  <c r="CH318" i="14"/>
  <c r="CH332" i="14" s="1"/>
  <c r="CG318" i="14"/>
  <c r="CG332" i="14" s="1"/>
  <c r="CF316" i="14"/>
  <c r="CF304" i="14"/>
  <c r="CF301" i="14"/>
  <c r="CF300" i="14"/>
  <c r="CF299" i="14"/>
  <c r="CF295" i="14"/>
  <c r="CG259" i="14"/>
  <c r="CF259" i="14" s="1"/>
  <c r="CU259" i="14" s="1"/>
  <c r="CS259" i="14" s="1"/>
  <c r="CF258" i="14"/>
  <c r="CF257" i="14"/>
  <c r="CU257" i="14" s="1"/>
  <c r="CS257" i="14" s="1"/>
  <c r="CH256" i="14"/>
  <c r="CG256" i="14"/>
  <c r="CH255" i="14"/>
  <c r="CG255" i="14"/>
  <c r="CH254" i="14"/>
  <c r="CF254" i="14" s="1"/>
  <c r="CU254" i="14" s="1"/>
  <c r="CH253" i="14"/>
  <c r="CG253" i="14"/>
  <c r="CF252" i="14"/>
  <c r="CU252" i="14" s="1"/>
  <c r="CS252" i="14" s="1"/>
  <c r="CF251" i="14"/>
  <c r="CU251" i="14" s="1"/>
  <c r="CS251" i="14" s="1"/>
  <c r="CF250" i="14"/>
  <c r="CU250" i="14" s="1"/>
  <c r="CS250" i="14" s="1"/>
  <c r="CH249" i="14"/>
  <c r="CG249" i="14"/>
  <c r="CG248" i="14"/>
  <c r="CF247" i="14"/>
  <c r="CU247" i="14" s="1"/>
  <c r="CS247" i="14" s="1"/>
  <c r="CF246" i="14"/>
  <c r="CF245" i="14"/>
  <c r="CF243" i="14"/>
  <c r="CU243" i="14" s="1"/>
  <c r="CS243" i="14" s="1"/>
  <c r="CH242" i="14"/>
  <c r="CF242" i="14" s="1"/>
  <c r="CF241" i="14"/>
  <c r="CU241" i="14" s="1"/>
  <c r="CS241" i="14" s="1"/>
  <c r="CF240" i="14"/>
  <c r="CH239" i="14"/>
  <c r="CF239" i="14" s="1"/>
  <c r="CF238" i="14"/>
  <c r="CF237" i="14"/>
  <c r="CH236" i="14"/>
  <c r="CH232" i="14" s="1"/>
  <c r="CG236" i="14"/>
  <c r="CF235" i="14"/>
  <c r="CF234" i="14"/>
  <c r="CF233" i="14"/>
  <c r="CU233" i="14" s="1"/>
  <c r="CS233" i="14" s="1"/>
  <c r="CH231" i="14"/>
  <c r="CG231" i="14"/>
  <c r="CH230" i="14"/>
  <c r="CF230" i="14"/>
  <c r="CF229" i="14"/>
  <c r="CU229" i="14" s="1"/>
  <c r="CH228" i="14"/>
  <c r="CG228" i="14"/>
  <c r="CF227" i="14"/>
  <c r="CF226" i="14"/>
  <c r="CF225" i="14"/>
  <c r="CF224" i="14"/>
  <c r="CF223" i="14"/>
  <c r="CH221" i="14"/>
  <c r="CG221" i="14"/>
  <c r="CF220" i="14"/>
  <c r="CU220" i="14" s="1"/>
  <c r="CS220" i="14" s="1"/>
  <c r="CF219" i="14"/>
  <c r="CU219" i="14" s="1"/>
  <c r="CS219" i="14" s="1"/>
  <c r="CF218" i="14"/>
  <c r="CU218" i="14" s="1"/>
  <c r="CS218" i="14" s="1"/>
  <c r="CH217" i="14"/>
  <c r="CF217" i="14" s="1"/>
  <c r="CU217" i="14" s="1"/>
  <c r="CS217" i="14" s="1"/>
  <c r="CH216" i="14"/>
  <c r="CF216" i="14"/>
  <c r="CU216" i="14" s="1"/>
  <c r="CS216" i="14" s="1"/>
  <c r="CF215" i="14"/>
  <c r="CU215" i="14" s="1"/>
  <c r="CS215" i="14" s="1"/>
  <c r="CF214" i="14"/>
  <c r="CU214" i="14" s="1"/>
  <c r="CS214" i="14" s="1"/>
  <c r="CF213" i="14"/>
  <c r="CU213" i="14" s="1"/>
  <c r="CS213" i="14" s="1"/>
  <c r="CH212" i="14"/>
  <c r="CF212" i="14" s="1"/>
  <c r="CU212" i="14" s="1"/>
  <c r="CS212" i="14" s="1"/>
  <c r="CF211" i="14"/>
  <c r="CU211" i="14" s="1"/>
  <c r="CS211" i="14" s="1"/>
  <c r="CF210" i="14"/>
  <c r="CH209" i="14"/>
  <c r="CF208" i="14"/>
  <c r="CU208" i="14" s="1"/>
  <c r="CS208" i="14" s="1"/>
  <c r="CF207" i="14"/>
  <c r="CF206" i="14"/>
  <c r="CH204" i="14"/>
  <c r="CG204" i="14"/>
  <c r="CF203" i="14"/>
  <c r="CF202" i="14"/>
  <c r="CU202" i="14" s="1"/>
  <c r="CS202" i="14" s="1"/>
  <c r="CG201" i="14"/>
  <c r="CF201" i="14"/>
  <c r="CH200" i="14"/>
  <c r="CF200" i="14" s="1"/>
  <c r="CU200" i="14" s="1"/>
  <c r="CS200" i="14" s="1"/>
  <c r="CF199" i="14"/>
  <c r="CF198" i="14"/>
  <c r="CF196" i="14"/>
  <c r="CU196" i="14" s="1"/>
  <c r="CS196" i="14" s="1"/>
  <c r="CH195" i="14"/>
  <c r="CG195" i="14"/>
  <c r="CF195" i="14" s="1"/>
  <c r="CU195" i="14" s="1"/>
  <c r="CS195" i="14" s="1"/>
  <c r="CF194" i="14"/>
  <c r="CF193" i="14"/>
  <c r="CH192" i="14"/>
  <c r="CF192" i="14" s="1"/>
  <c r="CU192" i="14" s="1"/>
  <c r="CS192" i="14" s="1"/>
  <c r="CF191" i="14"/>
  <c r="CU191" i="14" s="1"/>
  <c r="CS191" i="14" s="1"/>
  <c r="CH190" i="14"/>
  <c r="CG190" i="14"/>
  <c r="CF190" i="14" s="1"/>
  <c r="CU190" i="14" s="1"/>
  <c r="CS190" i="14" s="1"/>
  <c r="CH189" i="14"/>
  <c r="CF189" i="14"/>
  <c r="CU189" i="14" s="1"/>
  <c r="CS189" i="14" s="1"/>
  <c r="CH188" i="14"/>
  <c r="CG188" i="14"/>
  <c r="CF187" i="14"/>
  <c r="CU187" i="14" s="1"/>
  <c r="CS187" i="14" s="1"/>
  <c r="CF186" i="14"/>
  <c r="CU186" i="14" s="1"/>
  <c r="CS186" i="14" s="1"/>
  <c r="CH185" i="14"/>
  <c r="CG185" i="14"/>
  <c r="CF185" i="14" s="1"/>
  <c r="CU185" i="14" s="1"/>
  <c r="CS185" i="14" s="1"/>
  <c r="CH184" i="14"/>
  <c r="CF184" i="14" s="1"/>
  <c r="CU184" i="14" s="1"/>
  <c r="CS184" i="14" s="1"/>
  <c r="CH183" i="14"/>
  <c r="CG183" i="14"/>
  <c r="CF182" i="14"/>
  <c r="CF181" i="14"/>
  <c r="CH180" i="14"/>
  <c r="CF178" i="14"/>
  <c r="CF177" i="14"/>
  <c r="CU177" i="14" s="1"/>
  <c r="CS177" i="14" s="1"/>
  <c r="CF176" i="14"/>
  <c r="CF175" i="14"/>
  <c r="CU175" i="14" s="1"/>
  <c r="CS175" i="14" s="1"/>
  <c r="CF174" i="14"/>
  <c r="CH173" i="14"/>
  <c r="CG173" i="14"/>
  <c r="CH172" i="14"/>
  <c r="CF172" i="14" s="1"/>
  <c r="CU172" i="14" s="1"/>
  <c r="CS172" i="14" s="1"/>
  <c r="CF171" i="14"/>
  <c r="CU171" i="14" s="1"/>
  <c r="CS171" i="14" s="1"/>
  <c r="CF170" i="14"/>
  <c r="CU170" i="14" s="1"/>
  <c r="CS170" i="14" s="1"/>
  <c r="CH169" i="14"/>
  <c r="CG169" i="14"/>
  <c r="CF168" i="14"/>
  <c r="CU168" i="14" s="1"/>
  <c r="CS168" i="14" s="1"/>
  <c r="CF167" i="14"/>
  <c r="CU167" i="14" s="1"/>
  <c r="CS167" i="14" s="1"/>
  <c r="CG166" i="14"/>
  <c r="CF166" i="14"/>
  <c r="CF165" i="14"/>
  <c r="CU165" i="14" s="1"/>
  <c r="CS165" i="14" s="1"/>
  <c r="CF164" i="14"/>
  <c r="CU164" i="14" s="1"/>
  <c r="CS164" i="14" s="1"/>
  <c r="CF163" i="14"/>
  <c r="CF162" i="14"/>
  <c r="CU162" i="14" s="1"/>
  <c r="CS162" i="14" s="1"/>
  <c r="CF160" i="14"/>
  <c r="CF159" i="14"/>
  <c r="CU159" i="14" s="1"/>
  <c r="CS159" i="14" s="1"/>
  <c r="CH158" i="14"/>
  <c r="CG158" i="14"/>
  <c r="CF157" i="14"/>
  <c r="CG156" i="14"/>
  <c r="CF155" i="14"/>
  <c r="CF154" i="14"/>
  <c r="CH152" i="14"/>
  <c r="CG152" i="14"/>
  <c r="CF151" i="14"/>
  <c r="CU151" i="14" s="1"/>
  <c r="CS151" i="14" s="1"/>
  <c r="CH150" i="14"/>
  <c r="CG150" i="14"/>
  <c r="CF149" i="14"/>
  <c r="CF148" i="14"/>
  <c r="CU148" i="14" s="1"/>
  <c r="CS148" i="14" s="1"/>
  <c r="CF147" i="14"/>
  <c r="CH146" i="14"/>
  <c r="CF146" i="14" s="1"/>
  <c r="CU146" i="14" s="1"/>
  <c r="CH145" i="14"/>
  <c r="CF145" i="14"/>
  <c r="CU145" i="14" s="1"/>
  <c r="CS145" i="14" s="1"/>
  <c r="CH144" i="14"/>
  <c r="CG144" i="14"/>
  <c r="CF144" i="14" s="1"/>
  <c r="CH143" i="14"/>
  <c r="CG143" i="14"/>
  <c r="CF142" i="14"/>
  <c r="CU142" i="14" s="1"/>
  <c r="CS142" i="14" s="1"/>
  <c r="CF141" i="14"/>
  <c r="CF140" i="14"/>
  <c r="CU140" i="14" s="1"/>
  <c r="CS140" i="14" s="1"/>
  <c r="CF138" i="14"/>
  <c r="CU138" i="14" s="1"/>
  <c r="CS138" i="14" s="1"/>
  <c r="CH137" i="14"/>
  <c r="CF137" i="14" s="1"/>
  <c r="CH136" i="14"/>
  <c r="CF136" i="14" s="1"/>
  <c r="CU136" i="14" s="1"/>
  <c r="CS136" i="14" s="1"/>
  <c r="CH135" i="14"/>
  <c r="CF135" i="14"/>
  <c r="CU135" i="14" s="1"/>
  <c r="CS135" i="14" s="1"/>
  <c r="CG134" i="14"/>
  <c r="CF133" i="14"/>
  <c r="CF132" i="14"/>
  <c r="CF131" i="14"/>
  <c r="CF129" i="14"/>
  <c r="CU129" i="14" s="1"/>
  <c r="CS129" i="14" s="1"/>
  <c r="CF128" i="14"/>
  <c r="CU128" i="14" s="1"/>
  <c r="CS128" i="14" s="1"/>
  <c r="CF127" i="14"/>
  <c r="CF126" i="14"/>
  <c r="CF125" i="14"/>
  <c r="CH124" i="14"/>
  <c r="CF124" i="14" s="1"/>
  <c r="CU124" i="14" s="1"/>
  <c r="CS124" i="14" s="1"/>
  <c r="CH123" i="14"/>
  <c r="CG123" i="14"/>
  <c r="CF123" i="14" s="1"/>
  <c r="CF122" i="14"/>
  <c r="CU122" i="14" s="1"/>
  <c r="CS122" i="14" s="1"/>
  <c r="CH121" i="14"/>
  <c r="CG121" i="14"/>
  <c r="CF120" i="14"/>
  <c r="CF119" i="14"/>
  <c r="CU119" i="14" s="1"/>
  <c r="CS119" i="14" s="1"/>
  <c r="CF118" i="14"/>
  <c r="CF117" i="14"/>
  <c r="CU117" i="14" s="1"/>
  <c r="CS117" i="14" s="1"/>
  <c r="CG116" i="14"/>
  <c r="CF115" i="14"/>
  <c r="CF114" i="14"/>
  <c r="CH113" i="14"/>
  <c r="CF113" i="14" s="1"/>
  <c r="CU113" i="14" s="1"/>
  <c r="CS113" i="14" s="1"/>
  <c r="CH112" i="14"/>
  <c r="CF112" i="14" s="1"/>
  <c r="CF111" i="14"/>
  <c r="CU111" i="14" s="1"/>
  <c r="CS111" i="14" s="1"/>
  <c r="CG110" i="14"/>
  <c r="CF110" i="14" s="1"/>
  <c r="CU110" i="14" s="1"/>
  <c r="CS110" i="14" s="1"/>
  <c r="CF109" i="14"/>
  <c r="CF108" i="14"/>
  <c r="CU108" i="14" s="1"/>
  <c r="CS108" i="14" s="1"/>
  <c r="CH107" i="14"/>
  <c r="CG107" i="14"/>
  <c r="CH106" i="14"/>
  <c r="CG106" i="14"/>
  <c r="CF105" i="14"/>
  <c r="CU105" i="14" s="1"/>
  <c r="CS105" i="14" s="1"/>
  <c r="CH104" i="14"/>
  <c r="CF104" i="14" s="1"/>
  <c r="CU104" i="14" s="1"/>
  <c r="CS104" i="14" s="1"/>
  <c r="CG103" i="14"/>
  <c r="CF103" i="14"/>
  <c r="CU103" i="14" s="1"/>
  <c r="CS103" i="14" s="1"/>
  <c r="CH102" i="14"/>
  <c r="CG102" i="14"/>
  <c r="CF101" i="14"/>
  <c r="CF100" i="14"/>
  <c r="CU100" i="14" s="1"/>
  <c r="CS100" i="14" s="1"/>
  <c r="CF99" i="14"/>
  <c r="CF98" i="14"/>
  <c r="CH97" i="14"/>
  <c r="CG97" i="14"/>
  <c r="CG96" i="14" s="1"/>
  <c r="CF95" i="14"/>
  <c r="CF94" i="14"/>
  <c r="CH93" i="14"/>
  <c r="CF93" i="14"/>
  <c r="CU93" i="14" s="1"/>
  <c r="CH92" i="14"/>
  <c r="CG92" i="14"/>
  <c r="CH91" i="14"/>
  <c r="CG91" i="14"/>
  <c r="CF91" i="14" s="1"/>
  <c r="CU91" i="14" s="1"/>
  <c r="CS91" i="14" s="1"/>
  <c r="CF90" i="14"/>
  <c r="CU90" i="14" s="1"/>
  <c r="CS90" i="14" s="1"/>
  <c r="CF89" i="14"/>
  <c r="CU89" i="14" s="1"/>
  <c r="CS89" i="14" s="1"/>
  <c r="CH88" i="14"/>
  <c r="CG88" i="14"/>
  <c r="CH87" i="14"/>
  <c r="CG87" i="14"/>
  <c r="CH86" i="14"/>
  <c r="CF86" i="14"/>
  <c r="CU86" i="14" s="1"/>
  <c r="CS86" i="14" s="1"/>
  <c r="CF85" i="14"/>
  <c r="CH84" i="14"/>
  <c r="CG84" i="14"/>
  <c r="CF84" i="14"/>
  <c r="CU84" i="14" s="1"/>
  <c r="CS84" i="14" s="1"/>
  <c r="CF83" i="14"/>
  <c r="CF82" i="14"/>
  <c r="CF80" i="14"/>
  <c r="CF79" i="14"/>
  <c r="CF78" i="14"/>
  <c r="CU78" i="14" s="1"/>
  <c r="CS78" i="14" s="1"/>
  <c r="CF77" i="14"/>
  <c r="CF76" i="14"/>
  <c r="CH75" i="14"/>
  <c r="CG75" i="14"/>
  <c r="CF74" i="14"/>
  <c r="CU74" i="14" s="1"/>
  <c r="CS74" i="14" s="1"/>
  <c r="CF73" i="14"/>
  <c r="CF72" i="14"/>
  <c r="CU72" i="14" s="1"/>
  <c r="CS72" i="14" s="1"/>
  <c r="CH71" i="14"/>
  <c r="CF70" i="14"/>
  <c r="CU70" i="14" s="1"/>
  <c r="CS70" i="14" s="1"/>
  <c r="CF69" i="14"/>
  <c r="CF68" i="14"/>
  <c r="CG67" i="14"/>
  <c r="CF67" i="14" s="1"/>
  <c r="CU67" i="14" s="1"/>
  <c r="CS67" i="14" s="1"/>
  <c r="CF66" i="14"/>
  <c r="CU66" i="14" s="1"/>
  <c r="CS66" i="14" s="1"/>
  <c r="CF65" i="14"/>
  <c r="CU65" i="14" s="1"/>
  <c r="CS65" i="14" s="1"/>
  <c r="CH64" i="14"/>
  <c r="CG64" i="14"/>
  <c r="CF63" i="14"/>
  <c r="CH62" i="14"/>
  <c r="CG62" i="14"/>
  <c r="CF62" i="14" s="1"/>
  <c r="CU62" i="14" s="1"/>
  <c r="CS62" i="14" s="1"/>
  <c r="CF61" i="14"/>
  <c r="CF60" i="14"/>
  <c r="CH58" i="14"/>
  <c r="CF58" i="14"/>
  <c r="CF57" i="14"/>
  <c r="CU57" i="14" s="1"/>
  <c r="CS57" i="14" s="1"/>
  <c r="CH56" i="14"/>
  <c r="CG56" i="14"/>
  <c r="CH55" i="14"/>
  <c r="CG55" i="14"/>
  <c r="CF54" i="14"/>
  <c r="CU54" i="14" s="1"/>
  <c r="CS54" i="14" s="1"/>
  <c r="CH53" i="14"/>
  <c r="CG53" i="14"/>
  <c r="CF52" i="14"/>
  <c r="CH51" i="14"/>
  <c r="CG51" i="14"/>
  <c r="CH50" i="14"/>
  <c r="CG50" i="14"/>
  <c r="CH49" i="14"/>
  <c r="CF49" i="14" s="1"/>
  <c r="CU49" i="14" s="1"/>
  <c r="CG48" i="14"/>
  <c r="CF48" i="14"/>
  <c r="CU48" i="14" s="1"/>
  <c r="CS48" i="14" s="1"/>
  <c r="CF47" i="14"/>
  <c r="CF46" i="14"/>
  <c r="CU46" i="14" s="1"/>
  <c r="CS46" i="14" s="1"/>
  <c r="CH45" i="14"/>
  <c r="CG45" i="14"/>
  <c r="CF45" i="14" s="1"/>
  <c r="CU45" i="14" s="1"/>
  <c r="CS45" i="14" s="1"/>
  <c r="CH44" i="14"/>
  <c r="CG44" i="14"/>
  <c r="CF43" i="14"/>
  <c r="CF42" i="14"/>
  <c r="CF40" i="14"/>
  <c r="CF39" i="14"/>
  <c r="CF38" i="14"/>
  <c r="CU38" i="14" s="1"/>
  <c r="CS38" i="14" s="1"/>
  <c r="CH37" i="14"/>
  <c r="CG37" i="14"/>
  <c r="CF36" i="14"/>
  <c r="CF35" i="14"/>
  <c r="CF34" i="14"/>
  <c r="CF33" i="14"/>
  <c r="CF32" i="14"/>
  <c r="CF31" i="14"/>
  <c r="CF30" i="14"/>
  <c r="CF29" i="14"/>
  <c r="CF28" i="14"/>
  <c r="CH27" i="14"/>
  <c r="CG27" i="14"/>
  <c r="CF26" i="14"/>
  <c r="CF25" i="14"/>
  <c r="CU25" i="14" s="1"/>
  <c r="CS25" i="14" s="1"/>
  <c r="CF24" i="14"/>
  <c r="CF23" i="14"/>
  <c r="CF21" i="14"/>
  <c r="CF20" i="14"/>
  <c r="CF19" i="14"/>
  <c r="CF18" i="14"/>
  <c r="CH17" i="14"/>
  <c r="CG17" i="14"/>
  <c r="CF16" i="14"/>
  <c r="CU16" i="14" s="1"/>
  <c r="CS16" i="14" s="1"/>
  <c r="CF15" i="14"/>
  <c r="CF14" i="14"/>
  <c r="CH13" i="14"/>
  <c r="CF13" i="14" s="1"/>
  <c r="CU13" i="14" s="1"/>
  <c r="CS13" i="14" s="1"/>
  <c r="CF12" i="14"/>
  <c r="CH11" i="14"/>
  <c r="CG11" i="14"/>
  <c r="CH9" i="14"/>
  <c r="CH8" i="14" s="1"/>
  <c r="CG9" i="14"/>
  <c r="CG8" i="14" s="1"/>
  <c r="EN330" i="14"/>
  <c r="EN316" i="14"/>
  <c r="EN295" i="14"/>
  <c r="EN309" i="14" s="1"/>
  <c r="EN319" i="14" s="1"/>
  <c r="EN263" i="14"/>
  <c r="EN254" i="14"/>
  <c r="EN244" i="14" s="1"/>
  <c r="EN232" i="14"/>
  <c r="EN229" i="14"/>
  <c r="EN222" i="14" s="1"/>
  <c r="EN205" i="14"/>
  <c r="EN197" i="14"/>
  <c r="EN180" i="14"/>
  <c r="EN179" i="14" s="1"/>
  <c r="EN161" i="14"/>
  <c r="EN158" i="14"/>
  <c r="EN153" i="14" s="1"/>
  <c r="EN146" i="14"/>
  <c r="EN139" i="14" s="1"/>
  <c r="EN143" i="14"/>
  <c r="EN130" i="14"/>
  <c r="EN121" i="14"/>
  <c r="EN116" i="14" s="1"/>
  <c r="EN96" i="14"/>
  <c r="EN93" i="14"/>
  <c r="EN81" i="14" s="1"/>
  <c r="EN79" i="14"/>
  <c r="EN59" i="14" s="1"/>
  <c r="EN64" i="14"/>
  <c r="EN53" i="14"/>
  <c r="EN50" i="14"/>
  <c r="EN49" i="14"/>
  <c r="EN22" i="14"/>
  <c r="EN10" i="14"/>
  <c r="EN8" i="14"/>
  <c r="EU330" i="14"/>
  <c r="EU316" i="14"/>
  <c r="EU295" i="14"/>
  <c r="EU309" i="14" s="1"/>
  <c r="EU319" i="14" s="1"/>
  <c r="EU263" i="14"/>
  <c r="EU244" i="14"/>
  <c r="EU232" i="14"/>
  <c r="EU222" i="14"/>
  <c r="EU205" i="14"/>
  <c r="EU197" i="14"/>
  <c r="EU179" i="14"/>
  <c r="EU161" i="14"/>
  <c r="EU153" i="14"/>
  <c r="EU146" i="14"/>
  <c r="EU143" i="14"/>
  <c r="EU130" i="14"/>
  <c r="EU116" i="14"/>
  <c r="EU96" i="14"/>
  <c r="EU81" i="14"/>
  <c r="EU59" i="14"/>
  <c r="EU41" i="14"/>
  <c r="EU22" i="14"/>
  <c r="EU10" i="14"/>
  <c r="EU8" i="14"/>
  <c r="EQ330" i="14"/>
  <c r="EQ316" i="14"/>
  <c r="EQ291" i="14"/>
  <c r="EQ288" i="14"/>
  <c r="EQ285" i="14"/>
  <c r="EQ282" i="14"/>
  <c r="EQ279" i="14"/>
  <c r="EQ277" i="14"/>
  <c r="EQ276" i="14" s="1"/>
  <c r="EQ273" i="14"/>
  <c r="EQ270" i="14"/>
  <c r="EQ269" i="14"/>
  <c r="EQ295" i="14" s="1"/>
  <c r="EQ309" i="14" s="1"/>
  <c r="EQ319" i="14" s="1"/>
  <c r="EQ263" i="14"/>
  <c r="EQ244" i="14"/>
  <c r="EQ232" i="14"/>
  <c r="EQ222" i="14"/>
  <c r="EQ205" i="14"/>
  <c r="EQ197" i="14"/>
  <c r="EQ179" i="14"/>
  <c r="EQ161" i="14"/>
  <c r="EQ153" i="14"/>
  <c r="EQ139" i="14"/>
  <c r="EQ130" i="14"/>
  <c r="EQ116" i="14"/>
  <c r="EQ96" i="14"/>
  <c r="EQ81" i="14"/>
  <c r="EQ59" i="14"/>
  <c r="EQ41" i="14"/>
  <c r="EQ22" i="14"/>
  <c r="EQ10" i="14"/>
  <c r="EQ8" i="14"/>
  <c r="CH161" i="14" l="1"/>
  <c r="CF249" i="14"/>
  <c r="CU249" i="14" s="1"/>
  <c r="CS249" i="14" s="1"/>
  <c r="CF255" i="14"/>
  <c r="CU255" i="14" s="1"/>
  <c r="CS255" i="14" s="1"/>
  <c r="EK17" i="14"/>
  <c r="EL22" i="14"/>
  <c r="EK44" i="14"/>
  <c r="EK50" i="14"/>
  <c r="EK53" i="14"/>
  <c r="EK75" i="14"/>
  <c r="EK190" i="14"/>
  <c r="EM222" i="14"/>
  <c r="EK249" i="14"/>
  <c r="EK255" i="14"/>
  <c r="EK298" i="14"/>
  <c r="EN41" i="14"/>
  <c r="CF64" i="14"/>
  <c r="CU64" i="14" s="1"/>
  <c r="CF106" i="14"/>
  <c r="CU106" i="14" s="1"/>
  <c r="CS106" i="14" s="1"/>
  <c r="EK62" i="14"/>
  <c r="EK102" i="14"/>
  <c r="CF152" i="14"/>
  <c r="CU152" i="14" s="1"/>
  <c r="CS152" i="14" s="1"/>
  <c r="CF173" i="14"/>
  <c r="CU173" i="14" s="1"/>
  <c r="CS173" i="14" s="1"/>
  <c r="EK9" i="14"/>
  <c r="CF50" i="14"/>
  <c r="EK88" i="14"/>
  <c r="ER153" i="14"/>
  <c r="EQ268" i="14"/>
  <c r="EQ267" i="14" s="1"/>
  <c r="CF37" i="14"/>
  <c r="CU37" i="14" s="1"/>
  <c r="CS37" i="14" s="1"/>
  <c r="CG59" i="14"/>
  <c r="CF87" i="14"/>
  <c r="CU87" i="14" s="1"/>
  <c r="CS87" i="14" s="1"/>
  <c r="CF121" i="14"/>
  <c r="CU121" i="14" s="1"/>
  <c r="CF309" i="14"/>
  <c r="EK27" i="14"/>
  <c r="EK55" i="14"/>
  <c r="EK64" i="14"/>
  <c r="EK107" i="14"/>
  <c r="EK150" i="14"/>
  <c r="EK221" i="14"/>
  <c r="EK256" i="14"/>
  <c r="ER10" i="14"/>
  <c r="ER81" i="14"/>
  <c r="CH22" i="14"/>
  <c r="CF298" i="14"/>
  <c r="EM161" i="14"/>
  <c r="ER161" i="14"/>
  <c r="CF17" i="14"/>
  <c r="CF44" i="14"/>
  <c r="CU44" i="14" s="1"/>
  <c r="CS44" i="14" s="1"/>
  <c r="EK56" i="14"/>
  <c r="EK263" i="14"/>
  <c r="EM116" i="14"/>
  <c r="EL179" i="14"/>
  <c r="EK204" i="14"/>
  <c r="EL96" i="14"/>
  <c r="EK97" i="14"/>
  <c r="CG232" i="14"/>
  <c r="CF232" i="14" s="1"/>
  <c r="CF236" i="14"/>
  <c r="CU236" i="14" s="1"/>
  <c r="CS236" i="14" s="1"/>
  <c r="EL222" i="14"/>
  <c r="EK222" i="14" s="1"/>
  <c r="EK231" i="14"/>
  <c r="CG197" i="14"/>
  <c r="EK45" i="14"/>
  <c r="EL41" i="14"/>
  <c r="EL59" i="14"/>
  <c r="EM130" i="14"/>
  <c r="EK135" i="14"/>
  <c r="EL161" i="14"/>
  <c r="EK166" i="14"/>
  <c r="EL232" i="14"/>
  <c r="EK232" i="14" s="1"/>
  <c r="EK236" i="14"/>
  <c r="CG22" i="14"/>
  <c r="CF27" i="14"/>
  <c r="CU27" i="14" s="1"/>
  <c r="CS27" i="14" s="1"/>
  <c r="CG161" i="14"/>
  <c r="EL197" i="14"/>
  <c r="EK201" i="14"/>
  <c r="CG222" i="14"/>
  <c r="CF231" i="14"/>
  <c r="CF88" i="14"/>
  <c r="CU88" i="14" s="1"/>
  <c r="CS88" i="14" s="1"/>
  <c r="EM96" i="14"/>
  <c r="EM179" i="14"/>
  <c r="EK179" i="14" s="1"/>
  <c r="EU139" i="14"/>
  <c r="CH41" i="14"/>
  <c r="CF55" i="14"/>
  <c r="CU55" i="14" s="1"/>
  <c r="CS55" i="14" s="1"/>
  <c r="CF75" i="14"/>
  <c r="CH81" i="14"/>
  <c r="CF92" i="14"/>
  <c r="CU92" i="14" s="1"/>
  <c r="CS92" i="14" s="1"/>
  <c r="CF107" i="14"/>
  <c r="CF150" i="14"/>
  <c r="CU150" i="14" s="1"/>
  <c r="CS150" i="14" s="1"/>
  <c r="CF169" i="14"/>
  <c r="CU169" i="14" s="1"/>
  <c r="CS169" i="14" s="1"/>
  <c r="CH179" i="14"/>
  <c r="CF188" i="14"/>
  <c r="CF228" i="14"/>
  <c r="CF256" i="14"/>
  <c r="EK51" i="14"/>
  <c r="EK91" i="14"/>
  <c r="EK121" i="14"/>
  <c r="EK152" i="14"/>
  <c r="EK158" i="14"/>
  <c r="EK195" i="14"/>
  <c r="EK228" i="14"/>
  <c r="ER263" i="14"/>
  <c r="ER244" i="14"/>
  <c r="ER309" i="14"/>
  <c r="ER319" i="14" s="1"/>
  <c r="ER333" i="14" s="1"/>
  <c r="EQ260" i="14"/>
  <c r="EQ262" i="14" s="1"/>
  <c r="CF11" i="14"/>
  <c r="CU11" i="14" s="1"/>
  <c r="CS11" i="14" s="1"/>
  <c r="CF158" i="14"/>
  <c r="CU158" i="14" s="1"/>
  <c r="CF204" i="14"/>
  <c r="EK22" i="14"/>
  <c r="EK143" i="14"/>
  <c r="ER22" i="14"/>
  <c r="EU260" i="14"/>
  <c r="EU262" i="14" s="1"/>
  <c r="EU266" i="14" s="1"/>
  <c r="EU294" i="14" s="1"/>
  <c r="CF263" i="14"/>
  <c r="CF56" i="14"/>
  <c r="CU56" i="14" s="1"/>
  <c r="CS56" i="14" s="1"/>
  <c r="CG179" i="14"/>
  <c r="CH244" i="14"/>
  <c r="EM10" i="14"/>
  <c r="EK10" i="14" s="1"/>
  <c r="EM81" i="14"/>
  <c r="EK92" i="14"/>
  <c r="EK188" i="14"/>
  <c r="EM244" i="14"/>
  <c r="EK309" i="14"/>
  <c r="EK319" i="14" s="1"/>
  <c r="EK333" i="14" s="1"/>
  <c r="EK8" i="14"/>
  <c r="EM41" i="14"/>
  <c r="EL81" i="14"/>
  <c r="EL116" i="14"/>
  <c r="EM197" i="14"/>
  <c r="EK197" i="14" s="1"/>
  <c r="EK11" i="14"/>
  <c r="EM59" i="14"/>
  <c r="EL130" i="14"/>
  <c r="EK130" i="14" s="1"/>
  <c r="EM139" i="14"/>
  <c r="EK169" i="14"/>
  <c r="EL205" i="14"/>
  <c r="EL244" i="14"/>
  <c r="EL139" i="14"/>
  <c r="EK139" i="14" s="1"/>
  <c r="EL153" i="14"/>
  <c r="EK153" i="14" s="1"/>
  <c r="EM205" i="14"/>
  <c r="CF134" i="14"/>
  <c r="CU134" i="14" s="1"/>
  <c r="CS134" i="14" s="1"/>
  <c r="CG130" i="14"/>
  <c r="CG139" i="14"/>
  <c r="CF8" i="14"/>
  <c r="CU8" i="14" s="1"/>
  <c r="CG10" i="14"/>
  <c r="CF53" i="14"/>
  <c r="CU53" i="14" s="1"/>
  <c r="CF71" i="14"/>
  <c r="CH59" i="14"/>
  <c r="CF102" i="14"/>
  <c r="CU102" i="14" s="1"/>
  <c r="CS102" i="14" s="1"/>
  <c r="CH116" i="14"/>
  <c r="CF116" i="14" s="1"/>
  <c r="CF143" i="14"/>
  <c r="CH139" i="14"/>
  <c r="CH153" i="14"/>
  <c r="CH197" i="14"/>
  <c r="CF197" i="14" s="1"/>
  <c r="CF248" i="14"/>
  <c r="CU248" i="14" s="1"/>
  <c r="CS248" i="14" s="1"/>
  <c r="CG244" i="14"/>
  <c r="CG41" i="14"/>
  <c r="CF41" i="14" s="1"/>
  <c r="CH96" i="14"/>
  <c r="CF96" i="14" s="1"/>
  <c r="CF156" i="14"/>
  <c r="CU156" i="14" s="1"/>
  <c r="CS156" i="14" s="1"/>
  <c r="CG153" i="14"/>
  <c r="CF209" i="14"/>
  <c r="CU209" i="14" s="1"/>
  <c r="CS209" i="14" s="1"/>
  <c r="CH205" i="14"/>
  <c r="CH222" i="14"/>
  <c r="CF9" i="14"/>
  <c r="CU9" i="14" s="1"/>
  <c r="CS9" i="14" s="1"/>
  <c r="CH10" i="14"/>
  <c r="CF51" i="14"/>
  <c r="CG81" i="14"/>
  <c r="CF97" i="14"/>
  <c r="CU97" i="14" s="1"/>
  <c r="CS97" i="14" s="1"/>
  <c r="CH130" i="14"/>
  <c r="CF161" i="14"/>
  <c r="CF180" i="14"/>
  <c r="CU180" i="14" s="1"/>
  <c r="CF183" i="14"/>
  <c r="CF221" i="14"/>
  <c r="CU221" i="14" s="1"/>
  <c r="CS221" i="14" s="1"/>
  <c r="CG205" i="14"/>
  <c r="CF205" i="14" s="1"/>
  <c r="CF253" i="14"/>
  <c r="CU253" i="14" s="1"/>
  <c r="CS253" i="14" s="1"/>
  <c r="EN333" i="14"/>
  <c r="EN260" i="14"/>
  <c r="EN262" i="14" s="1"/>
  <c r="EU333" i="14"/>
  <c r="EQ333" i="14"/>
  <c r="CI330" i="14"/>
  <c r="CE330" i="14"/>
  <c r="CI316" i="14"/>
  <c r="CE316" i="14"/>
  <c r="CI295" i="14"/>
  <c r="CE291" i="14"/>
  <c r="CE288" i="14"/>
  <c r="CE286" i="14"/>
  <c r="CE283" i="14"/>
  <c r="CT283" i="14" s="1"/>
  <c r="CS283" i="14" s="1"/>
  <c r="CE282" i="14"/>
  <c r="CE279" i="14"/>
  <c r="CE277" i="14"/>
  <c r="CE273" i="14"/>
  <c r="CE270" i="14"/>
  <c r="CE269" i="14"/>
  <c r="CI263" i="14"/>
  <c r="CE263" i="14"/>
  <c r="CI254" i="14"/>
  <c r="CE254" i="14"/>
  <c r="CI232" i="14"/>
  <c r="CE232" i="14"/>
  <c r="CI229" i="14"/>
  <c r="CV229" i="14" s="1"/>
  <c r="CS229" i="14" s="1"/>
  <c r="CE222" i="14"/>
  <c r="CI205" i="14"/>
  <c r="CE205" i="14"/>
  <c r="CI197" i="14"/>
  <c r="CE197" i="14"/>
  <c r="CI180" i="14"/>
  <c r="CE179" i="14"/>
  <c r="CI161" i="14"/>
  <c r="CE161" i="14"/>
  <c r="CI158" i="14"/>
  <c r="CV158" i="14" s="1"/>
  <c r="CS158" i="14" s="1"/>
  <c r="CI153" i="14"/>
  <c r="CE153" i="14"/>
  <c r="CI146" i="14"/>
  <c r="CI143" i="14"/>
  <c r="CE139" i="14"/>
  <c r="CI130" i="14"/>
  <c r="CE130" i="14"/>
  <c r="CI121" i="14"/>
  <c r="CV121" i="14" s="1"/>
  <c r="CI116" i="14"/>
  <c r="CE116" i="14"/>
  <c r="CI96" i="14"/>
  <c r="CE96" i="14"/>
  <c r="CI93" i="14"/>
  <c r="CV93" i="14" s="1"/>
  <c r="CS93" i="14" s="1"/>
  <c r="CE81" i="14"/>
  <c r="CI79" i="14"/>
  <c r="CV79" i="14" s="1"/>
  <c r="CE77" i="14"/>
  <c r="CI64" i="14"/>
  <c r="CI53" i="14"/>
  <c r="CV53" i="14" s="1"/>
  <c r="CI50" i="14"/>
  <c r="CV50" i="14" s="1"/>
  <c r="CI49" i="14"/>
  <c r="CE41" i="14"/>
  <c r="CI22" i="14"/>
  <c r="CE22" i="14"/>
  <c r="CI10" i="14"/>
  <c r="CE10" i="14"/>
  <c r="CI8" i="14"/>
  <c r="CE8" i="14"/>
  <c r="CF319" i="14" l="1"/>
  <c r="CI41" i="14"/>
  <c r="CV49" i="14"/>
  <c r="CS49" i="14" s="1"/>
  <c r="CE59" i="14"/>
  <c r="CT77" i="14"/>
  <c r="CI244" i="14"/>
  <c r="CV254" i="14"/>
  <c r="CE285" i="14"/>
  <c r="CT286" i="14"/>
  <c r="CS286" i="14" s="1"/>
  <c r="CI59" i="14"/>
  <c r="CV64" i="14"/>
  <c r="CI81" i="14"/>
  <c r="CI179" i="14"/>
  <c r="CV180" i="14"/>
  <c r="CS180" i="14" s="1"/>
  <c r="CI222" i="14"/>
  <c r="CE244" i="14"/>
  <c r="CT254" i="14"/>
  <c r="CS254" i="14" s="1"/>
  <c r="CE268" i="14"/>
  <c r="CE276" i="14"/>
  <c r="CI309" i="14"/>
  <c r="CS53" i="14"/>
  <c r="CS121" i="14"/>
  <c r="CS64" i="14"/>
  <c r="CE295" i="14"/>
  <c r="CF244" i="14"/>
  <c r="EK161" i="14"/>
  <c r="EK116" i="14"/>
  <c r="EK81" i="14"/>
  <c r="CF59" i="14"/>
  <c r="EQ296" i="14"/>
  <c r="EQ310" i="14" s="1"/>
  <c r="EQ320" i="14" s="1"/>
  <c r="EQ334" i="14" s="1"/>
  <c r="CF22" i="14"/>
  <c r="EK96" i="14"/>
  <c r="CF222" i="14"/>
  <c r="EU264" i="14"/>
  <c r="CH260" i="14"/>
  <c r="CH262" i="14" s="1"/>
  <c r="EQ264" i="14"/>
  <c r="CE260" i="14"/>
  <c r="EQ266" i="14"/>
  <c r="EQ294" i="14" s="1"/>
  <c r="EQ308" i="14" s="1"/>
  <c r="CF179" i="14"/>
  <c r="CI139" i="14"/>
  <c r="EM260" i="14"/>
  <c r="EM262" i="14" s="1"/>
  <c r="EK244" i="14"/>
  <c r="CF81" i="14"/>
  <c r="CF139" i="14"/>
  <c r="EK59" i="14"/>
  <c r="EL260" i="14"/>
  <c r="EK205" i="14"/>
  <c r="EK41" i="14"/>
  <c r="CF10" i="14"/>
  <c r="CF130" i="14"/>
  <c r="CF153" i="14"/>
  <c r="CG260" i="14"/>
  <c r="EN264" i="14"/>
  <c r="EN266" i="14"/>
  <c r="EN294" i="14" s="1"/>
  <c r="EU308" i="14"/>
  <c r="EU296" i="14"/>
  <c r="EU310" i="14" s="1"/>
  <c r="EU320" i="14" s="1"/>
  <c r="EJ77" i="14"/>
  <c r="BX77" i="14"/>
  <c r="CY77" i="14" s="1"/>
  <c r="CI319" i="14" l="1"/>
  <c r="CE267" i="14"/>
  <c r="CF333" i="14"/>
  <c r="CE309" i="14"/>
  <c r="CI262" i="14"/>
  <c r="CI264" i="14" s="1"/>
  <c r="EQ318" i="14"/>
  <c r="EQ332" i="14" s="1"/>
  <c r="CE262" i="14"/>
  <c r="CE296" i="14" s="1"/>
  <c r="EL262" i="14"/>
  <c r="EK260" i="14"/>
  <c r="EM264" i="14"/>
  <c r="EM266" i="14"/>
  <c r="EM294" i="14" s="1"/>
  <c r="CG262" i="14"/>
  <c r="CF260" i="14"/>
  <c r="CH264" i="14"/>
  <c r="CH266" i="14"/>
  <c r="CH294" i="14" s="1"/>
  <c r="EN296" i="14"/>
  <c r="EN310" i="14" s="1"/>
  <c r="EN320" i="14" s="1"/>
  <c r="EN308" i="14"/>
  <c r="EN322" i="14" s="1"/>
  <c r="EU334" i="14"/>
  <c r="EU318" i="14"/>
  <c r="EU332" i="14" s="1"/>
  <c r="BZ158" i="14"/>
  <c r="CA158" i="14"/>
  <c r="BZ64" i="14"/>
  <c r="ES84" i="14"/>
  <c r="BZ84" i="14"/>
  <c r="ES67" i="14"/>
  <c r="EJ286" i="14"/>
  <c r="CI333" i="14" l="1"/>
  <c r="CE319" i="14"/>
  <c r="CI266" i="14"/>
  <c r="CI294" i="14" s="1"/>
  <c r="CI308" i="14" s="1"/>
  <c r="CE264" i="14"/>
  <c r="CE266" i="14"/>
  <c r="CE310" i="14"/>
  <c r="EK262" i="14"/>
  <c r="EL264" i="14"/>
  <c r="EL266" i="14"/>
  <c r="EL294" i="14" s="1"/>
  <c r="CF262" i="14"/>
  <c r="CG264" i="14"/>
  <c r="CG266" i="14"/>
  <c r="CG294" i="14" s="1"/>
  <c r="EN334" i="14"/>
  <c r="EN318" i="14"/>
  <c r="EN332" i="14" s="1"/>
  <c r="CB53" i="14"/>
  <c r="DA53" i="14" s="1"/>
  <c r="BZ53" i="14"/>
  <c r="BZ55" i="14"/>
  <c r="CE333" i="14" l="1"/>
  <c r="CE320" i="14"/>
  <c r="CE294" i="14"/>
  <c r="CI296" i="14"/>
  <c r="EK264" i="14"/>
  <c r="EK266" i="14"/>
  <c r="EK294" i="14" s="1"/>
  <c r="CF264" i="14"/>
  <c r="CF266" i="14"/>
  <c r="CB121" i="14"/>
  <c r="DA121" i="14" s="1"/>
  <c r="BZ121" i="14"/>
  <c r="CF294" i="14" l="1"/>
  <c r="CF296" i="14" s="1"/>
  <c r="CI310" i="14"/>
  <c r="CE334" i="14"/>
  <c r="CE318" i="14"/>
  <c r="CE308" i="14"/>
  <c r="EK296" i="14"/>
  <c r="EK310" i="14" s="1"/>
  <c r="EK320" i="14" s="1"/>
  <c r="EK308" i="14"/>
  <c r="CA121" i="14"/>
  <c r="CF308" i="14" l="1"/>
  <c r="CE332" i="14"/>
  <c r="CI320" i="14"/>
  <c r="CF310" i="14"/>
  <c r="EK334" i="14"/>
  <c r="EK318" i="14"/>
  <c r="EK332" i="14" s="1"/>
  <c r="BZ67" i="14"/>
  <c r="BX286" i="14"/>
  <c r="CY286" i="14" s="1"/>
  <c r="CF320" i="14" l="1"/>
  <c r="CI334" i="14"/>
  <c r="CI318" i="14"/>
  <c r="AZ111" i="14"/>
  <c r="BG111" i="14" s="1"/>
  <c r="BF111" i="14" s="1"/>
  <c r="ET55" i="14"/>
  <c r="CA55" i="14"/>
  <c r="ET200" i="14"/>
  <c r="CA200" i="14"/>
  <c r="ET158" i="14"/>
  <c r="ES158" i="14"/>
  <c r="CI332" i="14" l="1"/>
  <c r="CF334" i="14"/>
  <c r="CF318" i="14"/>
  <c r="ET86" i="14"/>
  <c r="CA86" i="14"/>
  <c r="CF332" i="14" l="1"/>
  <c r="ET190" i="14"/>
  <c r="CA190" i="14"/>
  <c r="ET209" i="14"/>
  <c r="CA209" i="14"/>
  <c r="CB158" i="14"/>
  <c r="DA158" i="14" s="1"/>
  <c r="CB180" i="14"/>
  <c r="DA180" i="14" s="1"/>
  <c r="EJ254" i="14"/>
  <c r="BX254" i="14"/>
  <c r="CY254" i="14" s="1"/>
  <c r="ES64" i="14"/>
  <c r="CA64" i="14"/>
  <c r="BB186" i="14"/>
  <c r="BI186" i="14" s="1"/>
  <c r="BH186" i="14" s="1"/>
  <c r="BF186" i="14" s="1"/>
  <c r="ES11" i="14"/>
  <c r="CA11" i="14"/>
  <c r="BZ11" i="14"/>
  <c r="ET13" i="14"/>
  <c r="CA13" i="14"/>
  <c r="GK331" i="14"/>
  <c r="GK328" i="14"/>
  <c r="GK327" i="14"/>
  <c r="GK326" i="14"/>
  <c r="GK325" i="14"/>
  <c r="GK324" i="14"/>
  <c r="GK323" i="14"/>
  <c r="GK321" i="14"/>
  <c r="GK317" i="14"/>
  <c r="GK315" i="14"/>
  <c r="GK311" i="14"/>
  <c r="GK307" i="14"/>
  <c r="GK306" i="14"/>
  <c r="GK305" i="14"/>
  <c r="GK303" i="14"/>
  <c r="GK302" i="14"/>
  <c r="GK297" i="14"/>
  <c r="AB285" i="14"/>
  <c r="AB277" i="14"/>
  <c r="AB283" i="14"/>
  <c r="AG330" i="14" l="1"/>
  <c r="AG316" i="14"/>
  <c r="AG309" i="14"/>
  <c r="AG319" i="14" s="1"/>
  <c r="AG263" i="14"/>
  <c r="AG244" i="14"/>
  <c r="AG232" i="14"/>
  <c r="AG229" i="14"/>
  <c r="AG205" i="14"/>
  <c r="AG197" i="14"/>
  <c r="AG179" i="14"/>
  <c r="AG161" i="14"/>
  <c r="AG153" i="14"/>
  <c r="AG139" i="14"/>
  <c r="AG130" i="14"/>
  <c r="AG116" i="14"/>
  <c r="AG96" i="14"/>
  <c r="AG81" i="14"/>
  <c r="AG64" i="14"/>
  <c r="AG45" i="14"/>
  <c r="AG41" i="14"/>
  <c r="AG22" i="14"/>
  <c r="AG10" i="14"/>
  <c r="AG8" i="14"/>
  <c r="AC330" i="14"/>
  <c r="AC316" i="14"/>
  <c r="AC295" i="14"/>
  <c r="AC309" i="14" s="1"/>
  <c r="AC319" i="14" s="1"/>
  <c r="AC291" i="14"/>
  <c r="AC288" i="14"/>
  <c r="AC285" i="14"/>
  <c r="AC282" i="14"/>
  <c r="AC279" i="14"/>
  <c r="AC276" i="14"/>
  <c r="AC273" i="14"/>
  <c r="AC270" i="14"/>
  <c r="AC268" i="14"/>
  <c r="AC267" i="14"/>
  <c r="AC263" i="14"/>
  <c r="AC244" i="14"/>
  <c r="AC232" i="14"/>
  <c r="AC222" i="14"/>
  <c r="AC205" i="14"/>
  <c r="AC197" i="14"/>
  <c r="AC179" i="14"/>
  <c r="AC161" i="14"/>
  <c r="AC153" i="14"/>
  <c r="AC139" i="14"/>
  <c r="AC130" i="14"/>
  <c r="AC116" i="14"/>
  <c r="AC96" i="14"/>
  <c r="AC81" i="14"/>
  <c r="AC59" i="14"/>
  <c r="AC41" i="14"/>
  <c r="BG41" i="14" s="1"/>
  <c r="AC22" i="14"/>
  <c r="AC10" i="14"/>
  <c r="AC8" i="14"/>
  <c r="AG59" i="14" l="1"/>
  <c r="AG222" i="14"/>
  <c r="AG260" i="14"/>
  <c r="AG333" i="14"/>
  <c r="AC333" i="14"/>
  <c r="AG262" i="14" l="1"/>
  <c r="AG264" i="14" s="1"/>
  <c r="AC262" i="14"/>
  <c r="AC296" i="14" l="1"/>
  <c r="AC310" i="14" s="1"/>
  <c r="AC320" i="14" s="1"/>
  <c r="AC334" i="14" s="1"/>
  <c r="AB262" i="14"/>
  <c r="AG266" i="14"/>
  <c r="AG294" i="14" s="1"/>
  <c r="AC266" i="14"/>
  <c r="AC294" i="14" s="1"/>
  <c r="AC318" i="14"/>
  <c r="AC332" i="14" s="1"/>
  <c r="AC264" i="14"/>
  <c r="AG296" i="14"/>
  <c r="AG310" i="14" s="1"/>
  <c r="AG320" i="14" s="1"/>
  <c r="CB254" i="14"/>
  <c r="DA254" i="14" s="1"/>
  <c r="ES103" i="14"/>
  <c r="BZ103" i="14"/>
  <c r="AG308" i="14" l="1"/>
  <c r="AG318" i="14"/>
  <c r="AG332" i="14" s="1"/>
  <c r="AG334" i="14"/>
  <c r="AC308" i="14"/>
  <c r="EJ283" i="14"/>
  <c r="BX283" i="14"/>
  <c r="CY283" i="14" s="1"/>
  <c r="ES48" i="14" l="1"/>
  <c r="BZ48" i="14"/>
  <c r="ET124" i="14"/>
  <c r="CA124" i="14"/>
  <c r="CA212" i="14"/>
  <c r="CA144" i="14"/>
  <c r="BZ144" i="14"/>
  <c r="CA253" i="14"/>
  <c r="BZ253" i="14"/>
  <c r="CA75" i="14"/>
  <c r="BZ75" i="14"/>
  <c r="AZ151" i="14" l="1"/>
  <c r="BG151" i="14" s="1"/>
  <c r="BF151" i="14" s="1"/>
  <c r="AZ122" i="14" l="1"/>
  <c r="BG122" i="14" s="1"/>
  <c r="BF122" i="14" s="1"/>
  <c r="CA192" i="14"/>
  <c r="ES92" i="14"/>
  <c r="BZ92" i="14"/>
  <c r="BD64" i="14" l="1"/>
  <c r="BK64" i="14" s="1"/>
  <c r="AZ77" i="14"/>
  <c r="BG77" i="14" s="1"/>
  <c r="BF77" i="14" s="1"/>
  <c r="ET212" i="14"/>
  <c r="CA173" i="14"/>
  <c r="ET92" i="14"/>
  <c r="CA92" i="14"/>
  <c r="ET136" i="14" l="1"/>
  <c r="CA136" i="14"/>
  <c r="ET180" i="14"/>
  <c r="CA180" i="14"/>
  <c r="AE11" i="14" l="1"/>
  <c r="AF67" i="14" l="1"/>
  <c r="AE67" i="14"/>
  <c r="BC67" i="14"/>
  <c r="AF11" i="14"/>
  <c r="BJ67" i="14" l="1"/>
  <c r="BC212" i="14"/>
  <c r="BJ212" i="14" s="1"/>
  <c r="BB212" i="14"/>
  <c r="BI212" i="14" s="1"/>
  <c r="BZ156" i="14"/>
  <c r="AF243" i="14"/>
  <c r="BJ243" i="14" s="1"/>
  <c r="BH243" i="14" s="1"/>
  <c r="BF243" i="14" s="1"/>
  <c r="AF136" i="14"/>
  <c r="AF99" i="14"/>
  <c r="BJ99" i="14" s="1"/>
  <c r="BH99" i="14" s="1"/>
  <c r="BF99" i="14" s="1"/>
  <c r="AF113" i="14"/>
  <c r="AF112" i="14"/>
  <c r="BJ112" i="14" s="1"/>
  <c r="BH112" i="14" s="1"/>
  <c r="BF112" i="14" s="1"/>
  <c r="BC113" i="14"/>
  <c r="BB156" i="14"/>
  <c r="AE156" i="14"/>
  <c r="BI156" i="14" l="1"/>
  <c r="BH156" i="14" s="1"/>
  <c r="BF156" i="14" s="1"/>
  <c r="BJ113" i="14"/>
  <c r="BH113" i="14" s="1"/>
  <c r="BF113" i="14" s="1"/>
  <c r="BH212" i="14"/>
  <c r="BF212" i="14" s="1"/>
  <c r="ET53" i="14"/>
  <c r="CA53" i="14"/>
  <c r="BB67" i="14" l="1"/>
  <c r="BI67" i="14" s="1"/>
  <c r="BH67" i="14" s="1"/>
  <c r="BF67" i="14" s="1"/>
  <c r="BB11" i="14" l="1"/>
  <c r="BI11" i="14" s="1"/>
  <c r="BC11" i="14"/>
  <c r="BJ11" i="14" s="1"/>
  <c r="BH11" i="14" l="1"/>
  <c r="BF11" i="14" s="1"/>
  <c r="CB64" i="14"/>
  <c r="DA64" i="14" s="1"/>
  <c r="BC93" i="14" l="1"/>
  <c r="BJ93" i="14" s="1"/>
  <c r="BB93" i="14"/>
  <c r="BI93" i="14" s="1"/>
  <c r="BH93" i="14" s="1"/>
  <c r="BF93" i="14" s="1"/>
  <c r="BC192" i="14" l="1"/>
  <c r="BJ192" i="14" s="1"/>
  <c r="BB192" i="14"/>
  <c r="BI192" i="14" s="1"/>
  <c r="BH192" i="14" s="1"/>
  <c r="BF192" i="14" s="1"/>
  <c r="CA255" i="14" l="1"/>
  <c r="BZ255" i="14"/>
  <c r="BC255" i="14"/>
  <c r="BJ255" i="14" s="1"/>
  <c r="BB255" i="14"/>
  <c r="BI255" i="14" s="1"/>
  <c r="BH255" i="14" s="1"/>
  <c r="BF255" i="14" s="1"/>
  <c r="CA221" i="14"/>
  <c r="BZ221" i="14"/>
  <c r="BC221" i="14"/>
  <c r="BJ221" i="14" s="1"/>
  <c r="BB221" i="14"/>
  <c r="BI221" i="14" s="1"/>
  <c r="BH221" i="14" s="1"/>
  <c r="BF221" i="14" s="1"/>
  <c r="BC252" i="14"/>
  <c r="BJ252" i="14" s="1"/>
  <c r="BB252" i="14"/>
  <c r="BI252" i="14" s="1"/>
  <c r="BH252" i="14" s="1"/>
  <c r="BF252" i="14" s="1"/>
  <c r="CA169" i="14"/>
  <c r="BZ169" i="14"/>
  <c r="BC169" i="14"/>
  <c r="BJ169" i="14" s="1"/>
  <c r="BB169" i="14"/>
  <c r="BI169" i="14" s="1"/>
  <c r="BH169" i="14" s="1"/>
  <c r="BF169" i="14" s="1"/>
  <c r="BC256" i="14"/>
  <c r="BJ256" i="14" s="1"/>
  <c r="CA256" i="14"/>
  <c r="BZ256" i="14"/>
  <c r="BB256" i="14"/>
  <c r="BI256" i="14" s="1"/>
  <c r="BH256" i="14" s="1"/>
  <c r="BF256" i="14" s="1"/>
  <c r="CA9" i="14"/>
  <c r="BZ9" i="14"/>
  <c r="BC9" i="14"/>
  <c r="BJ9" i="14" s="1"/>
  <c r="BB9" i="14"/>
  <c r="BI9" i="14" s="1"/>
  <c r="BH9" i="14" s="1"/>
  <c r="BF9" i="14" s="1"/>
  <c r="ES97" i="14" l="1"/>
  <c r="BZ97" i="14"/>
  <c r="CA249" i="14" l="1"/>
  <c r="BZ249" i="14"/>
  <c r="BC249" i="14"/>
  <c r="BJ249" i="14" s="1"/>
  <c r="BB249" i="14"/>
  <c r="BI249" i="14" s="1"/>
  <c r="BH249" i="14" s="1"/>
  <c r="BF249" i="14" s="1"/>
  <c r="BZ190" i="14"/>
  <c r="BC190" i="14"/>
  <c r="BJ190" i="14" s="1"/>
  <c r="BB190" i="14"/>
  <c r="BI190" i="14" s="1"/>
  <c r="BH190" i="14" l="1"/>
  <c r="BF190" i="14" s="1"/>
  <c r="BZ166" i="14"/>
  <c r="BC166" i="14"/>
  <c r="BJ166" i="14" s="1"/>
  <c r="BB166" i="14"/>
  <c r="BI166" i="14" s="1"/>
  <c r="BH166" i="14" s="1"/>
  <c r="BF166" i="14" s="1"/>
  <c r="CA228" i="14"/>
  <c r="BZ228" i="14"/>
  <c r="BC228" i="14"/>
  <c r="BJ228" i="14" s="1"/>
  <c r="BB228" i="14"/>
  <c r="BI228" i="14" s="1"/>
  <c r="BH228" i="14" s="1"/>
  <c r="BF228" i="14" s="1"/>
  <c r="CA231" i="14"/>
  <c r="BZ231" i="14"/>
  <c r="BC231" i="14"/>
  <c r="BJ231" i="14" s="1"/>
  <c r="BB231" i="14"/>
  <c r="BI231" i="14" s="1"/>
  <c r="BH231" i="14" s="1"/>
  <c r="BF231" i="14" s="1"/>
  <c r="BC158" i="14"/>
  <c r="BJ158" i="14" s="1"/>
  <c r="BB158" i="14"/>
  <c r="BI158" i="14" s="1"/>
  <c r="BH158" i="14" s="1"/>
  <c r="BF158" i="14" s="1"/>
  <c r="ET93" i="14"/>
  <c r="CA93" i="14"/>
  <c r="BZ173" i="14"/>
  <c r="BC173" i="14"/>
  <c r="BJ173" i="14" s="1"/>
  <c r="BB173" i="14"/>
  <c r="BI173" i="14" s="1"/>
  <c r="CA143" i="14"/>
  <c r="BZ143" i="14"/>
  <c r="BC143" i="14"/>
  <c r="BJ143" i="14" s="1"/>
  <c r="BB143" i="14"/>
  <c r="BI143" i="14" s="1"/>
  <c r="CB93" i="14"/>
  <c r="DA93" i="14" s="1"/>
  <c r="CA107" i="14"/>
  <c r="BZ107" i="14"/>
  <c r="BC107" i="14"/>
  <c r="BJ107" i="14" s="1"/>
  <c r="BB107" i="14"/>
  <c r="BI107" i="14" s="1"/>
  <c r="BH107" i="14" s="1"/>
  <c r="BF107" i="14" s="1"/>
  <c r="CA56" i="14"/>
  <c r="BZ56" i="14"/>
  <c r="BC56" i="14"/>
  <c r="BJ56" i="14" s="1"/>
  <c r="BB56" i="14"/>
  <c r="BI56" i="14" s="1"/>
  <c r="BH56" i="14" s="1"/>
  <c r="BF56" i="14" s="1"/>
  <c r="BH143" i="14" l="1"/>
  <c r="BF143" i="14" s="1"/>
  <c r="BH173" i="14"/>
  <c r="BF173" i="14" s="1"/>
  <c r="CA123" i="14"/>
  <c r="BZ123" i="14"/>
  <c r="BC123" i="14"/>
  <c r="BJ123" i="14" s="1"/>
  <c r="BB123" i="14"/>
  <c r="BI123" i="14" s="1"/>
  <c r="BH123" i="14" s="1"/>
  <c r="BF123" i="14" s="1"/>
  <c r="CA88" i="14"/>
  <c r="BZ88" i="14"/>
  <c r="BC88" i="14"/>
  <c r="BJ88" i="14" s="1"/>
  <c r="BB88" i="14"/>
  <c r="BI88" i="14" s="1"/>
  <c r="BH88" i="14" s="1"/>
  <c r="BF88" i="14" s="1"/>
  <c r="ET97" i="14"/>
  <c r="CA97" i="14"/>
  <c r="CA91" i="14"/>
  <c r="BZ91" i="14"/>
  <c r="BC91" i="14"/>
  <c r="BJ91" i="14" s="1"/>
  <c r="BB91" i="14"/>
  <c r="BI91" i="14" s="1"/>
  <c r="BH91" i="14" s="1"/>
  <c r="BF91" i="14" s="1"/>
  <c r="BC53" i="14"/>
  <c r="BJ53" i="14" s="1"/>
  <c r="BB53" i="14"/>
  <c r="BI53" i="14" s="1"/>
  <c r="BH53" i="14" s="1"/>
  <c r="BF53" i="14" s="1"/>
  <c r="CA17" i="14"/>
  <c r="BZ17" i="14"/>
  <c r="BC17" i="14"/>
  <c r="BJ17" i="14" s="1"/>
  <c r="BB17" i="14"/>
  <c r="BI17" i="14" s="1"/>
  <c r="BH17" i="14" s="1"/>
  <c r="BF17" i="14" s="1"/>
  <c r="BC64" i="14" l="1"/>
  <c r="BJ64" i="14" s="1"/>
  <c r="BB64" i="14"/>
  <c r="BI64" i="14" s="1"/>
  <c r="BH64" i="14" s="1"/>
  <c r="BF64" i="14" s="1"/>
  <c r="BC121" i="14"/>
  <c r="BJ121" i="14" s="1"/>
  <c r="BB121" i="14"/>
  <c r="BI121" i="14" s="1"/>
  <c r="BH121" i="14" s="1"/>
  <c r="BF121" i="14" s="1"/>
  <c r="CA62" i="14"/>
  <c r="BZ62" i="14"/>
  <c r="BB62" i="14"/>
  <c r="BI62" i="14" s="1"/>
  <c r="BC62" i="14"/>
  <c r="BJ62" i="14" s="1"/>
  <c r="BH62" i="14" l="1"/>
  <c r="BF62" i="14" s="1"/>
  <c r="ET102" i="14"/>
  <c r="CA102" i="14"/>
  <c r="ES102" i="14"/>
  <c r="BZ102" i="14"/>
  <c r="BB55" i="14"/>
  <c r="BI55" i="14" s="1"/>
  <c r="BC55" i="14"/>
  <c r="BJ55" i="14" s="1"/>
  <c r="BH55" i="14" l="1"/>
  <c r="BF55" i="14" s="1"/>
  <c r="ET236" i="14"/>
  <c r="CA236" i="14"/>
  <c r="ES236" i="14" l="1"/>
  <c r="BZ236" i="14"/>
  <c r="ET56" i="14" l="1"/>
  <c r="ET104" i="14" l="1"/>
  <c r="CA104" i="14"/>
  <c r="ET62" i="14"/>
  <c r="ES62" i="14"/>
  <c r="ET254" i="14" l="1"/>
  <c r="CA254" i="14" l="1"/>
  <c r="AZ277" i="14" l="1"/>
  <c r="BG277" i="14" s="1"/>
  <c r="BF277" i="14" s="1"/>
  <c r="AZ254" i="14" l="1"/>
  <c r="BG254" i="14" s="1"/>
  <c r="BF254" i="14" s="1"/>
  <c r="ET84" i="14"/>
  <c r="CA84" i="14"/>
  <c r="ET135" i="14" l="1"/>
  <c r="CA135" i="14"/>
  <c r="BB210" i="14"/>
  <c r="BI210" i="14" s="1"/>
  <c r="BH210" i="14" s="1"/>
  <c r="BF210" i="14" s="1"/>
  <c r="ET146" i="14" l="1"/>
  <c r="CA146" i="14"/>
  <c r="ET189" i="14"/>
  <c r="CA189" i="14"/>
  <c r="ET49" i="14" l="1"/>
  <c r="CA49" i="14"/>
  <c r="AF110" i="14"/>
  <c r="BJ110" i="14" s="1"/>
  <c r="AF76" i="14"/>
  <c r="BJ76" i="14" s="1"/>
  <c r="AE76" i="14"/>
  <c r="BI76" i="14" s="1"/>
  <c r="AF101" i="14"/>
  <c r="BJ101" i="14" s="1"/>
  <c r="BH101" i="14" s="1"/>
  <c r="BF101" i="14" s="1"/>
  <c r="AF57" i="14"/>
  <c r="BJ57" i="14" s="1"/>
  <c r="BH57" i="14" s="1"/>
  <c r="BF57" i="14" s="1"/>
  <c r="CB79" i="14"/>
  <c r="DA79" i="14" s="1"/>
  <c r="BH76" i="14" l="1"/>
  <c r="BF76" i="14" s="1"/>
  <c r="ES134" i="14"/>
  <c r="BZ134" i="14"/>
  <c r="ET113" i="14" l="1"/>
  <c r="CA113" i="14"/>
  <c r="ET172" i="14" l="1"/>
  <c r="CA172" i="14"/>
  <c r="ES87" i="14" l="1"/>
  <c r="BZ87" i="14"/>
  <c r="ES56" i="14" l="1"/>
  <c r="ES152" i="14"/>
  <c r="BZ152" i="14"/>
  <c r="ET217" i="14"/>
  <c r="CA217" i="14"/>
  <c r="AA45" i="14" l="1"/>
  <c r="AA229" i="14" l="1"/>
  <c r="AA64" i="14"/>
  <c r="ET150" i="14"/>
  <c r="ES150" i="14"/>
  <c r="CA150" i="14"/>
  <c r="BZ150" i="14"/>
  <c r="ES53" i="14" l="1"/>
  <c r="V40" i="14" l="1"/>
  <c r="V39" i="14"/>
  <c r="Z110" i="14"/>
  <c r="X110" i="14" s="1"/>
  <c r="V110" i="14" s="1"/>
  <c r="Z101" i="14"/>
  <c r="Z76" i="14"/>
  <c r="Y76" i="14"/>
  <c r="X76" i="14" s="1"/>
  <c r="V76" i="14" s="1"/>
  <c r="Z57" i="14"/>
  <c r="X57" i="14" s="1"/>
  <c r="V57" i="14" s="1"/>
  <c r="X330" i="14"/>
  <c r="X316" i="14"/>
  <c r="X304" i="14"/>
  <c r="X301" i="14"/>
  <c r="X300" i="14"/>
  <c r="X299" i="14"/>
  <c r="X309" i="14" s="1"/>
  <c r="X319" i="14" s="1"/>
  <c r="X259" i="14"/>
  <c r="V259" i="14" s="1"/>
  <c r="X258" i="14"/>
  <c r="V258" i="14" s="1"/>
  <c r="X257" i="14"/>
  <c r="V257" i="14" s="1"/>
  <c r="X256" i="14"/>
  <c r="V256" i="14" s="1"/>
  <c r="X255" i="14"/>
  <c r="V255" i="14" s="1"/>
  <c r="X254" i="14"/>
  <c r="V254" i="14" s="1"/>
  <c r="X253" i="14"/>
  <c r="V253" i="14" s="1"/>
  <c r="X252" i="14"/>
  <c r="V252" i="14" s="1"/>
  <c r="X251" i="14"/>
  <c r="V251" i="14" s="1"/>
  <c r="X250" i="14"/>
  <c r="V250" i="14" s="1"/>
  <c r="X249" i="14"/>
  <c r="V249" i="14" s="1"/>
  <c r="X248" i="14"/>
  <c r="V248" i="14" s="1"/>
  <c r="X247" i="14"/>
  <c r="V247" i="14" s="1"/>
  <c r="X246" i="14"/>
  <c r="V246" i="14" s="1"/>
  <c r="X245" i="14"/>
  <c r="V245" i="14" s="1"/>
  <c r="X243" i="14"/>
  <c r="V243" i="14" s="1"/>
  <c r="X242" i="14"/>
  <c r="V242" i="14" s="1"/>
  <c r="X241" i="14"/>
  <c r="V241" i="14" s="1"/>
  <c r="X240" i="14"/>
  <c r="V240" i="14" s="1"/>
  <c r="X239" i="14"/>
  <c r="V239" i="14" s="1"/>
  <c r="X238" i="14"/>
  <c r="V238" i="14" s="1"/>
  <c r="X237" i="14"/>
  <c r="V237" i="14" s="1"/>
  <c r="X236" i="14"/>
  <c r="V236" i="14" s="1"/>
  <c r="X235" i="14"/>
  <c r="V235" i="14" s="1"/>
  <c r="X234" i="14"/>
  <c r="V234" i="14" s="1"/>
  <c r="X233" i="14"/>
  <c r="V233" i="14" s="1"/>
  <c r="X231" i="14"/>
  <c r="V231" i="14" s="1"/>
  <c r="X230" i="14"/>
  <c r="V230" i="14" s="1"/>
  <c r="X229" i="14"/>
  <c r="V229" i="14" s="1"/>
  <c r="X228" i="14"/>
  <c r="V228" i="14" s="1"/>
  <c r="X227" i="14"/>
  <c r="V227" i="14" s="1"/>
  <c r="X226" i="14"/>
  <c r="V226" i="14" s="1"/>
  <c r="X225" i="14"/>
  <c r="X224" i="14"/>
  <c r="V224" i="14" s="1"/>
  <c r="X223" i="14"/>
  <c r="V223" i="14" s="1"/>
  <c r="X221" i="14"/>
  <c r="V221" i="14" s="1"/>
  <c r="X220" i="14"/>
  <c r="V220" i="14" s="1"/>
  <c r="X219" i="14"/>
  <c r="V219" i="14" s="1"/>
  <c r="X218" i="14"/>
  <c r="V218" i="14" s="1"/>
  <c r="X216" i="14"/>
  <c r="V216" i="14" s="1"/>
  <c r="X215" i="14"/>
  <c r="V215" i="14" s="1"/>
  <c r="X214" i="14"/>
  <c r="V214" i="14" s="1"/>
  <c r="X213" i="14"/>
  <c r="V213" i="14" s="1"/>
  <c r="X212" i="14"/>
  <c r="V212" i="14" s="1"/>
  <c r="X211" i="14"/>
  <c r="V211" i="14" s="1"/>
  <c r="X210" i="14"/>
  <c r="V210" i="14" s="1"/>
  <c r="X209" i="14"/>
  <c r="V209" i="14" s="1"/>
  <c r="X208" i="14"/>
  <c r="V208" i="14" s="1"/>
  <c r="X207" i="14"/>
  <c r="X204" i="14"/>
  <c r="V204" i="14" s="1"/>
  <c r="X203" i="14"/>
  <c r="V203" i="14" s="1"/>
  <c r="X202" i="14"/>
  <c r="V202" i="14" s="1"/>
  <c r="X201" i="14"/>
  <c r="V201" i="14" s="1"/>
  <c r="X200" i="14"/>
  <c r="V200" i="14" s="1"/>
  <c r="X199" i="14"/>
  <c r="V199" i="14" s="1"/>
  <c r="X198" i="14"/>
  <c r="V198" i="14" s="1"/>
  <c r="X196" i="14"/>
  <c r="V196" i="14" s="1"/>
  <c r="X195" i="14"/>
  <c r="V195" i="14" s="1"/>
  <c r="X194" i="14"/>
  <c r="V194" i="14" s="1"/>
  <c r="X193" i="14"/>
  <c r="V193" i="14" s="1"/>
  <c r="X192" i="14"/>
  <c r="V192" i="14" s="1"/>
  <c r="X191" i="14"/>
  <c r="V191" i="14" s="1"/>
  <c r="X190" i="14"/>
  <c r="V190" i="14" s="1"/>
  <c r="X189" i="14"/>
  <c r="V189" i="14" s="1"/>
  <c r="X188" i="14"/>
  <c r="V188" i="14" s="1"/>
  <c r="X187" i="14"/>
  <c r="V187" i="14" s="1"/>
  <c r="X186" i="14"/>
  <c r="V186" i="14" s="1"/>
  <c r="X185" i="14"/>
  <c r="V185" i="14" s="1"/>
  <c r="X184" i="14"/>
  <c r="V184" i="14" s="1"/>
  <c r="X183" i="14"/>
  <c r="V183" i="14" s="1"/>
  <c r="X182" i="14"/>
  <c r="X181" i="14"/>
  <c r="V181" i="14" s="1"/>
  <c r="X180" i="14"/>
  <c r="V180" i="14" s="1"/>
  <c r="X178" i="14"/>
  <c r="V178" i="14" s="1"/>
  <c r="X177" i="14"/>
  <c r="V177" i="14" s="1"/>
  <c r="X176" i="14"/>
  <c r="V176" i="14" s="1"/>
  <c r="X175" i="14"/>
  <c r="V175" i="14" s="1"/>
  <c r="X174" i="14"/>
  <c r="V174" i="14" s="1"/>
  <c r="X173" i="14"/>
  <c r="V173" i="14" s="1"/>
  <c r="X172" i="14"/>
  <c r="V172" i="14" s="1"/>
  <c r="X171" i="14"/>
  <c r="V171" i="14" s="1"/>
  <c r="X170" i="14"/>
  <c r="V170" i="14" s="1"/>
  <c r="X169" i="14"/>
  <c r="V169" i="14" s="1"/>
  <c r="X168" i="14"/>
  <c r="V168" i="14" s="1"/>
  <c r="X167" i="14"/>
  <c r="V167" i="14" s="1"/>
  <c r="X166" i="14"/>
  <c r="V166" i="14" s="1"/>
  <c r="X165" i="14"/>
  <c r="V165" i="14" s="1"/>
  <c r="X164" i="14"/>
  <c r="V164" i="14" s="1"/>
  <c r="X163" i="14"/>
  <c r="X162" i="14"/>
  <c r="V162" i="14" s="1"/>
  <c r="X160" i="14"/>
  <c r="V160" i="14" s="1"/>
  <c r="X159" i="14"/>
  <c r="V159" i="14" s="1"/>
  <c r="X158" i="14"/>
  <c r="V158" i="14" s="1"/>
  <c r="X157" i="14"/>
  <c r="V157" i="14" s="1"/>
  <c r="X156" i="14"/>
  <c r="V156" i="14" s="1"/>
  <c r="X155" i="14"/>
  <c r="V155" i="14" s="1"/>
  <c r="X154" i="14"/>
  <c r="V154" i="14" s="1"/>
  <c r="X152" i="14"/>
  <c r="V152" i="14" s="1"/>
  <c r="X151" i="14"/>
  <c r="V151" i="14" s="1"/>
  <c r="X150" i="14"/>
  <c r="V150" i="14" s="1"/>
  <c r="X148" i="14"/>
  <c r="V148" i="14" s="1"/>
  <c r="X147" i="14"/>
  <c r="V147" i="14" s="1"/>
  <c r="X146" i="14"/>
  <c r="V146" i="14" s="1"/>
  <c r="X145" i="14"/>
  <c r="V145" i="14" s="1"/>
  <c r="X143" i="14"/>
  <c r="V143" i="14" s="1"/>
  <c r="X142" i="14"/>
  <c r="X141" i="14"/>
  <c r="V141" i="14" s="1"/>
  <c r="X140" i="14"/>
  <c r="V140" i="14" s="1"/>
  <c r="X138" i="14"/>
  <c r="V138" i="14" s="1"/>
  <c r="X137" i="14"/>
  <c r="V137" i="14" s="1"/>
  <c r="X136" i="14"/>
  <c r="V136" i="14" s="1"/>
  <c r="X135" i="14"/>
  <c r="V135" i="14" s="1"/>
  <c r="X134" i="14"/>
  <c r="V134" i="14" s="1"/>
  <c r="X133" i="14"/>
  <c r="V133" i="14" s="1"/>
  <c r="X132" i="14"/>
  <c r="X131" i="14"/>
  <c r="V131" i="14" s="1"/>
  <c r="X129" i="14"/>
  <c r="V129" i="14" s="1"/>
  <c r="X128" i="14"/>
  <c r="V128" i="14" s="1"/>
  <c r="X127" i="14"/>
  <c r="V127" i="14" s="1"/>
  <c r="X126" i="14"/>
  <c r="V126" i="14" s="1"/>
  <c r="X125" i="14"/>
  <c r="V125" i="14" s="1"/>
  <c r="X124" i="14"/>
  <c r="V124" i="14" s="1"/>
  <c r="X123" i="14"/>
  <c r="V123" i="14" s="1"/>
  <c r="X122" i="14"/>
  <c r="V122" i="14" s="1"/>
  <c r="X121" i="14"/>
  <c r="V121" i="14" s="1"/>
  <c r="X120" i="14"/>
  <c r="V120" i="14" s="1"/>
  <c r="X119" i="14"/>
  <c r="V119" i="14" s="1"/>
  <c r="X118" i="14"/>
  <c r="X117" i="14"/>
  <c r="V117" i="14" s="1"/>
  <c r="X115" i="14"/>
  <c r="V115" i="14" s="1"/>
  <c r="X114" i="14"/>
  <c r="V114" i="14" s="1"/>
  <c r="X113" i="14"/>
  <c r="V113" i="14" s="1"/>
  <c r="X112" i="14"/>
  <c r="V112" i="14" s="1"/>
  <c r="X111" i="14"/>
  <c r="V111" i="14" s="1"/>
  <c r="X109" i="14"/>
  <c r="V109" i="14" s="1"/>
  <c r="X108" i="14"/>
  <c r="V108" i="14" s="1"/>
  <c r="X107" i="14"/>
  <c r="V107" i="14" s="1"/>
  <c r="X106" i="14"/>
  <c r="V106" i="14" s="1"/>
  <c r="X105" i="14"/>
  <c r="V105" i="14" s="1"/>
  <c r="X104" i="14"/>
  <c r="V104" i="14" s="1"/>
  <c r="X103" i="14"/>
  <c r="V103" i="14" s="1"/>
  <c r="X102" i="14"/>
  <c r="V102" i="14" s="1"/>
  <c r="X101" i="14"/>
  <c r="V101" i="14" s="1"/>
  <c r="X100" i="14"/>
  <c r="V100" i="14" s="1"/>
  <c r="X99" i="14"/>
  <c r="V99" i="14" s="1"/>
  <c r="X98" i="14"/>
  <c r="V98" i="14" s="1"/>
  <c r="X97" i="14"/>
  <c r="V97" i="14" s="1"/>
  <c r="X95" i="14"/>
  <c r="V95" i="14" s="1"/>
  <c r="X94" i="14"/>
  <c r="V94" i="14" s="1"/>
  <c r="X93" i="14"/>
  <c r="V93" i="14" s="1"/>
  <c r="X92" i="14"/>
  <c r="V92" i="14" s="1"/>
  <c r="X91" i="14"/>
  <c r="V91" i="14" s="1"/>
  <c r="X90" i="14"/>
  <c r="V90" i="14" s="1"/>
  <c r="X89" i="14"/>
  <c r="V89" i="14" s="1"/>
  <c r="X88" i="14"/>
  <c r="V88" i="14" s="1"/>
  <c r="X87" i="14"/>
  <c r="V87" i="14" s="1"/>
  <c r="X86" i="14"/>
  <c r="V86" i="14" s="1"/>
  <c r="X85" i="14"/>
  <c r="V85" i="14" s="1"/>
  <c r="X83" i="14"/>
  <c r="V83" i="14" s="1"/>
  <c r="X80" i="14"/>
  <c r="V80" i="14" s="1"/>
  <c r="X79" i="14"/>
  <c r="V79" i="14" s="1"/>
  <c r="X78" i="14"/>
  <c r="V78" i="14" s="1"/>
  <c r="X77" i="14"/>
  <c r="V77" i="14" s="1"/>
  <c r="X74" i="14"/>
  <c r="V74" i="14" s="1"/>
  <c r="X73" i="14"/>
  <c r="V73" i="14" s="1"/>
  <c r="X72" i="14"/>
  <c r="V72" i="14" s="1"/>
  <c r="X71" i="14"/>
  <c r="V71" i="14" s="1"/>
  <c r="X70" i="14"/>
  <c r="V70" i="14" s="1"/>
  <c r="X69" i="14"/>
  <c r="V69" i="14" s="1"/>
  <c r="X68" i="14"/>
  <c r="V68" i="14" s="1"/>
  <c r="X67" i="14"/>
  <c r="V67" i="14" s="1"/>
  <c r="X66" i="14"/>
  <c r="V66" i="14" s="1"/>
  <c r="X65" i="14"/>
  <c r="V65" i="14" s="1"/>
  <c r="X64" i="14"/>
  <c r="V64" i="14" s="1"/>
  <c r="X62" i="14"/>
  <c r="V62" i="14" s="1"/>
  <c r="X61" i="14"/>
  <c r="V61" i="14" s="1"/>
  <c r="X58" i="14"/>
  <c r="V58" i="14" s="1"/>
  <c r="X56" i="14"/>
  <c r="V56" i="14" s="1"/>
  <c r="X55" i="14"/>
  <c r="V55" i="14" s="1"/>
  <c r="X54" i="14"/>
  <c r="V54" i="14" s="1"/>
  <c r="X53" i="14"/>
  <c r="V53" i="14" s="1"/>
  <c r="X52" i="14"/>
  <c r="V52" i="14" s="1"/>
  <c r="X51" i="14"/>
  <c r="V51" i="14" s="1"/>
  <c r="X50" i="14"/>
  <c r="V50" i="14" s="1"/>
  <c r="X49" i="14"/>
  <c r="V49" i="14" s="1"/>
  <c r="X48" i="14"/>
  <c r="V48" i="14" s="1"/>
  <c r="X47" i="14"/>
  <c r="V47" i="14" s="1"/>
  <c r="X46" i="14"/>
  <c r="V46" i="14" s="1"/>
  <c r="X45" i="14"/>
  <c r="V45" i="14" s="1"/>
  <c r="X44" i="14"/>
  <c r="V44" i="14" s="1"/>
  <c r="X43" i="14"/>
  <c r="V43" i="14" s="1"/>
  <c r="X42" i="14"/>
  <c r="V42" i="14" s="1"/>
  <c r="X38" i="14"/>
  <c r="V38" i="14" s="1"/>
  <c r="X37" i="14"/>
  <c r="V37" i="14" s="1"/>
  <c r="X36" i="14"/>
  <c r="V36" i="14" s="1"/>
  <c r="X35" i="14"/>
  <c r="V35" i="14" s="1"/>
  <c r="X34" i="14"/>
  <c r="V34" i="14" s="1"/>
  <c r="X33" i="14"/>
  <c r="V33" i="14" s="1"/>
  <c r="X32" i="14"/>
  <c r="V32" i="14" s="1"/>
  <c r="X31" i="14"/>
  <c r="V31" i="14" s="1"/>
  <c r="X30" i="14"/>
  <c r="V30" i="14" s="1"/>
  <c r="X29" i="14"/>
  <c r="V29" i="14" s="1"/>
  <c r="X28" i="14"/>
  <c r="V28" i="14" s="1"/>
  <c r="X27" i="14"/>
  <c r="V27" i="14" s="1"/>
  <c r="X26" i="14"/>
  <c r="V26" i="14" s="1"/>
  <c r="X25" i="14"/>
  <c r="V25" i="14" s="1"/>
  <c r="X24" i="14"/>
  <c r="X23" i="14"/>
  <c r="V23" i="14" s="1"/>
  <c r="X21" i="14"/>
  <c r="V21" i="14" s="1"/>
  <c r="X20" i="14"/>
  <c r="V20" i="14" s="1"/>
  <c r="X19" i="14"/>
  <c r="V19" i="14" s="1"/>
  <c r="X18" i="14"/>
  <c r="V18" i="14" s="1"/>
  <c r="X17" i="14"/>
  <c r="V17" i="14" s="1"/>
  <c r="X16" i="14"/>
  <c r="V16" i="14" s="1"/>
  <c r="X14" i="14"/>
  <c r="V14" i="14" s="1"/>
  <c r="X13" i="14"/>
  <c r="V13" i="14" s="1"/>
  <c r="X12" i="14"/>
  <c r="X9" i="14"/>
  <c r="V9" i="14" s="1"/>
  <c r="Z244" i="14"/>
  <c r="Y244" i="14"/>
  <c r="Z232" i="14"/>
  <c r="Y232" i="14"/>
  <c r="Z222" i="14"/>
  <c r="Y222" i="14"/>
  <c r="Y217" i="14"/>
  <c r="X217" i="14" s="1"/>
  <c r="V217" i="14" s="1"/>
  <c r="Y206" i="14"/>
  <c r="Z205" i="14"/>
  <c r="Z197" i="14"/>
  <c r="Y197" i="14"/>
  <c r="Z179" i="14"/>
  <c r="Y179" i="14"/>
  <c r="Z161" i="14"/>
  <c r="Y161" i="14"/>
  <c r="Z153" i="14"/>
  <c r="Y153" i="14"/>
  <c r="Y149" i="14"/>
  <c r="X149" i="14" s="1"/>
  <c r="V149" i="14" s="1"/>
  <c r="Y144" i="14"/>
  <c r="Y139" i="14" s="1"/>
  <c r="Z139" i="14"/>
  <c r="Z130" i="14"/>
  <c r="Y130" i="14"/>
  <c r="Z116" i="14"/>
  <c r="Y116" i="14"/>
  <c r="Y96" i="14"/>
  <c r="Y84" i="14"/>
  <c r="Y82" i="14"/>
  <c r="X82" i="14" s="1"/>
  <c r="V82" i="14" s="1"/>
  <c r="Z81" i="14"/>
  <c r="Y75" i="14"/>
  <c r="X75" i="14" s="1"/>
  <c r="V75" i="14" s="1"/>
  <c r="Y63" i="14"/>
  <c r="X63" i="14" s="1"/>
  <c r="V63" i="14" s="1"/>
  <c r="Y60" i="14"/>
  <c r="X60" i="14" s="1"/>
  <c r="V60" i="14" s="1"/>
  <c r="Z59" i="14"/>
  <c r="Y41" i="14"/>
  <c r="Z22" i="14"/>
  <c r="Y22" i="14"/>
  <c r="Y15" i="14"/>
  <c r="X15" i="14" s="1"/>
  <c r="V15" i="14" s="1"/>
  <c r="Y11" i="14"/>
  <c r="X11" i="14" s="1"/>
  <c r="V11" i="14" s="1"/>
  <c r="Z10" i="14"/>
  <c r="Z8" i="14"/>
  <c r="Y8" i="14"/>
  <c r="W267" i="14"/>
  <c r="V283" i="14"/>
  <c r="V277" i="14"/>
  <c r="X222" i="14" l="1"/>
  <c r="Y205" i="14"/>
  <c r="X298" i="14"/>
  <c r="X8" i="14"/>
  <c r="Z96" i="14"/>
  <c r="X130" i="14"/>
  <c r="V225" i="14"/>
  <c r="Z41" i="14"/>
  <c r="X161" i="14"/>
  <c r="X206" i="14"/>
  <c r="V206" i="14" s="1"/>
  <c r="X10" i="14"/>
  <c r="V132" i="14"/>
  <c r="Y10" i="14"/>
  <c r="Y59" i="14"/>
  <c r="X22" i="14"/>
  <c r="X144" i="14"/>
  <c r="V144" i="14" s="1"/>
  <c r="X232" i="14"/>
  <c r="V12" i="14"/>
  <c r="V24" i="14"/>
  <c r="V163" i="14"/>
  <c r="V207" i="14"/>
  <c r="X153" i="14"/>
  <c r="Y81" i="14"/>
  <c r="X84" i="14"/>
  <c r="V84" i="14" s="1"/>
  <c r="X116" i="14"/>
  <c r="X179" i="14"/>
  <c r="X197" i="14"/>
  <c r="X244" i="14"/>
  <c r="V118" i="14"/>
  <c r="V142" i="14"/>
  <c r="V182" i="14"/>
  <c r="X96" i="14"/>
  <c r="X59" i="14"/>
  <c r="X41" i="14"/>
  <c r="X333" i="14"/>
  <c r="X263" i="14"/>
  <c r="AA330" i="14"/>
  <c r="W330" i="14"/>
  <c r="AA316" i="14"/>
  <c r="W316" i="14"/>
  <c r="AA309" i="14"/>
  <c r="AA319" i="14" s="1"/>
  <c r="AA333" i="14" s="1"/>
  <c r="V304" i="14"/>
  <c r="V301" i="14"/>
  <c r="V300" i="14"/>
  <c r="V299" i="14"/>
  <c r="W295" i="14"/>
  <c r="W309" i="14" s="1"/>
  <c r="W291" i="14"/>
  <c r="W288" i="14"/>
  <c r="W285" i="14"/>
  <c r="W282" i="14"/>
  <c r="W279" i="14"/>
  <c r="W276" i="14"/>
  <c r="W273" i="14"/>
  <c r="W270" i="14"/>
  <c r="W268" i="14"/>
  <c r="V268" i="14" s="1"/>
  <c r="V265" i="14"/>
  <c r="AA263" i="14"/>
  <c r="W263" i="14"/>
  <c r="V261" i="14"/>
  <c r="AA244" i="14"/>
  <c r="W244" i="14"/>
  <c r="AA232" i="14"/>
  <c r="W232" i="14"/>
  <c r="AA222" i="14"/>
  <c r="W222" i="14"/>
  <c r="AA205" i="14"/>
  <c r="W205" i="14"/>
  <c r="AA197" i="14"/>
  <c r="W197" i="14"/>
  <c r="AA179" i="14"/>
  <c r="W179" i="14"/>
  <c r="AA161" i="14"/>
  <c r="W161" i="14"/>
  <c r="AA153" i="14"/>
  <c r="W153" i="14"/>
  <c r="W139" i="14"/>
  <c r="AA139" i="14"/>
  <c r="AA130" i="14"/>
  <c r="W130" i="14"/>
  <c r="AA116" i="14"/>
  <c r="W116" i="14"/>
  <c r="AA96" i="14"/>
  <c r="W96" i="14"/>
  <c r="AA81" i="14"/>
  <c r="W81" i="14"/>
  <c r="AA59" i="14"/>
  <c r="W59" i="14"/>
  <c r="AA41" i="14"/>
  <c r="W41" i="14"/>
  <c r="AA22" i="14"/>
  <c r="W22" i="14"/>
  <c r="AA10" i="14"/>
  <c r="W10" i="14"/>
  <c r="AA8" i="14"/>
  <c r="W8" i="14"/>
  <c r="Z260" i="14" l="1"/>
  <c r="Z262" i="14" s="1"/>
  <c r="Z266" i="14" s="1"/>
  <c r="Z294" i="14" s="1"/>
  <c r="X205" i="14"/>
  <c r="V116" i="14"/>
  <c r="V161" i="14"/>
  <c r="Y260" i="14"/>
  <c r="Y262" i="14" s="1"/>
  <c r="Y266" i="14" s="1"/>
  <c r="Y294" i="14" s="1"/>
  <c r="X139" i="14"/>
  <c r="V244" i="14"/>
  <c r="X81" i="14"/>
  <c r="V81" i="14" s="1"/>
  <c r="V8" i="14"/>
  <c r="V22" i="14"/>
  <c r="V96" i="14"/>
  <c r="V130" i="14"/>
  <c r="V153" i="14"/>
  <c r="V179" i="14"/>
  <c r="V205" i="14"/>
  <c r="V232" i="14"/>
  <c r="V10" i="14"/>
  <c r="V197" i="14"/>
  <c r="V298" i="14"/>
  <c r="V59" i="14"/>
  <c r="V41" i="14"/>
  <c r="V139" i="14"/>
  <c r="V222" i="14"/>
  <c r="Z264" i="14"/>
  <c r="W319" i="14"/>
  <c r="W260" i="14"/>
  <c r="AA260" i="14"/>
  <c r="AA262" i="14" s="1"/>
  <c r="X260" i="14" l="1"/>
  <c r="X262" i="14" s="1"/>
  <c r="X266" i="14" s="1"/>
  <c r="X294" i="14" s="1"/>
  <c r="X308" i="14" s="1"/>
  <c r="Y264" i="14"/>
  <c r="X296" i="14"/>
  <c r="X310" i="14" s="1"/>
  <c r="W262" i="14"/>
  <c r="V260" i="14"/>
  <c r="X264" i="14"/>
  <c r="X320" i="14"/>
  <c r="AA266" i="14"/>
  <c r="AA294" i="14" s="1"/>
  <c r="AA308" i="14" s="1"/>
  <c r="AA296" i="14"/>
  <c r="AA310" i="14" s="1"/>
  <c r="AA320" i="14" s="1"/>
  <c r="AA264" i="14"/>
  <c r="W333" i="14"/>
  <c r="ES185" i="14"/>
  <c r="BZ185" i="14"/>
  <c r="ET64" i="14"/>
  <c r="V262" i="14" l="1"/>
  <c r="W264" i="14"/>
  <c r="V264" i="14" s="1"/>
  <c r="W296" i="14"/>
  <c r="V296" i="14" s="1"/>
  <c r="W266" i="14"/>
  <c r="V266" i="14" s="1"/>
  <c r="X334" i="14"/>
  <c r="X318" i="14"/>
  <c r="X332" i="14" s="1"/>
  <c r="AA334" i="14"/>
  <c r="AA318" i="14"/>
  <c r="AA332" i="14" s="1"/>
  <c r="ES248" i="14"/>
  <c r="BZ248" i="14"/>
  <c r="ET44" i="14"/>
  <c r="ES44" i="14"/>
  <c r="CA44" i="14"/>
  <c r="BZ44" i="14"/>
  <c r="CB229" i="14"/>
  <c r="DA229" i="14" s="1"/>
  <c r="W294" i="14" l="1"/>
  <c r="V294" i="14" s="1"/>
  <c r="W310" i="14"/>
  <c r="W320" i="14" s="1"/>
  <c r="V320" i="14" s="1"/>
  <c r="ES110" i="14"/>
  <c r="BZ110" i="14"/>
  <c r="W308" i="14" l="1"/>
  <c r="V308" i="14"/>
  <c r="W334" i="14"/>
  <c r="V334" i="14" s="1"/>
  <c r="W318" i="14"/>
  <c r="V318" i="14" s="1"/>
  <c r="ET152" i="14"/>
  <c r="CA152" i="14"/>
  <c r="ET87" i="14"/>
  <c r="CA87" i="14"/>
  <c r="W332" i="14" l="1"/>
  <c r="V332" i="14" s="1"/>
  <c r="ET145" i="14"/>
  <c r="CA145" i="14"/>
  <c r="ES156" i="14"/>
  <c r="ET255" i="14"/>
  <c r="ET216" i="14"/>
  <c r="CA216" i="14"/>
  <c r="BD45" i="14" l="1"/>
  <c r="BK45" i="14" s="1"/>
  <c r="BF45" i="14" s="1"/>
  <c r="BD229" i="14"/>
  <c r="BK229" i="14" s="1"/>
  <c r="BF229" i="14" s="1"/>
  <c r="CO62" i="14" l="1"/>
  <c r="CO184" i="14"/>
  <c r="ET75" i="14"/>
  <c r="CO75" i="14"/>
  <c r="CO185" i="14" l="1"/>
  <c r="CO183" i="14" l="1"/>
  <c r="CN183" i="14"/>
  <c r="CO242" i="14"/>
  <c r="CN259" i="14" l="1"/>
  <c r="CO231" i="14"/>
  <c r="CP143" i="14"/>
  <c r="CV143" i="14" s="1"/>
  <c r="CO112" i="14" l="1"/>
  <c r="CO87" i="14"/>
  <c r="CN87" i="14"/>
  <c r="CO58" i="14"/>
  <c r="CO37" i="14"/>
  <c r="CN37" i="14"/>
  <c r="CL277" i="14"/>
  <c r="CT277" i="14" s="1"/>
  <c r="CS277" i="14" s="1"/>
  <c r="CO92" i="14"/>
  <c r="CO113" i="14"/>
  <c r="CO50" i="14" l="1"/>
  <c r="CN194" i="14"/>
  <c r="CO45" i="14" l="1"/>
  <c r="CN45" i="14"/>
  <c r="CN27" i="14"/>
  <c r="CO27" i="14"/>
  <c r="CN110" i="14" l="1"/>
  <c r="CP146" i="14" l="1"/>
  <c r="CV146" i="14" s="1"/>
  <c r="CS146" i="14" s="1"/>
  <c r="CN195" i="14"/>
  <c r="CO123" i="14"/>
  <c r="CO195" i="14"/>
  <c r="CO230" i="14"/>
  <c r="CO51" i="14"/>
  <c r="CN51" i="14"/>
  <c r="CO144" i="14"/>
  <c r="CO150" i="14"/>
  <c r="CN150" i="14"/>
  <c r="CO204" i="14"/>
  <c r="CN204" i="14"/>
  <c r="CN52" i="14"/>
  <c r="CO71" i="14" l="1"/>
  <c r="CO56" i="14"/>
  <c r="CN75" i="14"/>
  <c r="CO201" i="14"/>
  <c r="CN201" i="14"/>
  <c r="CO137" i="14"/>
  <c r="CO188" i="14"/>
  <c r="CN188" i="14"/>
  <c r="CO239" i="14" l="1"/>
  <c r="ET123" i="14"/>
  <c r="ER123" i="14" s="1"/>
  <c r="ER116" i="14" s="1"/>
  <c r="ET230" i="14"/>
  <c r="ER230" i="14" s="1"/>
  <c r="ET239" i="14" l="1"/>
  <c r="ER239" i="14" s="1"/>
  <c r="ET112" i="14"/>
  <c r="ER112" i="14" s="1"/>
  <c r="ER96" i="14" s="1"/>
  <c r="ET183" i="14"/>
  <c r="ES183" i="14"/>
  <c r="ER183" i="14" s="1"/>
  <c r="ET185" i="14" l="1"/>
  <c r="ET184" i="14"/>
  <c r="ES195" i="14"/>
  <c r="CA184" i="14" l="1"/>
  <c r="ES194" i="14"/>
  <c r="ER194" i="14" s="1"/>
  <c r="ET195" i="14"/>
  <c r="ET144" i="14"/>
  <c r="ER144" i="14" s="1"/>
  <c r="ER139" i="14" s="1"/>
  <c r="ET37" i="14"/>
  <c r="ES259" i="14"/>
  <c r="ET259" i="14"/>
  <c r="ES27" i="14"/>
  <c r="BZ27" i="14"/>
  <c r="ET45" i="14"/>
  <c r="CA45" i="14"/>
  <c r="ES45" i="14"/>
  <c r="BZ45" i="14"/>
  <c r="CB50" i="14" l="1"/>
  <c r="DA50" i="14" s="1"/>
  <c r="CA195" i="14" l="1"/>
  <c r="CB49" i="14"/>
  <c r="DA49" i="14" s="1"/>
  <c r="ES37" i="14"/>
  <c r="BZ37" i="14"/>
  <c r="BZ259" i="14" l="1"/>
  <c r="CA37" i="14"/>
  <c r="BZ50" i="14" l="1"/>
  <c r="BB50" i="14"/>
  <c r="BI50" i="14" s="1"/>
  <c r="BH50" i="14" s="1"/>
  <c r="BF50" i="14" s="1"/>
  <c r="CA185" i="14"/>
  <c r="BZ195" i="14"/>
  <c r="BZ183" i="14" l="1"/>
  <c r="CA183" i="14"/>
  <c r="CA112" i="14" l="1"/>
  <c r="CA239" i="14" l="1"/>
  <c r="CA230" i="14"/>
  <c r="ET204" i="14" l="1"/>
  <c r="ES204" i="14"/>
  <c r="CA204" i="14"/>
  <c r="BZ204" i="14"/>
  <c r="ES75" i="14"/>
  <c r="ER75" i="14" s="1"/>
  <c r="ER204" i="14" l="1"/>
  <c r="ET50" i="14"/>
  <c r="ER50" i="14" s="1"/>
  <c r="CA50" i="14"/>
  <c r="ET27" i="14" l="1"/>
  <c r="CA27" i="14"/>
  <c r="ET201" i="14" l="1"/>
  <c r="ES201" i="14"/>
  <c r="BZ201" i="14"/>
  <c r="ER201" i="14" l="1"/>
  <c r="ER197" i="14" s="1"/>
  <c r="CN106" i="14"/>
  <c r="CO106" i="14"/>
  <c r="ET137" i="14" l="1"/>
  <c r="ER137" i="14" s="1"/>
  <c r="ER130" i="14" s="1"/>
  <c r="CA137" i="14"/>
  <c r="ET106" i="14" l="1"/>
  <c r="ET188" i="14" l="1"/>
  <c r="CA188" i="14"/>
  <c r="ES188" i="14"/>
  <c r="ER188" i="14" s="1"/>
  <c r="ER179" i="14" s="1"/>
  <c r="BZ188" i="14"/>
  <c r="ET71" i="14"/>
  <c r="ER71" i="14" s="1"/>
  <c r="ER59" i="14" s="1"/>
  <c r="ES51" i="14"/>
  <c r="ET51" i="14"/>
  <c r="ES106" i="14"/>
  <c r="ET242" i="14"/>
  <c r="ER242" i="14" s="1"/>
  <c r="ER232" i="14" s="1"/>
  <c r="ER51" i="14" l="1"/>
  <c r="CA71" i="14"/>
  <c r="ET231" i="14" l="1"/>
  <c r="ER231" i="14" s="1"/>
  <c r="ER222" i="14" s="1"/>
  <c r="BB92" i="14" l="1"/>
  <c r="BI92" i="14" s="1"/>
  <c r="BC92" i="14"/>
  <c r="BJ92" i="14" s="1"/>
  <c r="BH92" i="14" l="1"/>
  <c r="BF92" i="14" s="1"/>
  <c r="BZ106" i="14"/>
  <c r="AZ283" i="14" l="1"/>
  <c r="BG283" i="14" s="1"/>
  <c r="BF283" i="14" s="1"/>
  <c r="ET58" i="14" l="1"/>
  <c r="ER58" i="14" s="1"/>
  <c r="CA58" i="14"/>
  <c r="CA242" i="14" l="1"/>
  <c r="CA51" i="14" l="1"/>
  <c r="BZ51" i="14"/>
  <c r="CA106" i="14" l="1"/>
  <c r="ES52" i="14" l="1"/>
  <c r="ER52" i="14" s="1"/>
  <c r="ER41" i="14" s="1"/>
  <c r="ER260" i="14" s="1"/>
  <c r="ER262" i="14" s="1"/>
  <c r="ER264" i="14" l="1"/>
  <c r="ER266" i="14"/>
  <c r="ER294" i="14" s="1"/>
  <c r="CB143" i="14"/>
  <c r="DA143" i="14" s="1"/>
  <c r="ER296" i="14" l="1"/>
  <c r="ER310" i="14" s="1"/>
  <c r="ER320" i="14" s="1"/>
  <c r="ER308" i="14"/>
  <c r="EK322" i="14" s="1"/>
  <c r="CB146" i="14"/>
  <c r="DA146" i="14" s="1"/>
  <c r="ER334" i="14" l="1"/>
  <c r="ER318" i="14"/>
  <c r="ER332" i="14" s="1"/>
  <c r="CA318" i="14"/>
  <c r="CA332" i="14" s="1"/>
  <c r="BZ318" i="14"/>
  <c r="BZ332" i="14" s="1"/>
  <c r="EH264" i="14"/>
  <c r="EG264" i="14"/>
  <c r="EE264" i="14"/>
  <c r="EB264" i="14"/>
  <c r="DY264" i="14"/>
  <c r="DC264" i="14"/>
  <c r="BB110" i="14" l="1"/>
  <c r="BI110" i="14" s="1"/>
  <c r="BH110" i="14" s="1"/>
  <c r="BF110" i="14" s="1"/>
  <c r="BC136" i="14" l="1"/>
  <c r="BJ136" i="14" s="1"/>
  <c r="BH136" i="14" s="1"/>
  <c r="BF136" i="14" s="1"/>
  <c r="BB27" i="14" l="1"/>
  <c r="BI27" i="14" s="1"/>
  <c r="BH27" i="14" s="1"/>
  <c r="BF27" i="14" s="1"/>
  <c r="CD9" i="14"/>
  <c r="CO244" i="14"/>
  <c r="CN244" i="14"/>
  <c r="CO232" i="14"/>
  <c r="CN232" i="14"/>
  <c r="CO222" i="14"/>
  <c r="CN222" i="14"/>
  <c r="CO205" i="14"/>
  <c r="CN205" i="14"/>
  <c r="CO197" i="14"/>
  <c r="CN197" i="14"/>
  <c r="CO179" i="14"/>
  <c r="CN179" i="14"/>
  <c r="CO161" i="14"/>
  <c r="CN161" i="14"/>
  <c r="CL161" i="14"/>
  <c r="CT161" i="14" s="1"/>
  <c r="CO153" i="14"/>
  <c r="CN153" i="14"/>
  <c r="CO139" i="14"/>
  <c r="CN139" i="14"/>
  <c r="CO130" i="14"/>
  <c r="CN130" i="14"/>
  <c r="CO116" i="14"/>
  <c r="CN116" i="14"/>
  <c r="CO96" i="14"/>
  <c r="CN96" i="14"/>
  <c r="CL96" i="14"/>
  <c r="CT96" i="14" s="1"/>
  <c r="CO81" i="14"/>
  <c r="CN81" i="14"/>
  <c r="CO59" i="14"/>
  <c r="CN59" i="14"/>
  <c r="CO41" i="14"/>
  <c r="CN41" i="14"/>
  <c r="CO22" i="14"/>
  <c r="CN22" i="14"/>
  <c r="CO10" i="14"/>
  <c r="CN10" i="14"/>
  <c r="CM258" i="14"/>
  <c r="CU258" i="14" s="1"/>
  <c r="CS258" i="14" s="1"/>
  <c r="CM256" i="14"/>
  <c r="CU256" i="14" s="1"/>
  <c r="CS256" i="14" s="1"/>
  <c r="CM246" i="14"/>
  <c r="CU246" i="14" s="1"/>
  <c r="CS246" i="14" s="1"/>
  <c r="CM245" i="14"/>
  <c r="CU245" i="14" s="1"/>
  <c r="CS245" i="14" s="1"/>
  <c r="CM242" i="14"/>
  <c r="CU242" i="14" s="1"/>
  <c r="CS242" i="14" s="1"/>
  <c r="CM240" i="14"/>
  <c r="CU240" i="14" s="1"/>
  <c r="CS240" i="14" s="1"/>
  <c r="CM239" i="14"/>
  <c r="CU239" i="14" s="1"/>
  <c r="CS239" i="14" s="1"/>
  <c r="CM238" i="14"/>
  <c r="CU238" i="14" s="1"/>
  <c r="CS238" i="14" s="1"/>
  <c r="CM237" i="14"/>
  <c r="CU237" i="14" s="1"/>
  <c r="CS237" i="14" s="1"/>
  <c r="CM235" i="14"/>
  <c r="CU235" i="14" s="1"/>
  <c r="CS235" i="14" s="1"/>
  <c r="CM234" i="14"/>
  <c r="CU234" i="14" s="1"/>
  <c r="CS234" i="14" s="1"/>
  <c r="CM231" i="14"/>
  <c r="CU231" i="14" s="1"/>
  <c r="CS231" i="14" s="1"/>
  <c r="CM230" i="14"/>
  <c r="CU230" i="14" s="1"/>
  <c r="CS230" i="14" s="1"/>
  <c r="CM228" i="14"/>
  <c r="CU228" i="14" s="1"/>
  <c r="CS228" i="14" s="1"/>
  <c r="CM227" i="14"/>
  <c r="CU227" i="14" s="1"/>
  <c r="CS227" i="14" s="1"/>
  <c r="CM226" i="14"/>
  <c r="CU226" i="14" s="1"/>
  <c r="CS226" i="14" s="1"/>
  <c r="CM225" i="14"/>
  <c r="CU225" i="14" s="1"/>
  <c r="CS225" i="14" s="1"/>
  <c r="CM224" i="14"/>
  <c r="CU224" i="14" s="1"/>
  <c r="CS224" i="14" s="1"/>
  <c r="CM223" i="14"/>
  <c r="CU223" i="14" s="1"/>
  <c r="CS223" i="14" s="1"/>
  <c r="CM210" i="14"/>
  <c r="CU210" i="14" s="1"/>
  <c r="CS210" i="14" s="1"/>
  <c r="CM207" i="14"/>
  <c r="CM206" i="14"/>
  <c r="CU206" i="14" s="1"/>
  <c r="CS206" i="14" s="1"/>
  <c r="CM204" i="14"/>
  <c r="CU204" i="14" s="1"/>
  <c r="CS204" i="14" s="1"/>
  <c r="CM203" i="14"/>
  <c r="CU203" i="14" s="1"/>
  <c r="CS203" i="14" s="1"/>
  <c r="CM201" i="14"/>
  <c r="CU201" i="14" s="1"/>
  <c r="CS201" i="14" s="1"/>
  <c r="CM199" i="14"/>
  <c r="CU199" i="14" s="1"/>
  <c r="CS199" i="14" s="1"/>
  <c r="CM198" i="14"/>
  <c r="CU198" i="14" s="1"/>
  <c r="CS198" i="14" s="1"/>
  <c r="CM194" i="14"/>
  <c r="CU194" i="14" s="1"/>
  <c r="CS194" i="14" s="1"/>
  <c r="CM193" i="14"/>
  <c r="CU193" i="14" s="1"/>
  <c r="CS193" i="14" s="1"/>
  <c r="CM188" i="14"/>
  <c r="CU188" i="14" s="1"/>
  <c r="CS188" i="14" s="1"/>
  <c r="CM183" i="14"/>
  <c r="CU183" i="14" s="1"/>
  <c r="CS183" i="14" s="1"/>
  <c r="CM182" i="14"/>
  <c r="CU182" i="14" s="1"/>
  <c r="CS182" i="14" s="1"/>
  <c r="CM181" i="14"/>
  <c r="CU181" i="14" s="1"/>
  <c r="CS181" i="14" s="1"/>
  <c r="CM178" i="14"/>
  <c r="CU178" i="14" s="1"/>
  <c r="CS178" i="14" s="1"/>
  <c r="CM176" i="14"/>
  <c r="CU176" i="14" s="1"/>
  <c r="CS176" i="14" s="1"/>
  <c r="CM174" i="14"/>
  <c r="CU174" i="14" s="1"/>
  <c r="CS174" i="14" s="1"/>
  <c r="CM166" i="14"/>
  <c r="CU166" i="14" s="1"/>
  <c r="CS166" i="14" s="1"/>
  <c r="CM163" i="14"/>
  <c r="CU163" i="14" s="1"/>
  <c r="CS163" i="14" s="1"/>
  <c r="CM160" i="14"/>
  <c r="CU160" i="14" s="1"/>
  <c r="CS160" i="14" s="1"/>
  <c r="CM157" i="14"/>
  <c r="CU157" i="14" s="1"/>
  <c r="CS157" i="14" s="1"/>
  <c r="CM155" i="14"/>
  <c r="CU155" i="14" s="1"/>
  <c r="CS155" i="14" s="1"/>
  <c r="CM154" i="14"/>
  <c r="CU154" i="14" s="1"/>
  <c r="CS154" i="14" s="1"/>
  <c r="CM149" i="14"/>
  <c r="CU149" i="14" s="1"/>
  <c r="CS149" i="14" s="1"/>
  <c r="CM147" i="14"/>
  <c r="CU147" i="14" s="1"/>
  <c r="CS147" i="14" s="1"/>
  <c r="CM144" i="14"/>
  <c r="CU144" i="14" s="1"/>
  <c r="CS144" i="14" s="1"/>
  <c r="CM143" i="14"/>
  <c r="CU143" i="14" s="1"/>
  <c r="CS143" i="14" s="1"/>
  <c r="CM141" i="14"/>
  <c r="CU141" i="14" s="1"/>
  <c r="CS141" i="14" s="1"/>
  <c r="CM137" i="14"/>
  <c r="CU137" i="14" s="1"/>
  <c r="CS137" i="14" s="1"/>
  <c r="CM133" i="14"/>
  <c r="CU133" i="14" s="1"/>
  <c r="CS133" i="14" s="1"/>
  <c r="CM132" i="14"/>
  <c r="CU132" i="14" s="1"/>
  <c r="CS132" i="14" s="1"/>
  <c r="CM131" i="14"/>
  <c r="CU131" i="14" s="1"/>
  <c r="CS131" i="14" s="1"/>
  <c r="CM127" i="14"/>
  <c r="CU127" i="14" s="1"/>
  <c r="CS127" i="14" s="1"/>
  <c r="CM126" i="14"/>
  <c r="CU126" i="14" s="1"/>
  <c r="CS126" i="14" s="1"/>
  <c r="CM125" i="14"/>
  <c r="CU125" i="14" s="1"/>
  <c r="CS125" i="14" s="1"/>
  <c r="CM123" i="14"/>
  <c r="CU123" i="14" s="1"/>
  <c r="CS123" i="14" s="1"/>
  <c r="CM120" i="14"/>
  <c r="CU120" i="14" s="1"/>
  <c r="CS120" i="14" s="1"/>
  <c r="CM118" i="14"/>
  <c r="CU118" i="14" s="1"/>
  <c r="CS118" i="14" s="1"/>
  <c r="CM115" i="14"/>
  <c r="CU115" i="14" s="1"/>
  <c r="CS115" i="14" s="1"/>
  <c r="CM114" i="14"/>
  <c r="CU114" i="14" s="1"/>
  <c r="CS114" i="14" s="1"/>
  <c r="CM112" i="14"/>
  <c r="CU112" i="14" s="1"/>
  <c r="CS112" i="14" s="1"/>
  <c r="CM109" i="14"/>
  <c r="CU109" i="14" s="1"/>
  <c r="CS109" i="14" s="1"/>
  <c r="CM107" i="14"/>
  <c r="CU107" i="14" s="1"/>
  <c r="CS107" i="14" s="1"/>
  <c r="CM101" i="14"/>
  <c r="CU101" i="14" s="1"/>
  <c r="CS101" i="14" s="1"/>
  <c r="CM99" i="14"/>
  <c r="CU99" i="14" s="1"/>
  <c r="CS99" i="14" s="1"/>
  <c r="CM98" i="14"/>
  <c r="CU98" i="14" s="1"/>
  <c r="CS98" i="14" s="1"/>
  <c r="CM95" i="14"/>
  <c r="CU95" i="14" s="1"/>
  <c r="CS95" i="14" s="1"/>
  <c r="CM94" i="14"/>
  <c r="CU94" i="14" s="1"/>
  <c r="CS94" i="14" s="1"/>
  <c r="CM85" i="14"/>
  <c r="CU85" i="14" s="1"/>
  <c r="CS85" i="14" s="1"/>
  <c r="CM83" i="14"/>
  <c r="CU83" i="14" s="1"/>
  <c r="CS83" i="14" s="1"/>
  <c r="CM82" i="14"/>
  <c r="CU82" i="14" s="1"/>
  <c r="CS82" i="14" s="1"/>
  <c r="CM80" i="14"/>
  <c r="CU80" i="14" s="1"/>
  <c r="CS80" i="14" s="1"/>
  <c r="CM79" i="14"/>
  <c r="CU79" i="14" s="1"/>
  <c r="CS79" i="14" s="1"/>
  <c r="CM77" i="14"/>
  <c r="CU77" i="14" s="1"/>
  <c r="CS77" i="14" s="1"/>
  <c r="CM76" i="14"/>
  <c r="CU76" i="14" s="1"/>
  <c r="CS76" i="14" s="1"/>
  <c r="CM75" i="14"/>
  <c r="CU75" i="14" s="1"/>
  <c r="CS75" i="14" s="1"/>
  <c r="CM73" i="14"/>
  <c r="CU73" i="14" s="1"/>
  <c r="CS73" i="14" s="1"/>
  <c r="CM71" i="14"/>
  <c r="CU71" i="14" s="1"/>
  <c r="CS71" i="14" s="1"/>
  <c r="CM69" i="14"/>
  <c r="CU69" i="14" s="1"/>
  <c r="CS69" i="14" s="1"/>
  <c r="CM68" i="14"/>
  <c r="CU68" i="14" s="1"/>
  <c r="CS68" i="14" s="1"/>
  <c r="CM63" i="14"/>
  <c r="CU63" i="14" s="1"/>
  <c r="CS63" i="14" s="1"/>
  <c r="CM61" i="14"/>
  <c r="CU61" i="14" s="1"/>
  <c r="CS61" i="14" s="1"/>
  <c r="CM60" i="14"/>
  <c r="CU60" i="14" s="1"/>
  <c r="CS60" i="14" s="1"/>
  <c r="CM58" i="14"/>
  <c r="CU58" i="14" s="1"/>
  <c r="CS58" i="14" s="1"/>
  <c r="CM52" i="14"/>
  <c r="CU52" i="14" s="1"/>
  <c r="CS52" i="14" s="1"/>
  <c r="CM51" i="14"/>
  <c r="CU51" i="14" s="1"/>
  <c r="CS51" i="14" s="1"/>
  <c r="CM50" i="14"/>
  <c r="CU50" i="14" s="1"/>
  <c r="CS50" i="14" s="1"/>
  <c r="CM47" i="14"/>
  <c r="CU47" i="14" s="1"/>
  <c r="CS47" i="14" s="1"/>
  <c r="CM43" i="14"/>
  <c r="CU43" i="14" s="1"/>
  <c r="CS43" i="14" s="1"/>
  <c r="CM42" i="14"/>
  <c r="CU42" i="14" s="1"/>
  <c r="CS42" i="14" s="1"/>
  <c r="CM40" i="14"/>
  <c r="CU40" i="14" s="1"/>
  <c r="CS40" i="14" s="1"/>
  <c r="CM39" i="14"/>
  <c r="CU39" i="14" s="1"/>
  <c r="CS39" i="14" s="1"/>
  <c r="CM36" i="14"/>
  <c r="CU36" i="14" s="1"/>
  <c r="CS36" i="14" s="1"/>
  <c r="CM35" i="14"/>
  <c r="CU35" i="14" s="1"/>
  <c r="CS35" i="14" s="1"/>
  <c r="CM34" i="14"/>
  <c r="CU34" i="14" s="1"/>
  <c r="CS34" i="14" s="1"/>
  <c r="CM33" i="14"/>
  <c r="CU33" i="14" s="1"/>
  <c r="CS33" i="14" s="1"/>
  <c r="CM32" i="14"/>
  <c r="CU32" i="14" s="1"/>
  <c r="CS32" i="14" s="1"/>
  <c r="CM31" i="14"/>
  <c r="CU31" i="14" s="1"/>
  <c r="CS31" i="14" s="1"/>
  <c r="CM30" i="14"/>
  <c r="CU30" i="14" s="1"/>
  <c r="CS30" i="14" s="1"/>
  <c r="CM29" i="14"/>
  <c r="CU29" i="14" s="1"/>
  <c r="CS29" i="14" s="1"/>
  <c r="CM28" i="14"/>
  <c r="CU28" i="14" s="1"/>
  <c r="CS28" i="14" s="1"/>
  <c r="CM26" i="14"/>
  <c r="CU26" i="14" s="1"/>
  <c r="CS26" i="14" s="1"/>
  <c r="CM24" i="14"/>
  <c r="CU24" i="14" s="1"/>
  <c r="CS24" i="14" s="1"/>
  <c r="CM23" i="14"/>
  <c r="CU23" i="14" s="1"/>
  <c r="CS23" i="14" s="1"/>
  <c r="CM21" i="14"/>
  <c r="CU21" i="14" s="1"/>
  <c r="CS21" i="14" s="1"/>
  <c r="CM20" i="14"/>
  <c r="CU20" i="14" s="1"/>
  <c r="CS20" i="14" s="1"/>
  <c r="CM19" i="14"/>
  <c r="CU19" i="14" s="1"/>
  <c r="CS19" i="14" s="1"/>
  <c r="CM18" i="14"/>
  <c r="CU18" i="14" s="1"/>
  <c r="CS18" i="14" s="1"/>
  <c r="CM17" i="14"/>
  <c r="CU17" i="14" s="1"/>
  <c r="CS17" i="14" s="1"/>
  <c r="CM15" i="14"/>
  <c r="CU15" i="14" s="1"/>
  <c r="CS15" i="14" s="1"/>
  <c r="CM14" i="14"/>
  <c r="CU14" i="14" s="1"/>
  <c r="CS14" i="14" s="1"/>
  <c r="CM12" i="14"/>
  <c r="CU12" i="14" s="1"/>
  <c r="CS12" i="14" s="1"/>
  <c r="CM205" i="14" l="1"/>
  <c r="CU205" i="14" s="1"/>
  <c r="CU207" i="14"/>
  <c r="CS207" i="14" s="1"/>
  <c r="CM10" i="14"/>
  <c r="CU10" i="14" s="1"/>
  <c r="CM22" i="14"/>
  <c r="CU22" i="14" s="1"/>
  <c r="CM130" i="14"/>
  <c r="CU130" i="14" s="1"/>
  <c r="CM139" i="14"/>
  <c r="CU139" i="14" s="1"/>
  <c r="CM197" i="14"/>
  <c r="CU197" i="14" s="1"/>
  <c r="CM222" i="14"/>
  <c r="CU222" i="14" s="1"/>
  <c r="CM232" i="14"/>
  <c r="CU232" i="14" s="1"/>
  <c r="CM81" i="14"/>
  <c r="CU81" i="14" s="1"/>
  <c r="CM161" i="14"/>
  <c r="CU161" i="14" s="1"/>
  <c r="CM244" i="14"/>
  <c r="CU244" i="14" s="1"/>
  <c r="CM59" i="14"/>
  <c r="CU59" i="14" s="1"/>
  <c r="CM153" i="14"/>
  <c r="CU153" i="14" s="1"/>
  <c r="CM41" i="14"/>
  <c r="CU41" i="14" s="1"/>
  <c r="CM96" i="14"/>
  <c r="CU96" i="14" s="1"/>
  <c r="CM116" i="14"/>
  <c r="CU116" i="14" s="1"/>
  <c r="CM179" i="14"/>
  <c r="CU179" i="14" s="1"/>
  <c r="CM260" i="14" l="1"/>
  <c r="CU260" i="14" s="1"/>
  <c r="BB134" i="14"/>
  <c r="BI134" i="14" s="1"/>
  <c r="BH134" i="14" s="1"/>
  <c r="BF134" i="14" s="1"/>
  <c r="ET244" i="14" l="1"/>
  <c r="ES244" i="14"/>
  <c r="ET232" i="14"/>
  <c r="ES232" i="14"/>
  <c r="ET222" i="14"/>
  <c r="ES222" i="14"/>
  <c r="ET205" i="14"/>
  <c r="ES205" i="14"/>
  <c r="ET197" i="14"/>
  <c r="ES197" i="14"/>
  <c r="ET179" i="14"/>
  <c r="ES179" i="14"/>
  <c r="ET161" i="14"/>
  <c r="ES161" i="14"/>
  <c r="ET153" i="14"/>
  <c r="ES153" i="14"/>
  <c r="ET139" i="14"/>
  <c r="ES139" i="14"/>
  <c r="ET130" i="14"/>
  <c r="ES130" i="14"/>
  <c r="ET116" i="14"/>
  <c r="ES116" i="14"/>
  <c r="ET96" i="14"/>
  <c r="ES96" i="14"/>
  <c r="ET81" i="14"/>
  <c r="ES81" i="14"/>
  <c r="ET59" i="14"/>
  <c r="ES59" i="14"/>
  <c r="ET41" i="14"/>
  <c r="ES41" i="14"/>
  <c r="ET22" i="14"/>
  <c r="ES22" i="14"/>
  <c r="ET10" i="14"/>
  <c r="ES10" i="14"/>
  <c r="ET8" i="14"/>
  <c r="ES8" i="14"/>
  <c r="EJ153" i="14"/>
  <c r="CA8" i="14"/>
  <c r="BZ8" i="14"/>
  <c r="CA10" i="14"/>
  <c r="BZ10" i="14"/>
  <c r="CA22" i="14"/>
  <c r="BZ22" i="14"/>
  <c r="CA41" i="14"/>
  <c r="BZ41" i="14"/>
  <c r="CA59" i="14"/>
  <c r="BZ59" i="14"/>
  <c r="CA81" i="14"/>
  <c r="BZ81" i="14"/>
  <c r="CA96" i="14"/>
  <c r="BZ96" i="14"/>
  <c r="CA116" i="14"/>
  <c r="BZ116" i="14"/>
  <c r="CA130" i="14"/>
  <c r="BZ130" i="14"/>
  <c r="CA139" i="14"/>
  <c r="BZ139" i="14"/>
  <c r="CA153" i="14"/>
  <c r="BZ153" i="14"/>
  <c r="CA161" i="14"/>
  <c r="BZ161" i="14"/>
  <c r="CA179" i="14"/>
  <c r="BZ179" i="14"/>
  <c r="CA197" i="14"/>
  <c r="BZ197" i="14"/>
  <c r="CA205" i="14"/>
  <c r="BZ205" i="14"/>
  <c r="CA222" i="14"/>
  <c r="BZ222" i="14"/>
  <c r="CA232" i="14"/>
  <c r="BZ232" i="14"/>
  <c r="BX232" i="14"/>
  <c r="CY232" i="14" s="1"/>
  <c r="CA244" i="14"/>
  <c r="BZ244" i="14"/>
  <c r="BY259" i="14"/>
  <c r="CZ259" i="14" s="1"/>
  <c r="BY258" i="14"/>
  <c r="CZ258" i="14" s="1"/>
  <c r="BY257" i="14"/>
  <c r="CZ257" i="14" s="1"/>
  <c r="BY256" i="14"/>
  <c r="CZ256" i="14" s="1"/>
  <c r="BY255" i="14"/>
  <c r="CZ255" i="14" s="1"/>
  <c r="BY254" i="14"/>
  <c r="CZ254" i="14" s="1"/>
  <c r="BY253" i="14"/>
  <c r="CZ253" i="14" s="1"/>
  <c r="BY252" i="14"/>
  <c r="CZ252" i="14" s="1"/>
  <c r="BY251" i="14"/>
  <c r="CZ251" i="14" s="1"/>
  <c r="BY250" i="14"/>
  <c r="CZ250" i="14" s="1"/>
  <c r="BY249" i="14"/>
  <c r="CZ249" i="14" s="1"/>
  <c r="BY248" i="14"/>
  <c r="CZ248" i="14" s="1"/>
  <c r="BY247" i="14"/>
  <c r="CZ247" i="14" s="1"/>
  <c r="BY246" i="14"/>
  <c r="CZ246" i="14" s="1"/>
  <c r="BY245" i="14"/>
  <c r="CZ245" i="14" s="1"/>
  <c r="BY243" i="14"/>
  <c r="CZ243" i="14" s="1"/>
  <c r="BY242" i="14"/>
  <c r="CZ242" i="14" s="1"/>
  <c r="BY241" i="14"/>
  <c r="CZ241" i="14" s="1"/>
  <c r="BY240" i="14"/>
  <c r="CZ240" i="14" s="1"/>
  <c r="BY239" i="14"/>
  <c r="CZ239" i="14" s="1"/>
  <c r="BY238" i="14"/>
  <c r="CZ238" i="14" s="1"/>
  <c r="BY237" i="14"/>
  <c r="CZ237" i="14" s="1"/>
  <c r="BY236" i="14"/>
  <c r="CZ236" i="14" s="1"/>
  <c r="BY235" i="14"/>
  <c r="CZ235" i="14" s="1"/>
  <c r="BY234" i="14"/>
  <c r="CZ234" i="14" s="1"/>
  <c r="BY233" i="14"/>
  <c r="CZ233" i="14" s="1"/>
  <c r="BY231" i="14"/>
  <c r="CZ231" i="14" s="1"/>
  <c r="BY230" i="14"/>
  <c r="CZ230" i="14" s="1"/>
  <c r="BY229" i="14"/>
  <c r="CZ229" i="14" s="1"/>
  <c r="BY228" i="14"/>
  <c r="CZ228" i="14" s="1"/>
  <c r="BY227" i="14"/>
  <c r="CZ227" i="14" s="1"/>
  <c r="BY226" i="14"/>
  <c r="CZ226" i="14" s="1"/>
  <c r="BY225" i="14"/>
  <c r="CZ225" i="14" s="1"/>
  <c r="BY224" i="14"/>
  <c r="CZ224" i="14" s="1"/>
  <c r="BY223" i="14"/>
  <c r="CZ223" i="14" s="1"/>
  <c r="BY221" i="14"/>
  <c r="CZ221" i="14" s="1"/>
  <c r="BY220" i="14"/>
  <c r="CZ220" i="14" s="1"/>
  <c r="BY219" i="14"/>
  <c r="CZ219" i="14" s="1"/>
  <c r="BY218" i="14"/>
  <c r="CZ218" i="14" s="1"/>
  <c r="BY217" i="14"/>
  <c r="CZ217" i="14" s="1"/>
  <c r="BY216" i="14"/>
  <c r="CZ216" i="14" s="1"/>
  <c r="BY215" i="14"/>
  <c r="CZ215" i="14" s="1"/>
  <c r="BY214" i="14"/>
  <c r="CZ214" i="14" s="1"/>
  <c r="BY213" i="14"/>
  <c r="CZ213" i="14" s="1"/>
  <c r="BY212" i="14"/>
  <c r="CZ212" i="14" s="1"/>
  <c r="BY211" i="14"/>
  <c r="CZ211" i="14" s="1"/>
  <c r="BY210" i="14"/>
  <c r="CZ210" i="14" s="1"/>
  <c r="BY209" i="14"/>
  <c r="CZ209" i="14" s="1"/>
  <c r="BY208" i="14"/>
  <c r="CZ208" i="14" s="1"/>
  <c r="BY207" i="14"/>
  <c r="CZ207" i="14" s="1"/>
  <c r="BY206" i="14"/>
  <c r="CZ206" i="14" s="1"/>
  <c r="BY204" i="14"/>
  <c r="CZ204" i="14" s="1"/>
  <c r="BY203" i="14"/>
  <c r="CZ203" i="14" s="1"/>
  <c r="BY202" i="14"/>
  <c r="CZ202" i="14" s="1"/>
  <c r="BY201" i="14"/>
  <c r="CZ201" i="14" s="1"/>
  <c r="BY200" i="14"/>
  <c r="CZ200" i="14" s="1"/>
  <c r="BY199" i="14"/>
  <c r="CZ199" i="14" s="1"/>
  <c r="BY198" i="14"/>
  <c r="CZ198" i="14" s="1"/>
  <c r="BY196" i="14"/>
  <c r="CZ196" i="14" s="1"/>
  <c r="BY195" i="14"/>
  <c r="CZ195" i="14" s="1"/>
  <c r="BY194" i="14"/>
  <c r="CZ194" i="14" s="1"/>
  <c r="BY193" i="14"/>
  <c r="CZ193" i="14" s="1"/>
  <c r="BY192" i="14"/>
  <c r="CZ192" i="14" s="1"/>
  <c r="BY191" i="14"/>
  <c r="CZ191" i="14" s="1"/>
  <c r="BY190" i="14"/>
  <c r="CZ190" i="14" s="1"/>
  <c r="BY189" i="14"/>
  <c r="CZ189" i="14" s="1"/>
  <c r="BY188" i="14"/>
  <c r="CZ188" i="14" s="1"/>
  <c r="BY187" i="14"/>
  <c r="CZ187" i="14" s="1"/>
  <c r="BY186" i="14"/>
  <c r="CZ186" i="14" s="1"/>
  <c r="BY185" i="14"/>
  <c r="CZ185" i="14" s="1"/>
  <c r="BY184" i="14"/>
  <c r="CZ184" i="14" s="1"/>
  <c r="BY183" i="14"/>
  <c r="CZ183" i="14" s="1"/>
  <c r="BY182" i="14"/>
  <c r="CZ182" i="14" s="1"/>
  <c r="BY181" i="14"/>
  <c r="CZ181" i="14" s="1"/>
  <c r="BY180" i="14"/>
  <c r="CZ180" i="14" s="1"/>
  <c r="BY178" i="14"/>
  <c r="CZ178" i="14" s="1"/>
  <c r="BY177" i="14"/>
  <c r="CZ177" i="14" s="1"/>
  <c r="BY176" i="14"/>
  <c r="CZ176" i="14" s="1"/>
  <c r="BY175" i="14"/>
  <c r="CZ175" i="14" s="1"/>
  <c r="BY174" i="14"/>
  <c r="CZ174" i="14" s="1"/>
  <c r="BY173" i="14"/>
  <c r="CZ173" i="14" s="1"/>
  <c r="BY172" i="14"/>
  <c r="CZ172" i="14" s="1"/>
  <c r="BY171" i="14"/>
  <c r="CZ171" i="14" s="1"/>
  <c r="BY170" i="14"/>
  <c r="CZ170" i="14" s="1"/>
  <c r="BY169" i="14"/>
  <c r="CZ169" i="14" s="1"/>
  <c r="BY168" i="14"/>
  <c r="CZ168" i="14" s="1"/>
  <c r="BY167" i="14"/>
  <c r="CZ167" i="14" s="1"/>
  <c r="BY166" i="14"/>
  <c r="CZ166" i="14" s="1"/>
  <c r="BY165" i="14"/>
  <c r="CZ165" i="14" s="1"/>
  <c r="BY164" i="14"/>
  <c r="CZ164" i="14" s="1"/>
  <c r="BY163" i="14"/>
  <c r="CZ163" i="14" s="1"/>
  <c r="BY162" i="14"/>
  <c r="CZ162" i="14" s="1"/>
  <c r="BY160" i="14"/>
  <c r="CZ160" i="14" s="1"/>
  <c r="BY159" i="14"/>
  <c r="CZ159" i="14" s="1"/>
  <c r="BY158" i="14"/>
  <c r="CZ158" i="14" s="1"/>
  <c r="BY157" i="14"/>
  <c r="CZ157" i="14" s="1"/>
  <c r="BY156" i="14"/>
  <c r="CZ156" i="14" s="1"/>
  <c r="BY155" i="14"/>
  <c r="CZ155" i="14" s="1"/>
  <c r="BY154" i="14"/>
  <c r="CZ154" i="14" s="1"/>
  <c r="BY152" i="14"/>
  <c r="CZ152" i="14" s="1"/>
  <c r="BY151" i="14"/>
  <c r="CZ151" i="14" s="1"/>
  <c r="BY150" i="14"/>
  <c r="CZ150" i="14" s="1"/>
  <c r="BY149" i="14"/>
  <c r="CZ149" i="14" s="1"/>
  <c r="BY148" i="14"/>
  <c r="CZ148" i="14" s="1"/>
  <c r="BY147" i="14"/>
  <c r="CZ147" i="14" s="1"/>
  <c r="BY146" i="14"/>
  <c r="CZ146" i="14" s="1"/>
  <c r="BY145" i="14"/>
  <c r="CZ145" i="14" s="1"/>
  <c r="BY144" i="14"/>
  <c r="CZ144" i="14" s="1"/>
  <c r="BY143" i="14"/>
  <c r="CZ143" i="14" s="1"/>
  <c r="BY142" i="14"/>
  <c r="CZ142" i="14" s="1"/>
  <c r="BY141" i="14"/>
  <c r="CZ141" i="14" s="1"/>
  <c r="BY140" i="14"/>
  <c r="CZ140" i="14" s="1"/>
  <c r="BY138" i="14"/>
  <c r="CZ138" i="14" s="1"/>
  <c r="BY137" i="14"/>
  <c r="CZ137" i="14" s="1"/>
  <c r="BY136" i="14"/>
  <c r="CZ136" i="14" s="1"/>
  <c r="BY135" i="14"/>
  <c r="CZ135" i="14" s="1"/>
  <c r="BY134" i="14"/>
  <c r="CZ134" i="14" s="1"/>
  <c r="BY133" i="14"/>
  <c r="CZ133" i="14" s="1"/>
  <c r="BY132" i="14"/>
  <c r="CZ132" i="14" s="1"/>
  <c r="BY131" i="14"/>
  <c r="CZ131" i="14" s="1"/>
  <c r="BY129" i="14"/>
  <c r="CZ129" i="14" s="1"/>
  <c r="BY128" i="14"/>
  <c r="CZ128" i="14" s="1"/>
  <c r="BY127" i="14"/>
  <c r="CZ127" i="14" s="1"/>
  <c r="BY126" i="14"/>
  <c r="CZ126" i="14" s="1"/>
  <c r="BY125" i="14"/>
  <c r="CZ125" i="14" s="1"/>
  <c r="BY124" i="14"/>
  <c r="CZ124" i="14" s="1"/>
  <c r="BY123" i="14"/>
  <c r="CZ123" i="14" s="1"/>
  <c r="BY122" i="14"/>
  <c r="CZ122" i="14" s="1"/>
  <c r="BY121" i="14"/>
  <c r="CZ121" i="14" s="1"/>
  <c r="BY120" i="14"/>
  <c r="CZ120" i="14" s="1"/>
  <c r="BY119" i="14"/>
  <c r="CZ119" i="14" s="1"/>
  <c r="BY118" i="14"/>
  <c r="CZ118" i="14" s="1"/>
  <c r="BY117" i="14"/>
  <c r="CZ117" i="14" s="1"/>
  <c r="BY115" i="14"/>
  <c r="CZ115" i="14" s="1"/>
  <c r="BY114" i="14"/>
  <c r="CZ114" i="14" s="1"/>
  <c r="BY113" i="14"/>
  <c r="CZ113" i="14" s="1"/>
  <c r="BY112" i="14"/>
  <c r="CZ112" i="14" s="1"/>
  <c r="BY111" i="14"/>
  <c r="CZ111" i="14" s="1"/>
  <c r="BY110" i="14"/>
  <c r="CZ110" i="14" s="1"/>
  <c r="BY109" i="14"/>
  <c r="CZ109" i="14" s="1"/>
  <c r="BY108" i="14"/>
  <c r="CZ108" i="14" s="1"/>
  <c r="BY107" i="14"/>
  <c r="CZ107" i="14" s="1"/>
  <c r="BY106" i="14"/>
  <c r="CZ106" i="14" s="1"/>
  <c r="BY105" i="14"/>
  <c r="CZ105" i="14" s="1"/>
  <c r="BY104" i="14"/>
  <c r="CZ104" i="14" s="1"/>
  <c r="BY103" i="14"/>
  <c r="CZ103" i="14" s="1"/>
  <c r="BY102" i="14"/>
  <c r="CZ102" i="14" s="1"/>
  <c r="BY101" i="14"/>
  <c r="CZ101" i="14" s="1"/>
  <c r="BY100" i="14"/>
  <c r="CZ100" i="14" s="1"/>
  <c r="BY99" i="14"/>
  <c r="CZ99" i="14" s="1"/>
  <c r="BY98" i="14"/>
  <c r="CZ98" i="14" s="1"/>
  <c r="BY97" i="14"/>
  <c r="CZ97" i="14" s="1"/>
  <c r="BY95" i="14"/>
  <c r="CZ95" i="14" s="1"/>
  <c r="BY94" i="14"/>
  <c r="CZ94" i="14" s="1"/>
  <c r="BY93" i="14"/>
  <c r="CZ93" i="14" s="1"/>
  <c r="BY92" i="14"/>
  <c r="CZ92" i="14" s="1"/>
  <c r="BY91" i="14"/>
  <c r="CZ91" i="14" s="1"/>
  <c r="BY90" i="14"/>
  <c r="CZ90" i="14" s="1"/>
  <c r="BY89" i="14"/>
  <c r="CZ89" i="14" s="1"/>
  <c r="BY88" i="14"/>
  <c r="CZ88" i="14" s="1"/>
  <c r="BY87" i="14"/>
  <c r="CZ87" i="14" s="1"/>
  <c r="BY86" i="14"/>
  <c r="CZ86" i="14" s="1"/>
  <c r="BY85" i="14"/>
  <c r="CZ85" i="14" s="1"/>
  <c r="BY84" i="14"/>
  <c r="CZ84" i="14" s="1"/>
  <c r="BY83" i="14"/>
  <c r="CZ83" i="14" s="1"/>
  <c r="BY82" i="14"/>
  <c r="CZ82" i="14" s="1"/>
  <c r="BY80" i="14"/>
  <c r="CZ80" i="14" s="1"/>
  <c r="BY79" i="14"/>
  <c r="CZ79" i="14" s="1"/>
  <c r="BY78" i="14"/>
  <c r="CZ78" i="14" s="1"/>
  <c r="BY77" i="14"/>
  <c r="CZ77" i="14" s="1"/>
  <c r="BY76" i="14"/>
  <c r="CZ76" i="14" s="1"/>
  <c r="BY75" i="14"/>
  <c r="CZ75" i="14" s="1"/>
  <c r="BY74" i="14"/>
  <c r="CZ74" i="14" s="1"/>
  <c r="BY73" i="14"/>
  <c r="CZ73" i="14" s="1"/>
  <c r="BY72" i="14"/>
  <c r="CZ72" i="14" s="1"/>
  <c r="BY71" i="14"/>
  <c r="CZ71" i="14" s="1"/>
  <c r="BY70" i="14"/>
  <c r="CZ70" i="14" s="1"/>
  <c r="BY69" i="14"/>
  <c r="CZ69" i="14" s="1"/>
  <c r="BY68" i="14"/>
  <c r="CZ68" i="14" s="1"/>
  <c r="BY67" i="14"/>
  <c r="CZ67" i="14" s="1"/>
  <c r="BY66" i="14"/>
  <c r="CZ66" i="14" s="1"/>
  <c r="BY65" i="14"/>
  <c r="CZ65" i="14" s="1"/>
  <c r="BY64" i="14"/>
  <c r="CZ64" i="14" s="1"/>
  <c r="BY63" i="14"/>
  <c r="CZ63" i="14" s="1"/>
  <c r="BY62" i="14"/>
  <c r="CZ62" i="14" s="1"/>
  <c r="BY61" i="14"/>
  <c r="CZ61" i="14" s="1"/>
  <c r="BY60" i="14"/>
  <c r="CZ60" i="14" s="1"/>
  <c r="BY58" i="14"/>
  <c r="CZ58" i="14" s="1"/>
  <c r="BY57" i="14"/>
  <c r="CZ57" i="14" s="1"/>
  <c r="BY56" i="14"/>
  <c r="CZ56" i="14" s="1"/>
  <c r="BY55" i="14"/>
  <c r="CZ55" i="14" s="1"/>
  <c r="BY54" i="14"/>
  <c r="CZ54" i="14" s="1"/>
  <c r="BY53" i="14"/>
  <c r="CZ53" i="14" s="1"/>
  <c r="BY52" i="14"/>
  <c r="CZ52" i="14" s="1"/>
  <c r="BY51" i="14"/>
  <c r="CZ51" i="14" s="1"/>
  <c r="BY50" i="14"/>
  <c r="CZ50" i="14" s="1"/>
  <c r="BY49" i="14"/>
  <c r="CZ49" i="14" s="1"/>
  <c r="BY48" i="14"/>
  <c r="CZ48" i="14" s="1"/>
  <c r="BY47" i="14"/>
  <c r="CZ47" i="14" s="1"/>
  <c r="BY46" i="14"/>
  <c r="CZ46" i="14" s="1"/>
  <c r="BY45" i="14"/>
  <c r="CZ45" i="14" s="1"/>
  <c r="BY44" i="14"/>
  <c r="CZ44" i="14" s="1"/>
  <c r="BY43" i="14"/>
  <c r="CZ43" i="14" s="1"/>
  <c r="BY42" i="14"/>
  <c r="CZ42" i="14" s="1"/>
  <c r="BY40" i="14"/>
  <c r="CZ40" i="14" s="1"/>
  <c r="BY39" i="14"/>
  <c r="CZ39" i="14" s="1"/>
  <c r="BY38" i="14"/>
  <c r="CZ38" i="14" s="1"/>
  <c r="BY37" i="14"/>
  <c r="CZ37" i="14" s="1"/>
  <c r="BY36" i="14"/>
  <c r="CZ36" i="14" s="1"/>
  <c r="BY35" i="14"/>
  <c r="CZ35" i="14" s="1"/>
  <c r="BY34" i="14"/>
  <c r="CZ34" i="14" s="1"/>
  <c r="BY33" i="14"/>
  <c r="CZ33" i="14" s="1"/>
  <c r="BY32" i="14"/>
  <c r="CZ32" i="14" s="1"/>
  <c r="BY31" i="14"/>
  <c r="CZ31" i="14" s="1"/>
  <c r="BY30" i="14"/>
  <c r="CZ30" i="14" s="1"/>
  <c r="BY29" i="14"/>
  <c r="CZ29" i="14" s="1"/>
  <c r="BY28" i="14"/>
  <c r="CZ28" i="14" s="1"/>
  <c r="BY27" i="14"/>
  <c r="CZ27" i="14" s="1"/>
  <c r="BY26" i="14"/>
  <c r="CZ26" i="14" s="1"/>
  <c r="BY25" i="14"/>
  <c r="CZ25" i="14" s="1"/>
  <c r="BY24" i="14"/>
  <c r="CZ24" i="14" s="1"/>
  <c r="BY23" i="14"/>
  <c r="CZ23" i="14" s="1"/>
  <c r="BY21" i="14"/>
  <c r="CZ21" i="14" s="1"/>
  <c r="BY20" i="14"/>
  <c r="CZ20" i="14" s="1"/>
  <c r="BY19" i="14"/>
  <c r="CZ19" i="14" s="1"/>
  <c r="BY18" i="14"/>
  <c r="CZ18" i="14" s="1"/>
  <c r="BY17" i="14"/>
  <c r="CZ17" i="14" s="1"/>
  <c r="BY16" i="14"/>
  <c r="CZ16" i="14" s="1"/>
  <c r="BY15" i="14"/>
  <c r="CZ15" i="14" s="1"/>
  <c r="BY14" i="14"/>
  <c r="CZ14" i="14" s="1"/>
  <c r="BY13" i="14"/>
  <c r="CZ13" i="14" s="1"/>
  <c r="BY12" i="14"/>
  <c r="CZ12" i="14" s="1"/>
  <c r="BY11" i="14"/>
  <c r="CZ11" i="14" s="1"/>
  <c r="BY9" i="14"/>
  <c r="CZ9" i="14" s="1"/>
  <c r="ET260" i="14" l="1"/>
  <c r="ET262" i="14" s="1"/>
  <c r="BY8" i="14"/>
  <c r="CZ8" i="14" s="1"/>
  <c r="BY96" i="14"/>
  <c r="CZ96" i="14" s="1"/>
  <c r="ES260" i="14"/>
  <c r="BY222" i="14"/>
  <c r="CZ222" i="14" s="1"/>
  <c r="BY197" i="14"/>
  <c r="CZ197" i="14" s="1"/>
  <c r="BY161" i="14"/>
  <c r="CZ161" i="14" s="1"/>
  <c r="BY139" i="14"/>
  <c r="CZ139" i="14" s="1"/>
  <c r="BY116" i="14"/>
  <c r="CZ116" i="14" s="1"/>
  <c r="BY81" i="14"/>
  <c r="CZ81" i="14" s="1"/>
  <c r="BY41" i="14"/>
  <c r="CZ41" i="14" s="1"/>
  <c r="BY10" i="14"/>
  <c r="CZ10" i="14" s="1"/>
  <c r="BY205" i="14"/>
  <c r="CZ205" i="14" s="1"/>
  <c r="BY179" i="14"/>
  <c r="CZ179" i="14" s="1"/>
  <c r="BY153" i="14"/>
  <c r="CZ153" i="14" s="1"/>
  <c r="BY130" i="14"/>
  <c r="CZ130" i="14" s="1"/>
  <c r="BY59" i="14"/>
  <c r="CZ59" i="14" s="1"/>
  <c r="BY22" i="14"/>
  <c r="CZ22" i="14" s="1"/>
  <c r="BY244" i="14"/>
  <c r="CZ244" i="14" s="1"/>
  <c r="CA260" i="14"/>
  <c r="BZ260" i="14"/>
  <c r="BY232" i="14"/>
  <c r="CZ232" i="14" s="1"/>
  <c r="BB188" i="14"/>
  <c r="BI188" i="14" s="1"/>
  <c r="BH188" i="14" s="1"/>
  <c r="BF188" i="14" s="1"/>
  <c r="CA262" i="14" l="1"/>
  <c r="CA266" i="14" s="1"/>
  <c r="CA294" i="14" s="1"/>
  <c r="ET266" i="14"/>
  <c r="ET294" i="14" s="1"/>
  <c r="ET264" i="14"/>
  <c r="ES262" i="14"/>
  <c r="BY260" i="14"/>
  <c r="CZ260" i="14" s="1"/>
  <c r="BZ262" i="14"/>
  <c r="T179" i="14"/>
  <c r="T161" i="14"/>
  <c r="T139" i="14"/>
  <c r="T116" i="14"/>
  <c r="T96" i="14"/>
  <c r="CA264" i="14" l="1"/>
  <c r="ES264" i="14"/>
  <c r="ES266" i="14"/>
  <c r="ES294" i="14" s="1"/>
  <c r="BZ264" i="14"/>
  <c r="BZ266" i="14"/>
  <c r="BZ294" i="14" s="1"/>
  <c r="EJ277" i="14"/>
  <c r="BX277" i="14"/>
  <c r="CY277" i="14" s="1"/>
  <c r="BB201" i="14" l="1"/>
  <c r="BI201" i="14" s="1"/>
  <c r="BH201" i="14" s="1"/>
  <c r="BF201" i="14" s="1"/>
  <c r="BC244" i="14" l="1"/>
  <c r="BC232" i="14"/>
  <c r="BC222" i="14"/>
  <c r="BC205" i="14"/>
  <c r="BC197" i="14"/>
  <c r="BC179" i="14"/>
  <c r="BC161" i="14"/>
  <c r="BB161" i="14"/>
  <c r="BC153" i="14"/>
  <c r="BC139" i="14"/>
  <c r="BC116" i="14"/>
  <c r="BC96" i="14"/>
  <c r="BC81" i="14"/>
  <c r="BC59" i="14"/>
  <c r="BC41" i="14"/>
  <c r="BC22" i="14"/>
  <c r="BC10" i="14"/>
  <c r="BC8" i="14"/>
  <c r="BB144" i="14"/>
  <c r="BB259" i="14" l="1"/>
  <c r="BI259" i="14" s="1"/>
  <c r="BH259" i="14" s="1"/>
  <c r="BF259" i="14" s="1"/>
  <c r="BB150" i="14"/>
  <c r="BI150" i="14" s="1"/>
  <c r="BH150" i="14" s="1"/>
  <c r="BF150" i="14" s="1"/>
  <c r="BB84" i="14" l="1"/>
  <c r="BB75" i="14" l="1"/>
  <c r="BC130" i="14" l="1"/>
  <c r="BC260" i="14" s="1"/>
  <c r="BB217" i="14"/>
  <c r="BB236" i="14"/>
  <c r="BI236" i="14" s="1"/>
  <c r="BH236" i="14" s="1"/>
  <c r="BF236" i="14" s="1"/>
  <c r="BC262" i="14" l="1"/>
  <c r="BC264" i="14" s="1"/>
  <c r="CA336" i="14"/>
  <c r="BB87" i="14"/>
  <c r="BI87" i="14" s="1"/>
  <c r="BH87" i="14" s="1"/>
  <c r="BF87" i="14" s="1"/>
  <c r="BC266" i="14" l="1"/>
  <c r="BC294" i="14" s="1"/>
  <c r="BA259" i="14"/>
  <c r="BA258" i="14"/>
  <c r="BA257" i="14"/>
  <c r="BA256" i="14"/>
  <c r="BA255" i="14"/>
  <c r="BA254" i="14"/>
  <c r="BA253" i="14"/>
  <c r="BA252" i="14"/>
  <c r="BA251" i="14"/>
  <c r="BA250" i="14"/>
  <c r="BA249" i="14"/>
  <c r="BA248" i="14"/>
  <c r="BA247" i="14"/>
  <c r="BA246" i="14"/>
  <c r="BA245" i="14"/>
  <c r="BA243" i="14"/>
  <c r="BA242" i="14"/>
  <c r="BA241" i="14"/>
  <c r="BA240" i="14"/>
  <c r="BA239" i="14"/>
  <c r="BA238" i="14"/>
  <c r="BA237" i="14"/>
  <c r="BA236" i="14"/>
  <c r="BA235" i="14"/>
  <c r="BA234" i="14"/>
  <c r="BA233" i="14"/>
  <c r="BA231" i="14"/>
  <c r="BA230" i="14"/>
  <c r="BA229" i="14"/>
  <c r="BA228" i="14"/>
  <c r="BA227" i="14"/>
  <c r="BA226" i="14"/>
  <c r="BA225" i="14"/>
  <c r="BA224" i="14"/>
  <c r="BA223" i="14"/>
  <c r="BA221" i="14"/>
  <c r="BA220" i="14"/>
  <c r="BA219" i="14"/>
  <c r="BA218" i="14"/>
  <c r="BA217" i="14"/>
  <c r="BA216" i="14"/>
  <c r="BA215" i="14"/>
  <c r="BA214" i="14"/>
  <c r="BA213" i="14"/>
  <c r="BA212" i="14"/>
  <c r="BA211" i="14"/>
  <c r="BA210" i="14"/>
  <c r="BA209" i="14"/>
  <c r="BA208" i="14"/>
  <c r="BA207" i="14"/>
  <c r="BA206" i="14"/>
  <c r="BA204" i="14"/>
  <c r="BA203" i="14"/>
  <c r="BA202" i="14"/>
  <c r="BA201" i="14"/>
  <c r="BA200" i="14"/>
  <c r="BA199" i="14"/>
  <c r="BA198" i="14"/>
  <c r="BA196" i="14"/>
  <c r="BA195" i="14"/>
  <c r="BA194" i="14"/>
  <c r="BA193" i="14"/>
  <c r="BA192" i="14"/>
  <c r="BA191" i="14"/>
  <c r="BA190" i="14"/>
  <c r="BA189" i="14"/>
  <c r="BA188" i="14"/>
  <c r="BA187" i="14"/>
  <c r="BA186" i="14"/>
  <c r="BA185" i="14"/>
  <c r="BA184" i="14"/>
  <c r="BA183" i="14"/>
  <c r="BA182" i="14"/>
  <c r="BA181" i="14"/>
  <c r="BA180" i="14"/>
  <c r="BA178" i="14"/>
  <c r="BA177" i="14"/>
  <c r="BA176" i="14"/>
  <c r="BA175" i="14"/>
  <c r="BA174" i="14"/>
  <c r="BA173" i="14"/>
  <c r="BA172" i="14"/>
  <c r="BA171" i="14"/>
  <c r="BA170" i="14"/>
  <c r="BA169" i="14"/>
  <c r="BA168" i="14"/>
  <c r="BA167" i="14"/>
  <c r="BA166" i="14"/>
  <c r="BA165" i="14"/>
  <c r="BA164" i="14"/>
  <c r="BA163" i="14"/>
  <c r="BA162" i="14"/>
  <c r="BA160" i="14"/>
  <c r="BA159" i="14"/>
  <c r="BA158" i="14"/>
  <c r="BA157" i="14"/>
  <c r="BA156" i="14"/>
  <c r="BA155" i="14"/>
  <c r="BA154" i="14"/>
  <c r="BA152" i="14"/>
  <c r="BA151" i="14"/>
  <c r="BA150" i="14"/>
  <c r="BA149" i="14"/>
  <c r="BA148" i="14"/>
  <c r="BA147" i="14"/>
  <c r="BA146" i="14"/>
  <c r="BA145" i="14"/>
  <c r="BA144" i="14"/>
  <c r="BA143" i="14"/>
  <c r="BA142" i="14"/>
  <c r="BA141" i="14"/>
  <c r="BA140" i="14"/>
  <c r="BA138" i="14"/>
  <c r="BA137" i="14"/>
  <c r="BA136" i="14"/>
  <c r="BA135" i="14"/>
  <c r="BA134" i="14"/>
  <c r="BA133" i="14"/>
  <c r="BA132" i="14"/>
  <c r="BA131" i="14"/>
  <c r="BA129" i="14"/>
  <c r="BA128" i="14"/>
  <c r="BA127" i="14"/>
  <c r="BA126" i="14"/>
  <c r="BA125" i="14"/>
  <c r="BA124" i="14"/>
  <c r="BA123" i="14"/>
  <c r="BA122" i="14"/>
  <c r="BA121" i="14"/>
  <c r="BA120" i="14"/>
  <c r="BA119" i="14"/>
  <c r="BA118" i="14"/>
  <c r="BA117" i="14"/>
  <c r="BA115" i="14"/>
  <c r="BA114" i="14"/>
  <c r="BA113" i="14"/>
  <c r="BA112" i="14"/>
  <c r="BA111" i="14"/>
  <c r="BA110" i="14"/>
  <c r="BA109" i="14"/>
  <c r="BA108" i="14"/>
  <c r="BA107" i="14"/>
  <c r="BA106" i="14"/>
  <c r="BA105" i="14"/>
  <c r="BA104" i="14"/>
  <c r="BA103" i="14"/>
  <c r="BA102" i="14"/>
  <c r="BA101" i="14"/>
  <c r="BA100" i="14"/>
  <c r="BA99" i="14"/>
  <c r="BA98" i="14"/>
  <c r="BA97" i="14"/>
  <c r="BA95" i="14"/>
  <c r="BA94" i="14"/>
  <c r="BA93" i="14"/>
  <c r="BA92" i="14"/>
  <c r="BA91" i="14"/>
  <c r="BA90" i="14"/>
  <c r="BA89" i="14"/>
  <c r="BA88" i="14"/>
  <c r="BA87" i="14"/>
  <c r="BA86" i="14"/>
  <c r="BA85" i="14"/>
  <c r="BA84" i="14"/>
  <c r="BA83" i="14"/>
  <c r="BA82" i="14"/>
  <c r="BA80" i="14"/>
  <c r="BA79" i="14"/>
  <c r="BA78" i="14"/>
  <c r="BA77" i="14"/>
  <c r="BA76" i="14"/>
  <c r="BA75" i="14"/>
  <c r="BA74" i="14"/>
  <c r="BA73" i="14"/>
  <c r="BA72" i="14"/>
  <c r="BA71" i="14"/>
  <c r="BA70" i="14"/>
  <c r="BA69" i="14"/>
  <c r="BA68" i="14"/>
  <c r="BA67" i="14"/>
  <c r="BA66" i="14"/>
  <c r="BA65" i="14"/>
  <c r="BA64" i="14"/>
  <c r="BA63" i="14"/>
  <c r="BA62" i="14"/>
  <c r="BA61" i="14"/>
  <c r="BA60" i="14"/>
  <c r="BA58" i="14"/>
  <c r="BA57" i="14"/>
  <c r="BA56" i="14"/>
  <c r="BA55" i="14"/>
  <c r="BA54" i="14"/>
  <c r="BA53" i="14"/>
  <c r="BA52" i="14"/>
  <c r="BA51" i="14"/>
  <c r="BA50" i="14"/>
  <c r="BA49" i="14"/>
  <c r="BA48" i="14"/>
  <c r="BA47" i="14"/>
  <c r="BA46" i="14"/>
  <c r="BA45" i="14"/>
  <c r="BA44" i="14"/>
  <c r="BA43" i="14"/>
  <c r="BA42" i="14"/>
  <c r="BA38" i="14"/>
  <c r="BA37" i="14"/>
  <c r="BA36" i="14"/>
  <c r="BA35" i="14"/>
  <c r="BA34" i="14"/>
  <c r="BA33" i="14"/>
  <c r="BA32" i="14"/>
  <c r="BA31" i="14"/>
  <c r="BA30" i="14"/>
  <c r="BA29" i="14"/>
  <c r="BA28" i="14"/>
  <c r="BA27" i="14"/>
  <c r="BA26" i="14"/>
  <c r="BA25" i="14"/>
  <c r="BA24" i="14"/>
  <c r="BA23" i="14"/>
  <c r="BA21" i="14"/>
  <c r="BA20" i="14"/>
  <c r="BA19" i="14"/>
  <c r="BA18" i="14"/>
  <c r="BA17" i="14"/>
  <c r="BA16" i="14"/>
  <c r="BA15" i="14"/>
  <c r="BA14" i="14"/>
  <c r="BA13" i="14"/>
  <c r="BA12" i="14"/>
  <c r="BA11" i="14"/>
  <c r="BA9" i="14"/>
  <c r="BB244" i="14"/>
  <c r="BB232" i="14"/>
  <c r="BB222" i="14"/>
  <c r="BB205" i="14"/>
  <c r="BB197" i="14"/>
  <c r="BB179" i="14"/>
  <c r="BB153" i="14"/>
  <c r="BB139" i="14"/>
  <c r="BB130" i="14"/>
  <c r="BB116" i="14"/>
  <c r="BB96" i="14"/>
  <c r="BB81" i="14"/>
  <c r="BB59" i="14"/>
  <c r="BB41" i="14"/>
  <c r="BB22" i="14"/>
  <c r="BB10" i="14"/>
  <c r="BB8" i="14"/>
  <c r="BB260" i="14" l="1"/>
  <c r="BB262" i="14" s="1"/>
  <c r="AE8" i="14"/>
  <c r="BI8" i="14" s="1"/>
  <c r="AE22" i="14"/>
  <c r="BI22" i="14" s="1"/>
  <c r="AF22" i="14"/>
  <c r="BJ22" i="14" s="1"/>
  <c r="AE41" i="14"/>
  <c r="BI41" i="14" s="1"/>
  <c r="AE96" i="14"/>
  <c r="BI96" i="14" s="1"/>
  <c r="AE116" i="14"/>
  <c r="BI116" i="14" s="1"/>
  <c r="AE130" i="14"/>
  <c r="BI130" i="14" s="1"/>
  <c r="AE153" i="14"/>
  <c r="BI153" i="14" s="1"/>
  <c r="AE161" i="14"/>
  <c r="BI161" i="14" s="1"/>
  <c r="AE179" i="14"/>
  <c r="BI179" i="14" s="1"/>
  <c r="AE197" i="14"/>
  <c r="BI197" i="14" s="1"/>
  <c r="AE222" i="14"/>
  <c r="BI222" i="14" s="1"/>
  <c r="AE232" i="14"/>
  <c r="BI232" i="14" s="1"/>
  <c r="AE244" i="14"/>
  <c r="BI244" i="14" s="1"/>
  <c r="AE217" i="14"/>
  <c r="AE206" i="14"/>
  <c r="AE149" i="14"/>
  <c r="AE144" i="14"/>
  <c r="AE84" i="14"/>
  <c r="AE82" i="14"/>
  <c r="BI82" i="14" s="1"/>
  <c r="BH82" i="14" s="1"/>
  <c r="BF82" i="14" s="1"/>
  <c r="AE75" i="14"/>
  <c r="BI75" i="14" s="1"/>
  <c r="BH75" i="14" s="1"/>
  <c r="BF75" i="14" s="1"/>
  <c r="AE63" i="14"/>
  <c r="AE60" i="14"/>
  <c r="AD259" i="14"/>
  <c r="AD258" i="14"/>
  <c r="AD257" i="14"/>
  <c r="AD256" i="14"/>
  <c r="AD255" i="14"/>
  <c r="AD254" i="14"/>
  <c r="AD253" i="14"/>
  <c r="AD252" i="14"/>
  <c r="AD251" i="14"/>
  <c r="AD250" i="14"/>
  <c r="AD249" i="14"/>
  <c r="AD248" i="14"/>
  <c r="AD247" i="14"/>
  <c r="AD246" i="14"/>
  <c r="AD245" i="14"/>
  <c r="AD243" i="14"/>
  <c r="AD242" i="14"/>
  <c r="AD241" i="14"/>
  <c r="AD240" i="14"/>
  <c r="AD239" i="14"/>
  <c r="AD238" i="14"/>
  <c r="AD237" i="14"/>
  <c r="AD236" i="14"/>
  <c r="AD235" i="14"/>
  <c r="AD234" i="14"/>
  <c r="AD233" i="14"/>
  <c r="AD231" i="14"/>
  <c r="AD230" i="14"/>
  <c r="AD229" i="14"/>
  <c r="AD228" i="14"/>
  <c r="AD227" i="14"/>
  <c r="AD226" i="14"/>
  <c r="AD225" i="14"/>
  <c r="AD224" i="14"/>
  <c r="AD223" i="14"/>
  <c r="AD221" i="14"/>
  <c r="AD220" i="14"/>
  <c r="AD219" i="14"/>
  <c r="AD218" i="14"/>
  <c r="AD216" i="14"/>
  <c r="AD215" i="14"/>
  <c r="AD214" i="14"/>
  <c r="AD213" i="14"/>
  <c r="AD212" i="14"/>
  <c r="AD211" i="14"/>
  <c r="AD210" i="14"/>
  <c r="AD209" i="14"/>
  <c r="AD208" i="14"/>
  <c r="AD207" i="14"/>
  <c r="AD204" i="14"/>
  <c r="AD203" i="14"/>
  <c r="AD202" i="14"/>
  <c r="AD201" i="14"/>
  <c r="AD200" i="14"/>
  <c r="AD199" i="14"/>
  <c r="AD198" i="14"/>
  <c r="AD196" i="14"/>
  <c r="AD195" i="14"/>
  <c r="AD194" i="14"/>
  <c r="AD193" i="14"/>
  <c r="AD192" i="14"/>
  <c r="AD191" i="14"/>
  <c r="AD190" i="14"/>
  <c r="AD189" i="14"/>
  <c r="AD188" i="14"/>
  <c r="AD187" i="14"/>
  <c r="AD186" i="14"/>
  <c r="AD185" i="14"/>
  <c r="AD184" i="14"/>
  <c r="AD183" i="14"/>
  <c r="AD182" i="14"/>
  <c r="AD181" i="14"/>
  <c r="AD180" i="14"/>
  <c r="AD178" i="14"/>
  <c r="AD177" i="14"/>
  <c r="AD176" i="14"/>
  <c r="AD175" i="14"/>
  <c r="AD174" i="14"/>
  <c r="AD173" i="14"/>
  <c r="AD172" i="14"/>
  <c r="AD171" i="14"/>
  <c r="AD170" i="14"/>
  <c r="AD169" i="14"/>
  <c r="AD168" i="14"/>
  <c r="AD167" i="14"/>
  <c r="AD166" i="14"/>
  <c r="AD165" i="14"/>
  <c r="AD164" i="14"/>
  <c r="AD163" i="14"/>
  <c r="AD162" i="14"/>
  <c r="AD160" i="14"/>
  <c r="AD159" i="14"/>
  <c r="AD158" i="14"/>
  <c r="AD157" i="14"/>
  <c r="AD156" i="14"/>
  <c r="AD155" i="14"/>
  <c r="AD154" i="14"/>
  <c r="AD152" i="14"/>
  <c r="AD151" i="14"/>
  <c r="AD150" i="14"/>
  <c r="AD148" i="14"/>
  <c r="AD147" i="14"/>
  <c r="AD146" i="14"/>
  <c r="AD145" i="14"/>
  <c r="AD143" i="14"/>
  <c r="AD142" i="14"/>
  <c r="AD141" i="14"/>
  <c r="AD140" i="14"/>
  <c r="AD138" i="14"/>
  <c r="AD137" i="14"/>
  <c r="AD136" i="14"/>
  <c r="AD135" i="14"/>
  <c r="AD134" i="14"/>
  <c r="AD133" i="14"/>
  <c r="AD132" i="14"/>
  <c r="AD131" i="14"/>
  <c r="AD129" i="14"/>
  <c r="AD128" i="14"/>
  <c r="AD127" i="14"/>
  <c r="AD126" i="14"/>
  <c r="AD125" i="14"/>
  <c r="AD124" i="14"/>
  <c r="AD123" i="14"/>
  <c r="AD122" i="14"/>
  <c r="AD121" i="14"/>
  <c r="AD120" i="14"/>
  <c r="AD119" i="14"/>
  <c r="AD118" i="14"/>
  <c r="AD117" i="14"/>
  <c r="AD115" i="14"/>
  <c r="AD114" i="14"/>
  <c r="AD113" i="14"/>
  <c r="AD112" i="14"/>
  <c r="AD111" i="14"/>
  <c r="AD110" i="14"/>
  <c r="AD109" i="14"/>
  <c r="AD108" i="14"/>
  <c r="AD107" i="14"/>
  <c r="AD106" i="14"/>
  <c r="AD105" i="14"/>
  <c r="AD104" i="14"/>
  <c r="AD103" i="14"/>
  <c r="AD102" i="14"/>
  <c r="AD101" i="14"/>
  <c r="AD100" i="14"/>
  <c r="AD99" i="14"/>
  <c r="AD98" i="14"/>
  <c r="AD97" i="14"/>
  <c r="AD95" i="14"/>
  <c r="AD94" i="14"/>
  <c r="AD93" i="14"/>
  <c r="AD92" i="14"/>
  <c r="AD91" i="14"/>
  <c r="AD90" i="14"/>
  <c r="AD89" i="14"/>
  <c r="AD88" i="14"/>
  <c r="AD87" i="14"/>
  <c r="AD86" i="14"/>
  <c r="AD85" i="14"/>
  <c r="AD83" i="14"/>
  <c r="AD82" i="14"/>
  <c r="AD80" i="14"/>
  <c r="AD79" i="14"/>
  <c r="AD78" i="14"/>
  <c r="AD77" i="14"/>
  <c r="AD76" i="14"/>
  <c r="AD75" i="14"/>
  <c r="AD74" i="14"/>
  <c r="AD73" i="14"/>
  <c r="AD72" i="14"/>
  <c r="AD71" i="14"/>
  <c r="AD70" i="14"/>
  <c r="AD69" i="14"/>
  <c r="AD68" i="14"/>
  <c r="AD67" i="14"/>
  <c r="AD66" i="14"/>
  <c r="AD65" i="14"/>
  <c r="AD64" i="14"/>
  <c r="AD62" i="14"/>
  <c r="AD61" i="14"/>
  <c r="AD58" i="14"/>
  <c r="AD57" i="14"/>
  <c r="AD56" i="14"/>
  <c r="AD55" i="14"/>
  <c r="AD54" i="14"/>
  <c r="AD53" i="14"/>
  <c r="AD52" i="14"/>
  <c r="AD51" i="14"/>
  <c r="AD50" i="14"/>
  <c r="AD49" i="14"/>
  <c r="AD48" i="14"/>
  <c r="AD47" i="14"/>
  <c r="AD46" i="14"/>
  <c r="AD45" i="14"/>
  <c r="AD44" i="14"/>
  <c r="AD43" i="14"/>
  <c r="AD42" i="14"/>
  <c r="AD38" i="14"/>
  <c r="AD37" i="14"/>
  <c r="AD36" i="14"/>
  <c r="AD35" i="14"/>
  <c r="AD34" i="14"/>
  <c r="AD33" i="14"/>
  <c r="AD32" i="14"/>
  <c r="AD31" i="14"/>
  <c r="AD30" i="14"/>
  <c r="AD29" i="14"/>
  <c r="AD28" i="14"/>
  <c r="AD27" i="14"/>
  <c r="AD26" i="14"/>
  <c r="AD25" i="14"/>
  <c r="AD24" i="14"/>
  <c r="AD23" i="14"/>
  <c r="AD9" i="14"/>
  <c r="AE15" i="14"/>
  <c r="AD21" i="14"/>
  <c r="AD20" i="14"/>
  <c r="AD19" i="14"/>
  <c r="AD18" i="14"/>
  <c r="AD17" i="14"/>
  <c r="AD16" i="14"/>
  <c r="AD14" i="14"/>
  <c r="AD13" i="14"/>
  <c r="AD12" i="14"/>
  <c r="AF59" i="14"/>
  <c r="BJ59" i="14" s="1"/>
  <c r="AD15" i="14" l="1"/>
  <c r="BI15" i="14"/>
  <c r="BH15" i="14" s="1"/>
  <c r="BF15" i="14" s="1"/>
  <c r="AD60" i="14"/>
  <c r="BI60" i="14"/>
  <c r="BH60" i="14" s="1"/>
  <c r="BF60" i="14" s="1"/>
  <c r="AD84" i="14"/>
  <c r="BI84" i="14"/>
  <c r="BH84" i="14" s="1"/>
  <c r="BF84" i="14" s="1"/>
  <c r="AD149" i="14"/>
  <c r="BI149" i="14"/>
  <c r="BH149" i="14" s="1"/>
  <c r="BF149" i="14" s="1"/>
  <c r="AD217" i="14"/>
  <c r="BI217" i="14"/>
  <c r="BH217" i="14" s="1"/>
  <c r="BF217" i="14" s="1"/>
  <c r="AD63" i="14"/>
  <c r="BI63" i="14"/>
  <c r="BH63" i="14" s="1"/>
  <c r="BF63" i="14" s="1"/>
  <c r="AE139" i="14"/>
  <c r="BI139" i="14" s="1"/>
  <c r="BI144" i="14"/>
  <c r="BH144" i="14" s="1"/>
  <c r="BF144" i="14" s="1"/>
  <c r="AD206" i="14"/>
  <c r="BI206" i="14"/>
  <c r="BH206" i="14" s="1"/>
  <c r="BF206" i="14" s="1"/>
  <c r="BH22" i="14"/>
  <c r="AD144" i="14"/>
  <c r="AE81" i="14"/>
  <c r="BI81" i="14" s="1"/>
  <c r="AE10" i="14"/>
  <c r="BI10" i="14" s="1"/>
  <c r="BB266" i="14"/>
  <c r="BB294" i="14" s="1"/>
  <c r="BB264" i="14"/>
  <c r="BZ336" i="14" s="1"/>
  <c r="AD11" i="14"/>
  <c r="AE59" i="14"/>
  <c r="BI59" i="14" s="1"/>
  <c r="BH59" i="14" s="1"/>
  <c r="AE205" i="14"/>
  <c r="BI205" i="14" s="1"/>
  <c r="AE260" i="14" l="1"/>
  <c r="AF8" i="14"/>
  <c r="BJ8" i="14" s="1"/>
  <c r="BH8" i="14" s="1"/>
  <c r="AD8" i="14"/>
  <c r="AF10" i="14"/>
  <c r="BJ10" i="14" s="1"/>
  <c r="BH10" i="14" s="1"/>
  <c r="AF41" i="14"/>
  <c r="BJ41" i="14" s="1"/>
  <c r="BH41" i="14" s="1"/>
  <c r="AF81" i="14"/>
  <c r="BJ81" i="14" s="1"/>
  <c r="BH81" i="14" s="1"/>
  <c r="AF96" i="14"/>
  <c r="BJ96" i="14" s="1"/>
  <c r="BH96" i="14" s="1"/>
  <c r="AF116" i="14"/>
  <c r="BJ116" i="14" s="1"/>
  <c r="BH116" i="14" s="1"/>
  <c r="AF130" i="14"/>
  <c r="BJ130" i="14" s="1"/>
  <c r="BH130" i="14" s="1"/>
  <c r="AF139" i="14"/>
  <c r="BJ139" i="14" s="1"/>
  <c r="BH139" i="14" s="1"/>
  <c r="AF153" i="14"/>
  <c r="BJ153" i="14" s="1"/>
  <c r="BH153" i="14" s="1"/>
  <c r="AF161" i="14"/>
  <c r="BJ161" i="14" s="1"/>
  <c r="BH161" i="14" s="1"/>
  <c r="AF179" i="14"/>
  <c r="BJ179" i="14" s="1"/>
  <c r="BH179" i="14" s="1"/>
  <c r="AF197" i="14"/>
  <c r="BJ197" i="14" s="1"/>
  <c r="BH197" i="14" s="1"/>
  <c r="AF205" i="14"/>
  <c r="BJ205" i="14" s="1"/>
  <c r="BH205" i="14" s="1"/>
  <c r="AF222" i="14"/>
  <c r="BJ222" i="14" s="1"/>
  <c r="BH222" i="14" s="1"/>
  <c r="AF232" i="14"/>
  <c r="BJ232" i="14" s="1"/>
  <c r="BH232" i="14" s="1"/>
  <c r="AF244" i="14"/>
  <c r="BJ244" i="14" s="1"/>
  <c r="BH244" i="14" s="1"/>
  <c r="AE262" i="14" l="1"/>
  <c r="BI262" i="14" s="1"/>
  <c r="BI260" i="14"/>
  <c r="AF260" i="14"/>
  <c r="AZ268" i="14"/>
  <c r="AZ267" i="14" l="1"/>
  <c r="BG267" i="14" s="1"/>
  <c r="BF267" i="14" s="1"/>
  <c r="BG268" i="14"/>
  <c r="BF268" i="14" s="1"/>
  <c r="AE264" i="14"/>
  <c r="BI264" i="14" s="1"/>
  <c r="AE266" i="14"/>
  <c r="BI266" i="14" s="1"/>
  <c r="AF262" i="14"/>
  <c r="BJ262" i="14" s="1"/>
  <c r="BH262" i="14" s="1"/>
  <c r="BJ260" i="14"/>
  <c r="BH260" i="14" s="1"/>
  <c r="T266" i="14"/>
  <c r="AE294" i="14" l="1"/>
  <c r="BI294" i="14" s="1"/>
  <c r="AF266" i="14"/>
  <c r="AF264" i="14"/>
  <c r="BJ264" i="14" s="1"/>
  <c r="BH264" i="14" s="1"/>
  <c r="FY173" i="14"/>
  <c r="FM139" i="14"/>
  <c r="AF294" i="14" l="1"/>
  <c r="BJ294" i="14" s="1"/>
  <c r="BH294" i="14" s="1"/>
  <c r="BJ266" i="14"/>
  <c r="BH266" i="14" s="1"/>
  <c r="FD164" i="14"/>
  <c r="FR56" i="14" l="1"/>
  <c r="FQ56" i="14"/>
  <c r="FW253" i="14" l="1"/>
  <c r="FW249" i="14"/>
  <c r="FW246" i="14"/>
  <c r="FW245" i="14"/>
  <c r="FW240" i="14"/>
  <c r="FW239" i="14"/>
  <c r="FW238" i="14"/>
  <c r="FW237" i="14"/>
  <c r="FW234" i="14"/>
  <c r="FW224" i="14"/>
  <c r="FW207" i="14"/>
  <c r="FW206" i="14"/>
  <c r="FW199" i="14"/>
  <c r="FW198" i="14"/>
  <c r="FW183" i="14"/>
  <c r="FW181" i="14"/>
  <c r="FW163" i="14"/>
  <c r="FW155" i="14"/>
  <c r="FW154" i="14"/>
  <c r="FW149" i="14"/>
  <c r="FW147" i="14"/>
  <c r="FW141" i="14"/>
  <c r="FW132" i="14"/>
  <c r="FW131" i="14"/>
  <c r="FW124" i="14"/>
  <c r="FW120" i="14"/>
  <c r="FW118" i="14"/>
  <c r="FW85" i="14"/>
  <c r="FW83" i="14"/>
  <c r="FW82" i="14"/>
  <c r="FW70" i="14"/>
  <c r="FW69" i="14"/>
  <c r="FW61" i="14"/>
  <c r="FW60" i="14"/>
  <c r="FW24" i="14"/>
  <c r="FW15" i="14"/>
  <c r="FW12" i="14"/>
  <c r="FW11" i="14"/>
  <c r="EJ330" i="14" l="1"/>
  <c r="EJ316" i="14"/>
  <c r="EJ291" i="14"/>
  <c r="EJ288" i="14"/>
  <c r="EJ285" i="14"/>
  <c r="EJ282" i="14"/>
  <c r="EJ279" i="14"/>
  <c r="EJ276" i="14"/>
  <c r="EJ273" i="14"/>
  <c r="EJ270" i="14"/>
  <c r="EJ269" i="14"/>
  <c r="EJ295" i="14" s="1"/>
  <c r="EJ244" i="14"/>
  <c r="EJ232" i="14"/>
  <c r="EJ222" i="14"/>
  <c r="EJ205" i="14"/>
  <c r="EJ197" i="14"/>
  <c r="EJ179" i="14"/>
  <c r="EJ161" i="14"/>
  <c r="EJ139" i="14"/>
  <c r="EJ130" i="14"/>
  <c r="EJ116" i="14"/>
  <c r="EJ96" i="14"/>
  <c r="EJ81" i="14"/>
  <c r="EJ59" i="14"/>
  <c r="EJ41" i="14"/>
  <c r="EJ22" i="14"/>
  <c r="EJ10" i="14"/>
  <c r="EJ8" i="14"/>
  <c r="CP330" i="14"/>
  <c r="CV330" i="14" s="1"/>
  <c r="CM330" i="14"/>
  <c r="CU330" i="14" s="1"/>
  <c r="CL330" i="14"/>
  <c r="CT330" i="14" s="1"/>
  <c r="CS330" i="14" s="1"/>
  <c r="CP316" i="14"/>
  <c r="CV316" i="14" s="1"/>
  <c r="CM316" i="14"/>
  <c r="CU316" i="14" s="1"/>
  <c r="CL316" i="14"/>
  <c r="CT316" i="14" s="1"/>
  <c r="CM304" i="14"/>
  <c r="CU304" i="14" s="1"/>
  <c r="CS304" i="14" s="1"/>
  <c r="CM301" i="14"/>
  <c r="CU301" i="14" s="1"/>
  <c r="CS301" i="14" s="1"/>
  <c r="CM300" i="14"/>
  <c r="CU300" i="14" s="1"/>
  <c r="CS300" i="14" s="1"/>
  <c r="CM299" i="14"/>
  <c r="CU299" i="14" s="1"/>
  <c r="CS299" i="14" s="1"/>
  <c r="CP295" i="14"/>
  <c r="CM295" i="14"/>
  <c r="CU295" i="14" s="1"/>
  <c r="CL291" i="14"/>
  <c r="CT291" i="14" s="1"/>
  <c r="CS291" i="14" s="1"/>
  <c r="CL288" i="14"/>
  <c r="CT288" i="14" s="1"/>
  <c r="CS288" i="14" s="1"/>
  <c r="CL285" i="14"/>
  <c r="CT285" i="14" s="1"/>
  <c r="CS285" i="14" s="1"/>
  <c r="CL279" i="14"/>
  <c r="CT279" i="14" s="1"/>
  <c r="CS279" i="14" s="1"/>
  <c r="CL276" i="14"/>
  <c r="CT276" i="14" s="1"/>
  <c r="CS276" i="14" s="1"/>
  <c r="CL273" i="14"/>
  <c r="CT273" i="14" s="1"/>
  <c r="CS273" i="14" s="1"/>
  <c r="CL270" i="14"/>
  <c r="CT270" i="14" s="1"/>
  <c r="CS270" i="14" s="1"/>
  <c r="CL269" i="14"/>
  <c r="CP263" i="14"/>
  <c r="CV263" i="14" s="1"/>
  <c r="CM263" i="14"/>
  <c r="CU263" i="14" s="1"/>
  <c r="CL263" i="14"/>
  <c r="CT263" i="14" s="1"/>
  <c r="CS263" i="14" s="1"/>
  <c r="CP244" i="14"/>
  <c r="CV244" i="14" s="1"/>
  <c r="CL244" i="14"/>
  <c r="CT244" i="14" s="1"/>
  <c r="CP232" i="14"/>
  <c r="CV232" i="14" s="1"/>
  <c r="CL232" i="14"/>
  <c r="CT232" i="14" s="1"/>
  <c r="CP222" i="14"/>
  <c r="CV222" i="14" s="1"/>
  <c r="CL222" i="14"/>
  <c r="CT222" i="14" s="1"/>
  <c r="CP205" i="14"/>
  <c r="CV205" i="14" s="1"/>
  <c r="CL205" i="14"/>
  <c r="CT205" i="14" s="1"/>
  <c r="CP197" i="14"/>
  <c r="CV197" i="14" s="1"/>
  <c r="CL197" i="14"/>
  <c r="CT197" i="14" s="1"/>
  <c r="CP179" i="14"/>
  <c r="CV179" i="14" s="1"/>
  <c r="CL179" i="14"/>
  <c r="CT179" i="14" s="1"/>
  <c r="CP161" i="14"/>
  <c r="CV161" i="14" s="1"/>
  <c r="CS161" i="14" s="1"/>
  <c r="CP153" i="14"/>
  <c r="CV153" i="14" s="1"/>
  <c r="CL153" i="14"/>
  <c r="CT153" i="14" s="1"/>
  <c r="CP139" i="14"/>
  <c r="CV139" i="14" s="1"/>
  <c r="CL139" i="14"/>
  <c r="CT139" i="14" s="1"/>
  <c r="CP130" i="14"/>
  <c r="CV130" i="14" s="1"/>
  <c r="CL130" i="14"/>
  <c r="CT130" i="14" s="1"/>
  <c r="CP116" i="14"/>
  <c r="CV116" i="14" s="1"/>
  <c r="CL116" i="14"/>
  <c r="CT116" i="14" s="1"/>
  <c r="CP96" i="14"/>
  <c r="CV96" i="14" s="1"/>
  <c r="CS96" i="14" s="1"/>
  <c r="CP81" i="14"/>
  <c r="CV81" i="14" s="1"/>
  <c r="CL81" i="14"/>
  <c r="CT81" i="14" s="1"/>
  <c r="CS81" i="14" s="1"/>
  <c r="CP59" i="14"/>
  <c r="CV59" i="14" s="1"/>
  <c r="CL59" i="14"/>
  <c r="CT59" i="14" s="1"/>
  <c r="CS59" i="14" s="1"/>
  <c r="CP41" i="14"/>
  <c r="CV41" i="14" s="1"/>
  <c r="CL41" i="14"/>
  <c r="CT41" i="14" s="1"/>
  <c r="CS41" i="14" s="1"/>
  <c r="CP22" i="14"/>
  <c r="CV22" i="14" s="1"/>
  <c r="CL22" i="14"/>
  <c r="CT22" i="14" s="1"/>
  <c r="CS22" i="14" s="1"/>
  <c r="CP10" i="14"/>
  <c r="CV10" i="14" s="1"/>
  <c r="CL10" i="14"/>
  <c r="CT10" i="14" s="1"/>
  <c r="CS10" i="14" s="1"/>
  <c r="CP8" i="14"/>
  <c r="CV8" i="14" s="1"/>
  <c r="CL8" i="14"/>
  <c r="CT8" i="14" s="1"/>
  <c r="CS8" i="14" s="1"/>
  <c r="CS222" i="14" l="1"/>
  <c r="CS244" i="14"/>
  <c r="CS316" i="14"/>
  <c r="CP309" i="14"/>
  <c r="CV295" i="14"/>
  <c r="CL295" i="14"/>
  <c r="CT269" i="14"/>
  <c r="CS269" i="14" s="1"/>
  <c r="CS232" i="14"/>
  <c r="CS205" i="14"/>
  <c r="CS197" i="14"/>
  <c r="CS179" i="14"/>
  <c r="CS153" i="14"/>
  <c r="CS139" i="14"/>
  <c r="CS130" i="14"/>
  <c r="CS116" i="14"/>
  <c r="CM309" i="14"/>
  <c r="CM298" i="14"/>
  <c r="CU298" i="14" s="1"/>
  <c r="CS298" i="14" s="1"/>
  <c r="CL260" i="14"/>
  <c r="EJ260" i="14"/>
  <c r="EJ262" i="14" s="1"/>
  <c r="EJ264" i="14" s="1"/>
  <c r="CP260" i="14"/>
  <c r="EJ319" i="14"/>
  <c r="EJ309" i="14"/>
  <c r="EJ268" i="14"/>
  <c r="EJ267" i="14" s="1"/>
  <c r="CL268" i="14"/>
  <c r="CL267" i="14" l="1"/>
  <c r="CT267" i="14" s="1"/>
  <c r="CS267" i="14" s="1"/>
  <c r="CT268" i="14"/>
  <c r="CS268" i="14" s="1"/>
  <c r="CM319" i="14"/>
  <c r="CU309" i="14"/>
  <c r="CP319" i="14"/>
  <c r="CV309" i="14"/>
  <c r="CL309" i="14"/>
  <c r="CT295" i="14"/>
  <c r="CS295" i="14" s="1"/>
  <c r="CL262" i="14"/>
  <c r="CT262" i="14" s="1"/>
  <c r="CT260" i="14"/>
  <c r="CP262" i="14"/>
  <c r="CP266" i="14" s="1"/>
  <c r="CV260" i="14"/>
  <c r="CL266" i="14"/>
  <c r="EJ296" i="14"/>
  <c r="EJ310" i="14" s="1"/>
  <c r="EJ266" i="14"/>
  <c r="EJ294" i="14" s="1"/>
  <c r="EJ308" i="14" s="1"/>
  <c r="EJ333" i="14"/>
  <c r="CV319" i="14" l="1"/>
  <c r="CP333" i="14"/>
  <c r="CV333" i="14" s="1"/>
  <c r="CU319" i="14"/>
  <c r="CM333" i="14"/>
  <c r="CU333" i="14" s="1"/>
  <c r="CL319" i="14"/>
  <c r="CT309" i="14"/>
  <c r="CS309" i="14" s="1"/>
  <c r="CL264" i="14"/>
  <c r="CT264" i="14" s="1"/>
  <c r="CS260" i="14"/>
  <c r="CL294" i="14"/>
  <c r="CT266" i="14"/>
  <c r="CL296" i="14"/>
  <c r="CP264" i="14"/>
  <c r="CV264" i="14" s="1"/>
  <c r="CV262" i="14"/>
  <c r="CP294" i="14"/>
  <c r="CP296" i="14" s="1"/>
  <c r="CV266" i="14"/>
  <c r="EJ320" i="14"/>
  <c r="EJ334" i="14" s="1"/>
  <c r="CT319" i="14" l="1"/>
  <c r="CS319" i="14" s="1"/>
  <c r="CL333" i="14"/>
  <c r="CT333" i="14" s="1"/>
  <c r="CS333" i="14" s="1"/>
  <c r="CP310" i="14"/>
  <c r="CV296" i="14"/>
  <c r="CP308" i="14"/>
  <c r="CV294" i="14"/>
  <c r="CL310" i="14"/>
  <c r="CT296" i="14"/>
  <c r="CL308" i="14"/>
  <c r="CT294" i="14"/>
  <c r="EJ318" i="14"/>
  <c r="EJ332" i="14" s="1"/>
  <c r="CL320" i="14" l="1"/>
  <c r="CT310" i="14"/>
  <c r="CE322" i="14"/>
  <c r="CT322" i="14" s="1"/>
  <c r="CT308" i="14"/>
  <c r="CI322" i="14"/>
  <c r="CV322" i="14" s="1"/>
  <c r="CV308" i="14"/>
  <c r="CP320" i="14"/>
  <c r="CV310" i="14"/>
  <c r="U266" i="14"/>
  <c r="CT320" i="14" l="1"/>
  <c r="CL318" i="14"/>
  <c r="CL334" i="14"/>
  <c r="CT334" i="14" s="1"/>
  <c r="CP334" i="14"/>
  <c r="CV334" i="14" s="1"/>
  <c r="CV320" i="14"/>
  <c r="CP318" i="14"/>
  <c r="EI56" i="14"/>
  <c r="EP56" i="14"/>
  <c r="CP332" i="14" l="1"/>
  <c r="CV332" i="14" s="1"/>
  <c r="CV318" i="14"/>
  <c r="CL332" i="14"/>
  <c r="CT332" i="14" s="1"/>
  <c r="CT318" i="14"/>
  <c r="EY266" i="14"/>
  <c r="EX291" i="14"/>
  <c r="EO330" i="14" l="1"/>
  <c r="EP329" i="14"/>
  <c r="EP330" i="14" s="1"/>
  <c r="EI329" i="14"/>
  <c r="EI330" i="14" s="1"/>
  <c r="EO319" i="14"/>
  <c r="EP314" i="14"/>
  <c r="EI314" i="14"/>
  <c r="EP313" i="14"/>
  <c r="EI313" i="14"/>
  <c r="EP312" i="14"/>
  <c r="EI312" i="14"/>
  <c r="EO309" i="14"/>
  <c r="EP305" i="14"/>
  <c r="EP304" i="14" s="1"/>
  <c r="EI305" i="14"/>
  <c r="EI304" i="14" s="1"/>
  <c r="EP301" i="14"/>
  <c r="EI301" i="14"/>
  <c r="EP300" i="14"/>
  <c r="EI300" i="14"/>
  <c r="EP293" i="14"/>
  <c r="EI293" i="14"/>
  <c r="EP292" i="14"/>
  <c r="EI292" i="14"/>
  <c r="EP291" i="14"/>
  <c r="EI291" i="14"/>
  <c r="EP290" i="14"/>
  <c r="EI290" i="14"/>
  <c r="EP289" i="14"/>
  <c r="EI289" i="14"/>
  <c r="EP288" i="14"/>
  <c r="EI288" i="14"/>
  <c r="EP287" i="14"/>
  <c r="EI287" i="14"/>
  <c r="EP286" i="14"/>
  <c r="EI286" i="14"/>
  <c r="EP285" i="14"/>
  <c r="EI285" i="14"/>
  <c r="EP284" i="14"/>
  <c r="EI284" i="14"/>
  <c r="EP283" i="14"/>
  <c r="EI283" i="14"/>
  <c r="EP282" i="14"/>
  <c r="EI282" i="14"/>
  <c r="EP281" i="14"/>
  <c r="EI281" i="14"/>
  <c r="EP280" i="14"/>
  <c r="EI280" i="14"/>
  <c r="EP279" i="14"/>
  <c r="EI279" i="14"/>
  <c r="EP278" i="14"/>
  <c r="EI278" i="14"/>
  <c r="EP277" i="14"/>
  <c r="EI277" i="14"/>
  <c r="EP276" i="14"/>
  <c r="EI276" i="14"/>
  <c r="EP275" i="14"/>
  <c r="EI275" i="14"/>
  <c r="EP274" i="14"/>
  <c r="EI274" i="14"/>
  <c r="EP273" i="14"/>
  <c r="EI273" i="14"/>
  <c r="EP272" i="14"/>
  <c r="EI272" i="14"/>
  <c r="EP271" i="14"/>
  <c r="EI271" i="14"/>
  <c r="EP270" i="14"/>
  <c r="EI270" i="14"/>
  <c r="EP269" i="14"/>
  <c r="EP268" i="14"/>
  <c r="EI265" i="14"/>
  <c r="EP259" i="14"/>
  <c r="EI259" i="14"/>
  <c r="EP258" i="14"/>
  <c r="EI258" i="14"/>
  <c r="EP257" i="14"/>
  <c r="EI257" i="14"/>
  <c r="EP256" i="14"/>
  <c r="EI256" i="14"/>
  <c r="EP255" i="14"/>
  <c r="EI255" i="14"/>
  <c r="EP254" i="14"/>
  <c r="EI254" i="14"/>
  <c r="EP253" i="14"/>
  <c r="EI253" i="14"/>
  <c r="EP252" i="14"/>
  <c r="EI252" i="14"/>
  <c r="EP251" i="14"/>
  <c r="EI251" i="14"/>
  <c r="EP250" i="14"/>
  <c r="EI250" i="14"/>
  <c r="EP249" i="14"/>
  <c r="EI249" i="14"/>
  <c r="EP248" i="14"/>
  <c r="EI248" i="14"/>
  <c r="EP247" i="14"/>
  <c r="EI247" i="14"/>
  <c r="EP246" i="14"/>
  <c r="EI246" i="14"/>
  <c r="EP245" i="14"/>
  <c r="EI245" i="14"/>
  <c r="EO244" i="14"/>
  <c r="EP243" i="14"/>
  <c r="EI243" i="14"/>
  <c r="EP242" i="14"/>
  <c r="EI242" i="14"/>
  <c r="EP241" i="14"/>
  <c r="EI241" i="14"/>
  <c r="EP240" i="14"/>
  <c r="EI240" i="14"/>
  <c r="EP239" i="14"/>
  <c r="EI239" i="14"/>
  <c r="EP238" i="14"/>
  <c r="EI238" i="14"/>
  <c r="EP237" i="14"/>
  <c r="EI237" i="14"/>
  <c r="EP236" i="14"/>
  <c r="EI236" i="14"/>
  <c r="EP235" i="14"/>
  <c r="EI235" i="14"/>
  <c r="EP234" i="14"/>
  <c r="EI234" i="14"/>
  <c r="EP233" i="14"/>
  <c r="EI233" i="14"/>
  <c r="EO232" i="14"/>
  <c r="EP231" i="14"/>
  <c r="EI231" i="14"/>
  <c r="EP230" i="14"/>
  <c r="EI230" i="14"/>
  <c r="EP229" i="14"/>
  <c r="EI229" i="14"/>
  <c r="EP228" i="14"/>
  <c r="EI228" i="14"/>
  <c r="EP227" i="14"/>
  <c r="EI227" i="14"/>
  <c r="EP226" i="14"/>
  <c r="EI226" i="14"/>
  <c r="EP225" i="14"/>
  <c r="EI225" i="14"/>
  <c r="EP224" i="14"/>
  <c r="EI224" i="14"/>
  <c r="EP223" i="14"/>
  <c r="EI223" i="14"/>
  <c r="EO222" i="14"/>
  <c r="EP221" i="14"/>
  <c r="EI221" i="14"/>
  <c r="EP220" i="14"/>
  <c r="EI220" i="14"/>
  <c r="EP219" i="14"/>
  <c r="EI219" i="14"/>
  <c r="EP218" i="14"/>
  <c r="EI218" i="14"/>
  <c r="EP217" i="14"/>
  <c r="EI217" i="14"/>
  <c r="EP216" i="14"/>
  <c r="EI216" i="14"/>
  <c r="EP215" i="14"/>
  <c r="EI215" i="14"/>
  <c r="EP214" i="14"/>
  <c r="EI214" i="14"/>
  <c r="EP213" i="14"/>
  <c r="EI213" i="14"/>
  <c r="EP212" i="14"/>
  <c r="EI212" i="14"/>
  <c r="EP211" i="14"/>
  <c r="EI211" i="14"/>
  <c r="EP210" i="14"/>
  <c r="EI210" i="14"/>
  <c r="EP209" i="14"/>
  <c r="EI209" i="14"/>
  <c r="EP208" i="14"/>
  <c r="EI208" i="14"/>
  <c r="EP207" i="14"/>
  <c r="EI207" i="14"/>
  <c r="EP206" i="14"/>
  <c r="EI206" i="14"/>
  <c r="EO205" i="14"/>
  <c r="EP204" i="14"/>
  <c r="EI204" i="14"/>
  <c r="EP203" i="14"/>
  <c r="EI203" i="14"/>
  <c r="EP202" i="14"/>
  <c r="EI202" i="14"/>
  <c r="EP201" i="14"/>
  <c r="EI201" i="14"/>
  <c r="EP200" i="14"/>
  <c r="EI200" i="14"/>
  <c r="EP199" i="14"/>
  <c r="EI199" i="14"/>
  <c r="EP198" i="14"/>
  <c r="EI198" i="14"/>
  <c r="EO197" i="14"/>
  <c r="EP196" i="14"/>
  <c r="EI196" i="14"/>
  <c r="EP195" i="14"/>
  <c r="EI195" i="14"/>
  <c r="EP194" i="14"/>
  <c r="EI194" i="14"/>
  <c r="EP193" i="14"/>
  <c r="EI193" i="14"/>
  <c r="EP192" i="14"/>
  <c r="EI192" i="14"/>
  <c r="EP191" i="14"/>
  <c r="EI191" i="14"/>
  <c r="EP190" i="14"/>
  <c r="EI190" i="14"/>
  <c r="EP189" i="14"/>
  <c r="EI189" i="14"/>
  <c r="EP188" i="14"/>
  <c r="EI188" i="14"/>
  <c r="EP187" i="14"/>
  <c r="EI187" i="14"/>
  <c r="EP186" i="14"/>
  <c r="EI186" i="14"/>
  <c r="EP185" i="14"/>
  <c r="EI185" i="14"/>
  <c r="EP184" i="14"/>
  <c r="EI184" i="14"/>
  <c r="EP183" i="14"/>
  <c r="EI183" i="14"/>
  <c r="EP182" i="14"/>
  <c r="EI182" i="14"/>
  <c r="EP181" i="14"/>
  <c r="EI181" i="14"/>
  <c r="EP180" i="14"/>
  <c r="EI180" i="14"/>
  <c r="EO179" i="14"/>
  <c r="EP178" i="14"/>
  <c r="EI178" i="14"/>
  <c r="EP177" i="14"/>
  <c r="EI177" i="14"/>
  <c r="EP176" i="14"/>
  <c r="EI176" i="14"/>
  <c r="EP175" i="14"/>
  <c r="EI175" i="14"/>
  <c r="EP174" i="14"/>
  <c r="EI174" i="14"/>
  <c r="EP173" i="14"/>
  <c r="EI173" i="14"/>
  <c r="EP172" i="14"/>
  <c r="EI172" i="14"/>
  <c r="EP171" i="14"/>
  <c r="EI171" i="14"/>
  <c r="EP170" i="14"/>
  <c r="EI170" i="14"/>
  <c r="EP169" i="14"/>
  <c r="EI169" i="14"/>
  <c r="EP168" i="14"/>
  <c r="EI168" i="14"/>
  <c r="EP167" i="14"/>
  <c r="EI167" i="14"/>
  <c r="EP166" i="14"/>
  <c r="EI166" i="14"/>
  <c r="EP165" i="14"/>
  <c r="EI165" i="14"/>
  <c r="EP164" i="14"/>
  <c r="EI164" i="14"/>
  <c r="EP163" i="14"/>
  <c r="EI163" i="14"/>
  <c r="EP162" i="14"/>
  <c r="EI162" i="14"/>
  <c r="EO161" i="14"/>
  <c r="EP160" i="14"/>
  <c r="EI160" i="14"/>
  <c r="EP159" i="14"/>
  <c r="EI159" i="14"/>
  <c r="EP158" i="14"/>
  <c r="EI158" i="14"/>
  <c r="EP157" i="14"/>
  <c r="EI157" i="14"/>
  <c r="EP156" i="14"/>
  <c r="EI156" i="14"/>
  <c r="EP155" i="14"/>
  <c r="EI155" i="14"/>
  <c r="EP154" i="14"/>
  <c r="EI154" i="14"/>
  <c r="EO153" i="14"/>
  <c r="EP152" i="14"/>
  <c r="EI152" i="14"/>
  <c r="EP151" i="14"/>
  <c r="EI151" i="14"/>
  <c r="EP150" i="14"/>
  <c r="EI150" i="14"/>
  <c r="EP149" i="14"/>
  <c r="EI149" i="14"/>
  <c r="EP148" i="14"/>
  <c r="EI148" i="14"/>
  <c r="EP147" i="14"/>
  <c r="EI147" i="14"/>
  <c r="EP146" i="14"/>
  <c r="EI146" i="14"/>
  <c r="EP145" i="14"/>
  <c r="EI145" i="14"/>
  <c r="EP144" i="14"/>
  <c r="EI144" i="14"/>
  <c r="EP143" i="14"/>
  <c r="EI143" i="14"/>
  <c r="EP142" i="14"/>
  <c r="EI142" i="14"/>
  <c r="EP141" i="14"/>
  <c r="EI141" i="14"/>
  <c r="EP140" i="14"/>
  <c r="EI140" i="14"/>
  <c r="EO139" i="14"/>
  <c r="EP138" i="14"/>
  <c r="EI138" i="14"/>
  <c r="EP137" i="14"/>
  <c r="EI137" i="14"/>
  <c r="EP136" i="14"/>
  <c r="EI136" i="14"/>
  <c r="EP135" i="14"/>
  <c r="EI135" i="14"/>
  <c r="EP134" i="14"/>
  <c r="EI134" i="14"/>
  <c r="EP133" i="14"/>
  <c r="EI133" i="14"/>
  <c r="EP132" i="14"/>
  <c r="EI132" i="14"/>
  <c r="EP131" i="14"/>
  <c r="EI131" i="14"/>
  <c r="EO130" i="14"/>
  <c r="EP129" i="14"/>
  <c r="EI129" i="14"/>
  <c r="EP128" i="14"/>
  <c r="EI128" i="14"/>
  <c r="EP127" i="14"/>
  <c r="EI127" i="14"/>
  <c r="EP126" i="14"/>
  <c r="EI126" i="14"/>
  <c r="EP125" i="14"/>
  <c r="EI125" i="14"/>
  <c r="EP124" i="14"/>
  <c r="EI124" i="14"/>
  <c r="EP123" i="14"/>
  <c r="EI123" i="14"/>
  <c r="EP122" i="14"/>
  <c r="EI122" i="14"/>
  <c r="EP121" i="14"/>
  <c r="EI121" i="14"/>
  <c r="EP120" i="14"/>
  <c r="EI120" i="14"/>
  <c r="EP119" i="14"/>
  <c r="EI119" i="14"/>
  <c r="EP118" i="14"/>
  <c r="EI118" i="14"/>
  <c r="EP117" i="14"/>
  <c r="EI117" i="14"/>
  <c r="EO116" i="14"/>
  <c r="EP115" i="14"/>
  <c r="EI115" i="14"/>
  <c r="EP114" i="14"/>
  <c r="EI114" i="14"/>
  <c r="EP113" i="14"/>
  <c r="EI113" i="14"/>
  <c r="EP112" i="14"/>
  <c r="EI112" i="14"/>
  <c r="EP111" i="14"/>
  <c r="EI111" i="14"/>
  <c r="EP110" i="14"/>
  <c r="EI110" i="14"/>
  <c r="EP109" i="14"/>
  <c r="EI109" i="14"/>
  <c r="EP108" i="14"/>
  <c r="EI108" i="14"/>
  <c r="EP107" i="14"/>
  <c r="EI107" i="14"/>
  <c r="EP106" i="14"/>
  <c r="EI106" i="14"/>
  <c r="EP105" i="14"/>
  <c r="EI105" i="14"/>
  <c r="EP104" i="14"/>
  <c r="EI104" i="14"/>
  <c r="EP103" i="14"/>
  <c r="EI103" i="14"/>
  <c r="EP102" i="14"/>
  <c r="EI102" i="14"/>
  <c r="EP101" i="14"/>
  <c r="EI101" i="14"/>
  <c r="EP100" i="14"/>
  <c r="EI100" i="14"/>
  <c r="EI99" i="14"/>
  <c r="EP98" i="14"/>
  <c r="EI98" i="14"/>
  <c r="EP97" i="14"/>
  <c r="EI97" i="14"/>
  <c r="EO96" i="14"/>
  <c r="EP95" i="14"/>
  <c r="EI95" i="14"/>
  <c r="EP94" i="14"/>
  <c r="EI94" i="14"/>
  <c r="EP93" i="14"/>
  <c r="EI93" i="14"/>
  <c r="EP92" i="14"/>
  <c r="EI92" i="14"/>
  <c r="EP91" i="14"/>
  <c r="EI91" i="14"/>
  <c r="EP90" i="14"/>
  <c r="EI90" i="14"/>
  <c r="EP89" i="14"/>
  <c r="EI89" i="14"/>
  <c r="EP88" i="14"/>
  <c r="EI88" i="14"/>
  <c r="EP87" i="14"/>
  <c r="EI87" i="14"/>
  <c r="EP86" i="14"/>
  <c r="EI86" i="14"/>
  <c r="EP85" i="14"/>
  <c r="EI85" i="14"/>
  <c r="EP84" i="14"/>
  <c r="EI84" i="14"/>
  <c r="EP83" i="14"/>
  <c r="EI83" i="14"/>
  <c r="EP82" i="14"/>
  <c r="EI82" i="14"/>
  <c r="EO81" i="14"/>
  <c r="EP80" i="14"/>
  <c r="EI80" i="14"/>
  <c r="EP79" i="14"/>
  <c r="EI79" i="14"/>
  <c r="EP78" i="14"/>
  <c r="EI78" i="14"/>
  <c r="EP77" i="14"/>
  <c r="EI77" i="14"/>
  <c r="EP76" i="14"/>
  <c r="EI76" i="14"/>
  <c r="EP75" i="14"/>
  <c r="EI75" i="14"/>
  <c r="EP74" i="14"/>
  <c r="EI74" i="14"/>
  <c r="EP73" i="14"/>
  <c r="EI73" i="14"/>
  <c r="EP72" i="14"/>
  <c r="EI72" i="14"/>
  <c r="EP71" i="14"/>
  <c r="EI71" i="14"/>
  <c r="EP70" i="14"/>
  <c r="EI70" i="14"/>
  <c r="EP69" i="14"/>
  <c r="EI69" i="14"/>
  <c r="EP68" i="14"/>
  <c r="EI68" i="14"/>
  <c r="EP67" i="14"/>
  <c r="EI67" i="14"/>
  <c r="EP66" i="14"/>
  <c r="EI66" i="14"/>
  <c r="EP65" i="14"/>
  <c r="EI65" i="14"/>
  <c r="EP64" i="14"/>
  <c r="EI64" i="14"/>
  <c r="EP63" i="14"/>
  <c r="EI63" i="14"/>
  <c r="EP62" i="14"/>
  <c r="EI62" i="14"/>
  <c r="EP61" i="14"/>
  <c r="EI61" i="14"/>
  <c r="EP60" i="14"/>
  <c r="EI60" i="14"/>
  <c r="EO59" i="14"/>
  <c r="EP58" i="14"/>
  <c r="EI58" i="14"/>
  <c r="EP57" i="14"/>
  <c r="EI57" i="14"/>
  <c r="EP55" i="14"/>
  <c r="EI55" i="14"/>
  <c r="EP54" i="14"/>
  <c r="EI54" i="14"/>
  <c r="EP53" i="14"/>
  <c r="EI53" i="14"/>
  <c r="EP52" i="14"/>
  <c r="EI52" i="14"/>
  <c r="EP51" i="14"/>
  <c r="EI51" i="14"/>
  <c r="EP50" i="14"/>
  <c r="EI50" i="14"/>
  <c r="EP49" i="14"/>
  <c r="EI49" i="14"/>
  <c r="EP48" i="14"/>
  <c r="EI48" i="14"/>
  <c r="EP47" i="14"/>
  <c r="EI47" i="14"/>
  <c r="EP46" i="14"/>
  <c r="EI46" i="14"/>
  <c r="EP45" i="14"/>
  <c r="EI45" i="14"/>
  <c r="EP44" i="14"/>
  <c r="EI44" i="14"/>
  <c r="EP43" i="14"/>
  <c r="EI43" i="14"/>
  <c r="EP42" i="14"/>
  <c r="EI42" i="14"/>
  <c r="EO41" i="14"/>
  <c r="EP40" i="14"/>
  <c r="EI40" i="14"/>
  <c r="EP39" i="14"/>
  <c r="EI39" i="14"/>
  <c r="EP38" i="14"/>
  <c r="EI38" i="14"/>
  <c r="EP37" i="14"/>
  <c r="EI37" i="14"/>
  <c r="EP36" i="14"/>
  <c r="EI36" i="14"/>
  <c r="EP35" i="14"/>
  <c r="EI35" i="14"/>
  <c r="EP34" i="14"/>
  <c r="EI34" i="14"/>
  <c r="EP33" i="14"/>
  <c r="EI33" i="14"/>
  <c r="EP32" i="14"/>
  <c r="EI32" i="14"/>
  <c r="EP31" i="14"/>
  <c r="EI31" i="14"/>
  <c r="EP30" i="14"/>
  <c r="EI30" i="14"/>
  <c r="EP29" i="14"/>
  <c r="EI29" i="14"/>
  <c r="EP28" i="14"/>
  <c r="EI28" i="14"/>
  <c r="EP27" i="14"/>
  <c r="EI27" i="14"/>
  <c r="EP26" i="14"/>
  <c r="EI26" i="14"/>
  <c r="EP25" i="14"/>
  <c r="EI25" i="14"/>
  <c r="EP24" i="14"/>
  <c r="EI24" i="14"/>
  <c r="EP23" i="14"/>
  <c r="EI23" i="14"/>
  <c r="EO22" i="14"/>
  <c r="EP21" i="14"/>
  <c r="EI21" i="14"/>
  <c r="EP20" i="14"/>
  <c r="EI20" i="14"/>
  <c r="EP19" i="14"/>
  <c r="EI19" i="14"/>
  <c r="EP18" i="14"/>
  <c r="EI18" i="14"/>
  <c r="EP17" i="14"/>
  <c r="EI17" i="14"/>
  <c r="EP16" i="14"/>
  <c r="EI16" i="14"/>
  <c r="EP15" i="14"/>
  <c r="EI15" i="14"/>
  <c r="EP14" i="14"/>
  <c r="EI14" i="14"/>
  <c r="EP13" i="14"/>
  <c r="EI13" i="14"/>
  <c r="EP12" i="14"/>
  <c r="EI12" i="14"/>
  <c r="EP11" i="14"/>
  <c r="EI11" i="14"/>
  <c r="EO10" i="14"/>
  <c r="EP9" i="14"/>
  <c r="EI9" i="14"/>
  <c r="EO8" i="14"/>
  <c r="CJ330" i="14"/>
  <c r="CK329" i="14"/>
  <c r="CK330" i="14" s="1"/>
  <c r="CD329" i="14"/>
  <c r="CD330" i="14" s="1"/>
  <c r="CJ316" i="14"/>
  <c r="CK314" i="14"/>
  <c r="CD314" i="14"/>
  <c r="CK313" i="14"/>
  <c r="CD313" i="14"/>
  <c r="CK312" i="14"/>
  <c r="CD312" i="14"/>
  <c r="CK304" i="14"/>
  <c r="CD304" i="14"/>
  <c r="CK301" i="14"/>
  <c r="CD301" i="14"/>
  <c r="CK300" i="14"/>
  <c r="CD300" i="14"/>
  <c r="CK299" i="14"/>
  <c r="CD299" i="14"/>
  <c r="CJ295" i="14"/>
  <c r="CJ309" i="14" s="1"/>
  <c r="CJ319" i="14" s="1"/>
  <c r="CK293" i="14"/>
  <c r="CD293" i="14"/>
  <c r="CK292" i="14"/>
  <c r="CD292" i="14"/>
  <c r="CK290" i="14"/>
  <c r="CD290" i="14"/>
  <c r="CK289" i="14"/>
  <c r="CD289" i="14"/>
  <c r="CK287" i="14"/>
  <c r="CD287" i="14"/>
  <c r="CK286" i="14"/>
  <c r="CD286" i="14"/>
  <c r="CK284" i="14"/>
  <c r="CD284" i="14"/>
  <c r="CK283" i="14"/>
  <c r="CD283" i="14"/>
  <c r="CD281" i="14"/>
  <c r="CK280" i="14"/>
  <c r="CK279" i="14" s="1"/>
  <c r="CD280" i="14"/>
  <c r="CK278" i="14"/>
  <c r="CD278" i="14"/>
  <c r="CK277" i="14"/>
  <c r="CD277" i="14"/>
  <c r="CK275" i="14"/>
  <c r="CD275" i="14"/>
  <c r="CK274" i="14"/>
  <c r="CD274" i="14"/>
  <c r="CK272" i="14"/>
  <c r="CD272" i="14"/>
  <c r="CK271" i="14"/>
  <c r="CD271" i="14"/>
  <c r="CK265" i="14"/>
  <c r="CD265" i="14"/>
  <c r="CJ263" i="14"/>
  <c r="CD261" i="14"/>
  <c r="CK259" i="14"/>
  <c r="CD259" i="14"/>
  <c r="CK258" i="14"/>
  <c r="CD258" i="14"/>
  <c r="CK257" i="14"/>
  <c r="CD257" i="14"/>
  <c r="CK256" i="14"/>
  <c r="CD256" i="14"/>
  <c r="CK255" i="14"/>
  <c r="CD255" i="14"/>
  <c r="CK254" i="14"/>
  <c r="CD254" i="14"/>
  <c r="CK253" i="14"/>
  <c r="CD253" i="14"/>
  <c r="CK252" i="14"/>
  <c r="CD252" i="14"/>
  <c r="CK251" i="14"/>
  <c r="CD251" i="14"/>
  <c r="CK250" i="14"/>
  <c r="CD250" i="14"/>
  <c r="CK249" i="14"/>
  <c r="CD249" i="14"/>
  <c r="CK248" i="14"/>
  <c r="CD248" i="14"/>
  <c r="CK247" i="14"/>
  <c r="CD247" i="14"/>
  <c r="CK246" i="14"/>
  <c r="CD246" i="14"/>
  <c r="CK245" i="14"/>
  <c r="CD245" i="14"/>
  <c r="CJ244" i="14"/>
  <c r="CK243" i="14"/>
  <c r="CD243" i="14"/>
  <c r="CK242" i="14"/>
  <c r="CD242" i="14"/>
  <c r="CK241" i="14"/>
  <c r="CD241" i="14"/>
  <c r="CK240" i="14"/>
  <c r="CD240" i="14"/>
  <c r="CK239" i="14"/>
  <c r="CD239" i="14"/>
  <c r="CK238" i="14"/>
  <c r="CD238" i="14"/>
  <c r="CK237" i="14"/>
  <c r="CD237" i="14"/>
  <c r="CK236" i="14"/>
  <c r="CD236" i="14"/>
  <c r="CK235" i="14"/>
  <c r="CD235" i="14"/>
  <c r="CK234" i="14"/>
  <c r="CD234" i="14"/>
  <c r="CK233" i="14"/>
  <c r="CD233" i="14"/>
  <c r="CJ232" i="14"/>
  <c r="CK231" i="14"/>
  <c r="CD231" i="14"/>
  <c r="CK230" i="14"/>
  <c r="CD230" i="14"/>
  <c r="CK229" i="14"/>
  <c r="CD229" i="14"/>
  <c r="CK228" i="14"/>
  <c r="CD228" i="14"/>
  <c r="CK227" i="14"/>
  <c r="CD227" i="14"/>
  <c r="CK226" i="14"/>
  <c r="CD226" i="14"/>
  <c r="CK225" i="14"/>
  <c r="CD225" i="14"/>
  <c r="CK224" i="14"/>
  <c r="CD224" i="14"/>
  <c r="CK223" i="14"/>
  <c r="CD223" i="14"/>
  <c r="CJ222" i="14"/>
  <c r="CK221" i="14"/>
  <c r="CD221" i="14"/>
  <c r="CK220" i="14"/>
  <c r="CD220" i="14"/>
  <c r="CK219" i="14"/>
  <c r="CD219" i="14"/>
  <c r="CK218" i="14"/>
  <c r="CD218" i="14"/>
  <c r="CK217" i="14"/>
  <c r="CD217" i="14"/>
  <c r="CK216" i="14"/>
  <c r="CD216" i="14"/>
  <c r="CK215" i="14"/>
  <c r="CD215" i="14"/>
  <c r="CK214" i="14"/>
  <c r="CD214" i="14"/>
  <c r="CK213" i="14"/>
  <c r="CD213" i="14"/>
  <c r="CK212" i="14"/>
  <c r="CD212" i="14"/>
  <c r="CK211" i="14"/>
  <c r="CD211" i="14"/>
  <c r="CK210" i="14"/>
  <c r="CD210" i="14"/>
  <c r="CK209" i="14"/>
  <c r="CD209" i="14"/>
  <c r="CK208" i="14"/>
  <c r="CD208" i="14"/>
  <c r="CK207" i="14"/>
  <c r="CD207" i="14"/>
  <c r="CK206" i="14"/>
  <c r="CD206" i="14"/>
  <c r="CJ205" i="14"/>
  <c r="CK204" i="14"/>
  <c r="CD204" i="14"/>
  <c r="CK203" i="14"/>
  <c r="CD203" i="14"/>
  <c r="CK202" i="14"/>
  <c r="CD202" i="14"/>
  <c r="CK201" i="14"/>
  <c r="CD201" i="14"/>
  <c r="CK200" i="14"/>
  <c r="CD200" i="14"/>
  <c r="CK199" i="14"/>
  <c r="CD199" i="14"/>
  <c r="CK198" i="14"/>
  <c r="CD198" i="14"/>
  <c r="CJ197" i="14"/>
  <c r="CK196" i="14"/>
  <c r="CD196" i="14"/>
  <c r="CK195" i="14"/>
  <c r="CD195" i="14"/>
  <c r="CK194" i="14"/>
  <c r="CD194" i="14"/>
  <c r="CK193" i="14"/>
  <c r="CD193" i="14"/>
  <c r="CK192" i="14"/>
  <c r="CD192" i="14"/>
  <c r="CK191" i="14"/>
  <c r="CD191" i="14"/>
  <c r="CK190" i="14"/>
  <c r="CD190" i="14"/>
  <c r="CD189" i="14"/>
  <c r="CK188" i="14"/>
  <c r="CD188" i="14"/>
  <c r="CK187" i="14"/>
  <c r="CD187" i="14"/>
  <c r="CK186" i="14"/>
  <c r="CD186" i="14"/>
  <c r="CK185" i="14"/>
  <c r="CD185" i="14"/>
  <c r="CK184" i="14"/>
  <c r="CD184" i="14"/>
  <c r="CK183" i="14"/>
  <c r="CD183" i="14"/>
  <c r="CK182" i="14"/>
  <c r="CD182" i="14"/>
  <c r="CK181" i="14"/>
  <c r="CD181" i="14"/>
  <c r="CK180" i="14"/>
  <c r="CD180" i="14"/>
  <c r="CJ179" i="14"/>
  <c r="CK178" i="14"/>
  <c r="CD178" i="14"/>
  <c r="CK177" i="14"/>
  <c r="CD177" i="14"/>
  <c r="CK176" i="14"/>
  <c r="CD176" i="14"/>
  <c r="CK175" i="14"/>
  <c r="CD175" i="14"/>
  <c r="CK174" i="14"/>
  <c r="CD174" i="14"/>
  <c r="CK173" i="14"/>
  <c r="CD173" i="14"/>
  <c r="CK172" i="14"/>
  <c r="CD172" i="14"/>
  <c r="CK171" i="14"/>
  <c r="CD171" i="14"/>
  <c r="CK170" i="14"/>
  <c r="CD170" i="14"/>
  <c r="CK169" i="14"/>
  <c r="CD169" i="14"/>
  <c r="CK168" i="14"/>
  <c r="CD168" i="14"/>
  <c r="CK167" i="14"/>
  <c r="CD167" i="14"/>
  <c r="CK166" i="14"/>
  <c r="CD166" i="14"/>
  <c r="CK165" i="14"/>
  <c r="CD165" i="14"/>
  <c r="CK164" i="14"/>
  <c r="CD164" i="14"/>
  <c r="CK163" i="14"/>
  <c r="CD163" i="14"/>
  <c r="CD162" i="14"/>
  <c r="CJ161" i="14"/>
  <c r="CK160" i="14"/>
  <c r="CD160" i="14"/>
  <c r="CK159" i="14"/>
  <c r="CD159" i="14"/>
  <c r="CK158" i="14"/>
  <c r="CD158" i="14"/>
  <c r="CK157" i="14"/>
  <c r="CD157" i="14"/>
  <c r="CK156" i="14"/>
  <c r="CD156" i="14"/>
  <c r="CK155" i="14"/>
  <c r="CD155" i="14"/>
  <c r="CK154" i="14"/>
  <c r="CD154" i="14"/>
  <c r="CJ153" i="14"/>
  <c r="CK152" i="14"/>
  <c r="CD152" i="14"/>
  <c r="CK151" i="14"/>
  <c r="CD151" i="14"/>
  <c r="CK150" i="14"/>
  <c r="CD150" i="14"/>
  <c r="CK149" i="14"/>
  <c r="CD149" i="14"/>
  <c r="CK148" i="14"/>
  <c r="CD148" i="14"/>
  <c r="CK147" i="14"/>
  <c r="CD147" i="14"/>
  <c r="CK146" i="14"/>
  <c r="CD146" i="14"/>
  <c r="CK145" i="14"/>
  <c r="CD145" i="14"/>
  <c r="CK144" i="14"/>
  <c r="CD144" i="14"/>
  <c r="CK143" i="14"/>
  <c r="CD143" i="14"/>
  <c r="CK142" i="14"/>
  <c r="CD142" i="14"/>
  <c r="CK141" i="14"/>
  <c r="CD141" i="14"/>
  <c r="CK140" i="14"/>
  <c r="CD140" i="14"/>
  <c r="CJ139" i="14"/>
  <c r="CK138" i="14"/>
  <c r="CD138" i="14"/>
  <c r="CK137" i="14"/>
  <c r="CD137" i="14"/>
  <c r="CK136" i="14"/>
  <c r="CD136" i="14"/>
  <c r="CK135" i="14"/>
  <c r="CD135" i="14"/>
  <c r="CK134" i="14"/>
  <c r="CD134" i="14"/>
  <c r="CK133" i="14"/>
  <c r="CD133" i="14"/>
  <c r="CK132" i="14"/>
  <c r="CD132" i="14"/>
  <c r="CK131" i="14"/>
  <c r="CD131" i="14"/>
  <c r="CJ130" i="14"/>
  <c r="CK129" i="14"/>
  <c r="CD129" i="14"/>
  <c r="CK128" i="14"/>
  <c r="CD128" i="14"/>
  <c r="CK127" i="14"/>
  <c r="CD127" i="14"/>
  <c r="CK126" i="14"/>
  <c r="CD126" i="14"/>
  <c r="CK125" i="14"/>
  <c r="CD125" i="14"/>
  <c r="CK124" i="14"/>
  <c r="CD124" i="14"/>
  <c r="CK123" i="14"/>
  <c r="CD123" i="14"/>
  <c r="CK122" i="14"/>
  <c r="CD122" i="14"/>
  <c r="CK121" i="14"/>
  <c r="CD121" i="14"/>
  <c r="CK120" i="14"/>
  <c r="CD120" i="14"/>
  <c r="CK119" i="14"/>
  <c r="CD119" i="14"/>
  <c r="CK118" i="14"/>
  <c r="CD118" i="14"/>
  <c r="CK117" i="14"/>
  <c r="CD117" i="14"/>
  <c r="CJ116" i="14"/>
  <c r="CK115" i="14"/>
  <c r="CD115" i="14"/>
  <c r="CK114" i="14"/>
  <c r="CD114" i="14"/>
  <c r="CK113" i="14"/>
  <c r="CD113" i="14"/>
  <c r="CK112" i="14"/>
  <c r="CD112" i="14"/>
  <c r="CK111" i="14"/>
  <c r="CD111" i="14"/>
  <c r="CK110" i="14"/>
  <c r="CD110" i="14"/>
  <c r="CK109" i="14"/>
  <c r="CD109" i="14"/>
  <c r="CK108" i="14"/>
  <c r="CD108" i="14"/>
  <c r="CK107" i="14"/>
  <c r="CD107" i="14"/>
  <c r="CK106" i="14"/>
  <c r="CD106" i="14"/>
  <c r="CK105" i="14"/>
  <c r="CD105" i="14"/>
  <c r="CK104" i="14"/>
  <c r="CD104" i="14"/>
  <c r="CK103" i="14"/>
  <c r="CD103" i="14"/>
  <c r="CK102" i="14"/>
  <c r="CD102" i="14"/>
  <c r="CK101" i="14"/>
  <c r="CD101" i="14"/>
  <c r="CK100" i="14"/>
  <c r="CD100" i="14"/>
  <c r="CK99" i="14"/>
  <c r="CK98" i="14"/>
  <c r="CD98" i="14"/>
  <c r="CK97" i="14"/>
  <c r="CD97" i="14"/>
  <c r="CJ96" i="14"/>
  <c r="CK95" i="14"/>
  <c r="CD95" i="14"/>
  <c r="CK94" i="14"/>
  <c r="CD94" i="14"/>
  <c r="CK93" i="14"/>
  <c r="CD93" i="14"/>
  <c r="CK92" i="14"/>
  <c r="CD92" i="14"/>
  <c r="CK91" i="14"/>
  <c r="CD91" i="14"/>
  <c r="CK90" i="14"/>
  <c r="CD90" i="14"/>
  <c r="CK89" i="14"/>
  <c r="CD89" i="14"/>
  <c r="CK88" i="14"/>
  <c r="CD88" i="14"/>
  <c r="CK87" i="14"/>
  <c r="CD87" i="14"/>
  <c r="CK86" i="14"/>
  <c r="CD86" i="14"/>
  <c r="CK85" i="14"/>
  <c r="CD85" i="14"/>
  <c r="CK84" i="14"/>
  <c r="CD84" i="14"/>
  <c r="CK83" i="14"/>
  <c r="CD83" i="14"/>
  <c r="CK82" i="14"/>
  <c r="CD82" i="14"/>
  <c r="CJ81" i="14"/>
  <c r="CK80" i="14"/>
  <c r="CD80" i="14"/>
  <c r="CK79" i="14"/>
  <c r="CD79" i="14"/>
  <c r="CK78" i="14"/>
  <c r="CD78" i="14"/>
  <c r="CK77" i="14"/>
  <c r="CD77" i="14"/>
  <c r="CK76" i="14"/>
  <c r="CD76" i="14"/>
  <c r="CK75" i="14"/>
  <c r="CD75" i="14"/>
  <c r="CK74" i="14"/>
  <c r="CD74" i="14"/>
  <c r="CK73" i="14"/>
  <c r="CD73" i="14"/>
  <c r="CK72" i="14"/>
  <c r="CD72" i="14"/>
  <c r="CK71" i="14"/>
  <c r="CD71" i="14"/>
  <c r="CK70" i="14"/>
  <c r="CD70" i="14"/>
  <c r="CK69" i="14"/>
  <c r="CD69" i="14"/>
  <c r="CK68" i="14"/>
  <c r="CD68" i="14"/>
  <c r="CK67" i="14"/>
  <c r="CD67" i="14"/>
  <c r="CK66" i="14"/>
  <c r="CD66" i="14"/>
  <c r="CK65" i="14"/>
  <c r="CD65" i="14"/>
  <c r="CK64" i="14"/>
  <c r="CD64" i="14"/>
  <c r="CK63" i="14"/>
  <c r="CD63" i="14"/>
  <c r="CK62" i="14"/>
  <c r="CD62" i="14"/>
  <c r="CK61" i="14"/>
  <c r="CD61" i="14"/>
  <c r="CK60" i="14"/>
  <c r="CD60" i="14"/>
  <c r="CJ59" i="14"/>
  <c r="CK58" i="14"/>
  <c r="CD58" i="14"/>
  <c r="CK57" i="14"/>
  <c r="CD57" i="14"/>
  <c r="CK56" i="14"/>
  <c r="CD56" i="14"/>
  <c r="CK55" i="14"/>
  <c r="CD55" i="14"/>
  <c r="CK54" i="14"/>
  <c r="CD54" i="14"/>
  <c r="CK53" i="14"/>
  <c r="CD53" i="14"/>
  <c r="CK52" i="14"/>
  <c r="CD52" i="14"/>
  <c r="CK51" i="14"/>
  <c r="CD51" i="14"/>
  <c r="CK50" i="14"/>
  <c r="CD50" i="14"/>
  <c r="CK49" i="14"/>
  <c r="CD49" i="14"/>
  <c r="CK48" i="14"/>
  <c r="CD48" i="14"/>
  <c r="CK47" i="14"/>
  <c r="CD47" i="14"/>
  <c r="CK46" i="14"/>
  <c r="CD46" i="14"/>
  <c r="CK45" i="14"/>
  <c r="CD45" i="14"/>
  <c r="CK44" i="14"/>
  <c r="CD44" i="14"/>
  <c r="CK43" i="14"/>
  <c r="CD43" i="14"/>
  <c r="CK42" i="14"/>
  <c r="CD42" i="14"/>
  <c r="CJ41" i="14"/>
  <c r="CK40" i="14"/>
  <c r="CD40" i="14"/>
  <c r="CK39" i="14"/>
  <c r="CD39" i="14"/>
  <c r="CK38" i="14"/>
  <c r="CD38" i="14"/>
  <c r="CK37" i="14"/>
  <c r="CD37" i="14"/>
  <c r="CK36" i="14"/>
  <c r="CD36" i="14"/>
  <c r="CK35" i="14"/>
  <c r="CD35" i="14"/>
  <c r="CK34" i="14"/>
  <c r="CD34" i="14"/>
  <c r="CK33" i="14"/>
  <c r="CD33" i="14"/>
  <c r="CK32" i="14"/>
  <c r="CD32" i="14"/>
  <c r="CK31" i="14"/>
  <c r="CD31" i="14"/>
  <c r="CK30" i="14"/>
  <c r="CD30" i="14"/>
  <c r="CK29" i="14"/>
  <c r="CD29" i="14"/>
  <c r="CK28" i="14"/>
  <c r="CD28" i="14"/>
  <c r="CK27" i="14"/>
  <c r="CD27" i="14"/>
  <c r="CK26" i="14"/>
  <c r="CD26" i="14"/>
  <c r="CK25" i="14"/>
  <c r="CD25" i="14"/>
  <c r="CK24" i="14"/>
  <c r="CD24" i="14"/>
  <c r="CK23" i="14"/>
  <c r="CD23" i="14"/>
  <c r="CJ22" i="14"/>
  <c r="CK21" i="14"/>
  <c r="CD21" i="14"/>
  <c r="CK20" i="14"/>
  <c r="CD20" i="14"/>
  <c r="CK19" i="14"/>
  <c r="CD19" i="14"/>
  <c r="CK18" i="14"/>
  <c r="CD18" i="14"/>
  <c r="CK17" i="14"/>
  <c r="CD17" i="14"/>
  <c r="CK16" i="14"/>
  <c r="CD16" i="14"/>
  <c r="CK15" i="14"/>
  <c r="CD15" i="14"/>
  <c r="CK14" i="14"/>
  <c r="CD14" i="14"/>
  <c r="CK13" i="14"/>
  <c r="CD13" i="14"/>
  <c r="CK12" i="14"/>
  <c r="CD12" i="14"/>
  <c r="CK11" i="14"/>
  <c r="CD11" i="14"/>
  <c r="CJ10" i="14"/>
  <c r="CK9" i="14"/>
  <c r="CD8" i="14"/>
  <c r="CJ8" i="14"/>
  <c r="CD298" i="14" l="1"/>
  <c r="CK298" i="14"/>
  <c r="CK285" i="14"/>
  <c r="EI269" i="14"/>
  <c r="CK244" i="14"/>
  <c r="CD285" i="14"/>
  <c r="EI268" i="14"/>
  <c r="CD153" i="14"/>
  <c r="CK291" i="14"/>
  <c r="CK269" i="14"/>
  <c r="CD222" i="14"/>
  <c r="CK270" i="14"/>
  <c r="CK276" i="14"/>
  <c r="CD282" i="14"/>
  <c r="CK288" i="14"/>
  <c r="CD99" i="14"/>
  <c r="CD270" i="14"/>
  <c r="CJ260" i="14"/>
  <c r="CJ262" i="14" s="1"/>
  <c r="CJ264" i="14" s="1"/>
  <c r="EI8" i="14"/>
  <c r="EI130" i="14"/>
  <c r="EI153" i="14"/>
  <c r="EI96" i="14"/>
  <c r="EP244" i="14"/>
  <c r="EI299" i="14"/>
  <c r="EI298" i="14" s="1"/>
  <c r="EI316" i="14"/>
  <c r="CK197" i="14"/>
  <c r="CD263" i="14"/>
  <c r="CK273" i="14"/>
  <c r="CD291" i="14"/>
  <c r="CD316" i="14"/>
  <c r="EP161" i="14"/>
  <c r="CD273" i="14"/>
  <c r="CD279" i="14"/>
  <c r="CD288" i="14"/>
  <c r="CK316" i="14"/>
  <c r="EP316" i="14"/>
  <c r="EI232" i="14"/>
  <c r="CD268" i="14"/>
  <c r="EP222" i="14"/>
  <c r="EI22" i="14"/>
  <c r="EP197" i="14"/>
  <c r="EI197" i="14"/>
  <c r="CD197" i="14"/>
  <c r="CD161" i="14"/>
  <c r="CK222" i="14"/>
  <c r="CD205" i="14"/>
  <c r="CD22" i="14"/>
  <c r="CD96" i="14"/>
  <c r="CK130" i="14"/>
  <c r="CD130" i="14"/>
  <c r="CK139" i="14"/>
  <c r="CD139" i="14"/>
  <c r="CK232" i="14"/>
  <c r="EO260" i="14"/>
  <c r="EO262" i="14" s="1"/>
  <c r="CD116" i="14"/>
  <c r="CD59" i="14"/>
  <c r="CD81" i="14"/>
  <c r="EP41" i="14"/>
  <c r="CK153" i="14"/>
  <c r="CD244" i="14"/>
  <c r="CK116" i="14"/>
  <c r="EI244" i="14"/>
  <c r="EP139" i="14"/>
  <c r="CK205" i="14"/>
  <c r="CD276" i="14"/>
  <c r="EI161" i="14"/>
  <c r="EP153" i="14"/>
  <c r="EP81" i="14"/>
  <c r="EI59" i="14"/>
  <c r="EI139" i="14"/>
  <c r="CK59" i="14"/>
  <c r="CK81" i="14"/>
  <c r="EP267" i="14"/>
  <c r="CD179" i="14"/>
  <c r="EP116" i="14"/>
  <c r="CD232" i="14"/>
  <c r="EP205" i="14"/>
  <c r="EI205" i="14"/>
  <c r="CK96" i="14"/>
  <c r="CK22" i="14"/>
  <c r="CD10" i="14"/>
  <c r="EP10" i="14"/>
  <c r="EI222" i="14"/>
  <c r="EP232" i="14"/>
  <c r="CK41" i="14"/>
  <c r="CD41" i="14"/>
  <c r="EP59" i="14"/>
  <c r="EI10" i="14"/>
  <c r="EI41" i="14"/>
  <c r="EI81" i="14"/>
  <c r="EP99" i="14"/>
  <c r="EP130" i="14"/>
  <c r="EP22" i="14"/>
  <c r="EI116" i="14"/>
  <c r="EI309" i="14"/>
  <c r="EI295" i="14"/>
  <c r="EP8" i="14"/>
  <c r="EI179" i="14"/>
  <c r="EP179" i="14"/>
  <c r="EO333" i="14"/>
  <c r="EP299" i="14"/>
  <c r="EP298" i="14" s="1"/>
  <c r="CJ333" i="14"/>
  <c r="CK10" i="14"/>
  <c r="CD295" i="14"/>
  <c r="CK8" i="14"/>
  <c r="CK189" i="14"/>
  <c r="CK179" i="14" s="1"/>
  <c r="CK268" i="14"/>
  <c r="CD269" i="14"/>
  <c r="GE100" i="14"/>
  <c r="GD100" i="14"/>
  <c r="FY100" i="14"/>
  <c r="FX100" i="14" s="1"/>
  <c r="GB100" i="14" s="1"/>
  <c r="EO266" i="14" l="1"/>
  <c r="EO294" i="14" s="1"/>
  <c r="EO308" i="14" s="1"/>
  <c r="EO264" i="14"/>
  <c r="CK267" i="14"/>
  <c r="EI267" i="14"/>
  <c r="CJ266" i="14"/>
  <c r="CJ294" i="14" s="1"/>
  <c r="CJ296" i="14" s="1"/>
  <c r="CJ310" i="14" s="1"/>
  <c r="CJ320" i="14" s="1"/>
  <c r="GC100" i="14"/>
  <c r="GG100" i="14" s="1"/>
  <c r="CD267" i="14"/>
  <c r="CD262" i="14"/>
  <c r="CD264" i="14" s="1"/>
  <c r="EP96" i="14"/>
  <c r="EI319" i="14"/>
  <c r="EI333" i="14" s="1"/>
  <c r="CD309" i="14"/>
  <c r="GA100" i="14"/>
  <c r="CJ308" i="14" l="1"/>
  <c r="EO296" i="14"/>
  <c r="EO320" i="14" s="1"/>
  <c r="EO334" i="14" s="1"/>
  <c r="CD266" i="14"/>
  <c r="GF100" i="14"/>
  <c r="GI100" i="14"/>
  <c r="GJ100" i="14" s="1"/>
  <c r="EP260" i="14"/>
  <c r="EI260" i="14"/>
  <c r="EI262" i="14"/>
  <c r="EI264" i="14" s="1"/>
  <c r="EP262" i="14"/>
  <c r="EP264" i="14" s="1"/>
  <c r="CD296" i="14"/>
  <c r="CJ334" i="14"/>
  <c r="CJ318" i="14"/>
  <c r="CJ332" i="14" s="1"/>
  <c r="CD319" i="14"/>
  <c r="CD333" i="14" s="1"/>
  <c r="GE107" i="14"/>
  <c r="GD107" i="14"/>
  <c r="FY107" i="14"/>
  <c r="FX107" i="14" s="1"/>
  <c r="GA107" i="14" s="1"/>
  <c r="GE146" i="14"/>
  <c r="GD146" i="14"/>
  <c r="FY146" i="14"/>
  <c r="FX146" i="14" s="1"/>
  <c r="GB146" i="14" s="1"/>
  <c r="GE92" i="14"/>
  <c r="GD92" i="14"/>
  <c r="FY92" i="14"/>
  <c r="FX92" i="14" s="1"/>
  <c r="GB92" i="14" s="1"/>
  <c r="EO318" i="14" l="1"/>
  <c r="EO332" i="14" s="1"/>
  <c r="GC92" i="14"/>
  <c r="GG92" i="14" s="1"/>
  <c r="GC107" i="14"/>
  <c r="GG107" i="14" s="1"/>
  <c r="GC146" i="14"/>
  <c r="GG146" i="14" s="1"/>
  <c r="CD308" i="14"/>
  <c r="EP296" i="14"/>
  <c r="EP310" i="14"/>
  <c r="EI310" i="14"/>
  <c r="EI296" i="14"/>
  <c r="EP266" i="14"/>
  <c r="GF92" i="14"/>
  <c r="EI266" i="14"/>
  <c r="CD310" i="14"/>
  <c r="GB107" i="14"/>
  <c r="GA146" i="14"/>
  <c r="GA92" i="14"/>
  <c r="GI92" i="14" s="1"/>
  <c r="GJ92" i="14" s="1"/>
  <c r="GE91" i="14"/>
  <c r="GD91" i="14"/>
  <c r="FY91" i="14"/>
  <c r="FX91" i="14" s="1"/>
  <c r="GB91" i="14" s="1"/>
  <c r="GE35" i="14"/>
  <c r="GD35" i="14"/>
  <c r="FY35" i="14"/>
  <c r="FX35" i="14" s="1"/>
  <c r="GB35" i="14" s="1"/>
  <c r="GC35" i="14" l="1"/>
  <c r="GG35" i="14" s="1"/>
  <c r="GI107" i="14"/>
  <c r="GJ107" i="14" s="1"/>
  <c r="GI146" i="14"/>
  <c r="GJ146" i="14" s="1"/>
  <c r="GF107" i="14"/>
  <c r="GF146" i="14"/>
  <c r="GC91" i="14"/>
  <c r="GG91" i="14" s="1"/>
  <c r="EI320" i="14"/>
  <c r="EI334" i="14" s="1"/>
  <c r="EI294" i="14"/>
  <c r="EI308" i="14"/>
  <c r="CD320" i="14"/>
  <c r="GA91" i="14"/>
  <c r="GA35" i="14"/>
  <c r="GF35" i="14"/>
  <c r="GI35" i="14" l="1"/>
  <c r="GJ35" i="14" s="1"/>
  <c r="GF91" i="14"/>
  <c r="GI91" i="14"/>
  <c r="GJ91" i="14" s="1"/>
  <c r="CD334" i="14"/>
  <c r="EI318" i="14"/>
  <c r="EI332" i="14" s="1"/>
  <c r="CD318" i="14"/>
  <c r="CD332" i="14" l="1"/>
  <c r="GE221" i="14" l="1"/>
  <c r="GD221" i="14"/>
  <c r="FY221" i="14"/>
  <c r="FX221" i="14" s="1"/>
  <c r="GB221" i="14" s="1"/>
  <c r="GC221" i="14" l="1"/>
  <c r="GG221" i="14" s="1"/>
  <c r="GA221" i="14"/>
  <c r="GI221" i="14" l="1"/>
  <c r="GJ221" i="14" s="1"/>
  <c r="GF221" i="14"/>
  <c r="AB261" i="14" l="1"/>
  <c r="GK261" i="14" s="1"/>
  <c r="FR72" i="14" l="1"/>
  <c r="FQ72" i="14"/>
  <c r="FL72" i="14"/>
  <c r="FK72" i="14" s="1"/>
  <c r="FO72" i="14" s="1"/>
  <c r="FP72" i="14" l="1"/>
  <c r="FT72" i="14" s="1"/>
  <c r="FN72" i="14"/>
  <c r="FR248" i="14"/>
  <c r="FQ248" i="14"/>
  <c r="FL248" i="14"/>
  <c r="FK248" i="14" s="1"/>
  <c r="FN248" i="14" s="1"/>
  <c r="FR251" i="14"/>
  <c r="FQ251" i="14"/>
  <c r="FL251" i="14"/>
  <c r="FK251" i="14" s="1"/>
  <c r="FO251" i="14" s="1"/>
  <c r="FV72" i="14" l="1"/>
  <c r="FW72" i="14" s="1"/>
  <c r="FO248" i="14"/>
  <c r="FS72" i="14"/>
  <c r="FP251" i="14"/>
  <c r="FT251" i="14" s="1"/>
  <c r="FP248" i="14"/>
  <c r="FS248" i="14" s="1"/>
  <c r="FN251" i="14"/>
  <c r="FR226" i="14"/>
  <c r="FQ226" i="14"/>
  <c r="FL226" i="14"/>
  <c r="FK226" i="14" s="1"/>
  <c r="FO226" i="14" s="1"/>
  <c r="FR107" i="14"/>
  <c r="FQ107" i="14"/>
  <c r="FL107" i="14"/>
  <c r="FR172" i="14"/>
  <c r="FQ172" i="14"/>
  <c r="FL172" i="14"/>
  <c r="FK172" i="14" s="1"/>
  <c r="FO172" i="14" s="1"/>
  <c r="FS251" i="14" l="1"/>
  <c r="FP172" i="14"/>
  <c r="FT172" i="14" s="1"/>
  <c r="FP107" i="14"/>
  <c r="FT107" i="14" s="1"/>
  <c r="FV251" i="14"/>
  <c r="FW251" i="14" s="1"/>
  <c r="FK107" i="14"/>
  <c r="FO107" i="14" s="1"/>
  <c r="FP226" i="14"/>
  <c r="FT226" i="14" s="1"/>
  <c r="FT248" i="14"/>
  <c r="FV248" i="14"/>
  <c r="FW248" i="14" s="1"/>
  <c r="FN226" i="14"/>
  <c r="FN172" i="14"/>
  <c r="FS172" i="14" l="1"/>
  <c r="FV172" i="14"/>
  <c r="FW172" i="14" s="1"/>
  <c r="FS107" i="14"/>
  <c r="FS226" i="14"/>
  <c r="FN107" i="14"/>
  <c r="FV107" i="14" s="1"/>
  <c r="FW107" i="14" s="1"/>
  <c r="FV226" i="14"/>
  <c r="FW226" i="14" s="1"/>
  <c r="GE209" i="14"/>
  <c r="GD209" i="14"/>
  <c r="FY209" i="14"/>
  <c r="FX209" i="14" s="1"/>
  <c r="GB209" i="14" s="1"/>
  <c r="GE125" i="14"/>
  <c r="GD125" i="14"/>
  <c r="FY125" i="14"/>
  <c r="FX125" i="14" s="1"/>
  <c r="GB125" i="14" s="1"/>
  <c r="GC209" i="14" l="1"/>
  <c r="GG209" i="14" s="1"/>
  <c r="GA209" i="14"/>
  <c r="GA125" i="14"/>
  <c r="GC125" i="14"/>
  <c r="GF125" i="14" s="1"/>
  <c r="GE247" i="14"/>
  <c r="GD247" i="14"/>
  <c r="FY247" i="14"/>
  <c r="FX247" i="14" s="1"/>
  <c r="GB247" i="14" s="1"/>
  <c r="GE177" i="14"/>
  <c r="GD177" i="14"/>
  <c r="FY177" i="14"/>
  <c r="FX177" i="14" s="1"/>
  <c r="GB177" i="14" s="1"/>
  <c r="GE173" i="14"/>
  <c r="GD173" i="14"/>
  <c r="FX173" i="14"/>
  <c r="GA173" i="14" s="1"/>
  <c r="GE102" i="14"/>
  <c r="GD102" i="14"/>
  <c r="FY102" i="14"/>
  <c r="FX102" i="14" s="1"/>
  <c r="GB102" i="14" s="1"/>
  <c r="GE55" i="14"/>
  <c r="GD55" i="14"/>
  <c r="FY55" i="14"/>
  <c r="FX55" i="14" s="1"/>
  <c r="GB55" i="14" s="1"/>
  <c r="GE50" i="14"/>
  <c r="GD50" i="14"/>
  <c r="FY50" i="14"/>
  <c r="FX50" i="14" s="1"/>
  <c r="GB50" i="14" s="1"/>
  <c r="GE204" i="14"/>
  <c r="GD204" i="14"/>
  <c r="FY204" i="14"/>
  <c r="FX204" i="14" s="1"/>
  <c r="GB204" i="14" s="1"/>
  <c r="GE126" i="14"/>
  <c r="GD126" i="14"/>
  <c r="FY126" i="14"/>
  <c r="FX126" i="14" s="1"/>
  <c r="GB126" i="14" s="1"/>
  <c r="FR126" i="14"/>
  <c r="FQ126" i="14"/>
  <c r="FL126" i="14"/>
  <c r="FK126" i="14" s="1"/>
  <c r="FO126" i="14" s="1"/>
  <c r="GE202" i="14"/>
  <c r="GD202" i="14"/>
  <c r="FY202" i="14"/>
  <c r="FX202" i="14" s="1"/>
  <c r="GB202" i="14" s="1"/>
  <c r="GE186" i="14"/>
  <c r="GD186" i="14"/>
  <c r="FY186" i="14"/>
  <c r="FX186" i="14" s="1"/>
  <c r="GB186" i="14" s="1"/>
  <c r="GC102" i="14" l="1"/>
  <c r="GC177" i="14"/>
  <c r="GG177" i="14" s="1"/>
  <c r="GC202" i="14"/>
  <c r="GG202" i="14" s="1"/>
  <c r="GC247" i="14"/>
  <c r="GF247" i="14" s="1"/>
  <c r="GF209" i="14"/>
  <c r="GI209" i="14"/>
  <c r="GJ209" i="14" s="1"/>
  <c r="GC186" i="14"/>
  <c r="GF186" i="14" s="1"/>
  <c r="GC204" i="14"/>
  <c r="GG204" i="14" s="1"/>
  <c r="FP126" i="14"/>
  <c r="FT126" i="14" s="1"/>
  <c r="GF177" i="14"/>
  <c r="GC55" i="14"/>
  <c r="GG55" i="14" s="1"/>
  <c r="GI125" i="14"/>
  <c r="GJ125" i="14" s="1"/>
  <c r="GC50" i="14"/>
  <c r="GG50" i="14" s="1"/>
  <c r="GC126" i="14"/>
  <c r="GG126" i="14" s="1"/>
  <c r="GB173" i="14"/>
  <c r="GG125" i="14"/>
  <c r="GA247" i="14"/>
  <c r="GA177" i="14"/>
  <c r="GI177" i="14" s="1"/>
  <c r="GJ177" i="14" s="1"/>
  <c r="GC173" i="14"/>
  <c r="GF173" i="14" s="1"/>
  <c r="GG102" i="14"/>
  <c r="GA102" i="14"/>
  <c r="GI102" i="14" s="1"/>
  <c r="GJ102" i="14" s="1"/>
  <c r="GF102" i="14"/>
  <c r="GA55" i="14"/>
  <c r="GA50" i="14"/>
  <c r="GA204" i="14"/>
  <c r="GA126" i="14"/>
  <c r="FN126" i="14"/>
  <c r="GA202" i="14"/>
  <c r="GA186" i="14"/>
  <c r="GE75" i="14"/>
  <c r="GD75" i="14"/>
  <c r="FY75" i="14"/>
  <c r="GE200" i="14"/>
  <c r="GD200" i="14"/>
  <c r="FY200" i="14"/>
  <c r="FX200" i="14" s="1"/>
  <c r="GB200" i="14" s="1"/>
  <c r="GE203" i="14"/>
  <c r="GD203" i="14"/>
  <c r="FY203" i="14"/>
  <c r="FX203" i="14" s="1"/>
  <c r="GB203" i="14" s="1"/>
  <c r="GE103" i="14"/>
  <c r="GD103" i="14"/>
  <c r="FY103" i="14"/>
  <c r="FX103" i="14" s="1"/>
  <c r="GB103" i="14" s="1"/>
  <c r="GE106" i="14"/>
  <c r="GD106" i="14"/>
  <c r="FY106" i="14"/>
  <c r="FX106" i="14" s="1"/>
  <c r="GB106" i="14" s="1"/>
  <c r="GG186" i="14" l="1"/>
  <c r="GI247" i="14"/>
  <c r="GJ247" i="14" s="1"/>
  <c r="GI202" i="14"/>
  <c r="GJ202" i="14" s="1"/>
  <c r="GF202" i="14"/>
  <c r="GC200" i="14"/>
  <c r="GG200" i="14" s="1"/>
  <c r="GG247" i="14"/>
  <c r="GF204" i="14"/>
  <c r="GI186" i="14"/>
  <c r="GJ186" i="14" s="1"/>
  <c r="GF55" i="14"/>
  <c r="GI204" i="14"/>
  <c r="GJ204" i="14" s="1"/>
  <c r="FS126" i="14"/>
  <c r="GC203" i="14"/>
  <c r="GG203" i="14" s="1"/>
  <c r="GI55" i="14"/>
  <c r="GJ55" i="14" s="1"/>
  <c r="GC75" i="14"/>
  <c r="GG75" i="14" s="1"/>
  <c r="FV126" i="14"/>
  <c r="FW126" i="14" s="1"/>
  <c r="GC103" i="14"/>
  <c r="GG103" i="14" s="1"/>
  <c r="GI126" i="14"/>
  <c r="GJ126" i="14" s="1"/>
  <c r="GF126" i="14"/>
  <c r="GI173" i="14"/>
  <c r="GJ173" i="14" s="1"/>
  <c r="GC106" i="14"/>
  <c r="GI50" i="14"/>
  <c r="GJ50" i="14" s="1"/>
  <c r="GF50" i="14"/>
  <c r="FX75" i="14"/>
  <c r="GB75" i="14" s="1"/>
  <c r="GG173" i="14"/>
  <c r="GA200" i="14"/>
  <c r="GI200" i="14" s="1"/>
  <c r="GJ200" i="14" s="1"/>
  <c r="GA203" i="14"/>
  <c r="GA103" i="14"/>
  <c r="GA106" i="14"/>
  <c r="GE95" i="14"/>
  <c r="GD95" i="14"/>
  <c r="FY95" i="14"/>
  <c r="FX95" i="14" s="1"/>
  <c r="GB95" i="14" s="1"/>
  <c r="GF75" i="14" l="1"/>
  <c r="GF200" i="14"/>
  <c r="GI203" i="14"/>
  <c r="GJ203" i="14" s="1"/>
  <c r="GF203" i="14"/>
  <c r="GI103" i="14"/>
  <c r="GJ103" i="14" s="1"/>
  <c r="GF103" i="14"/>
  <c r="GG106" i="14"/>
  <c r="GI106" i="14"/>
  <c r="GJ106" i="14" s="1"/>
  <c r="GF106" i="14"/>
  <c r="GA95" i="14"/>
  <c r="GA75" i="14"/>
  <c r="GI75" i="14" s="1"/>
  <c r="GJ75" i="14" s="1"/>
  <c r="GC95" i="14"/>
  <c r="GF95" i="14" s="1"/>
  <c r="FR178" i="14"/>
  <c r="FQ178" i="14"/>
  <c r="FL178" i="14"/>
  <c r="FK178" i="14" s="1"/>
  <c r="FO178" i="14" s="1"/>
  <c r="AB265" i="14"/>
  <c r="FP178" i="14" l="1"/>
  <c r="FT178" i="14" s="1"/>
  <c r="GI95" i="14"/>
  <c r="GJ95" i="14" s="1"/>
  <c r="GG95" i="14"/>
  <c r="FN178" i="14"/>
  <c r="FV178" i="14" l="1"/>
  <c r="FW178" i="14" s="1"/>
  <c r="FS178" i="14"/>
  <c r="FD71" i="14"/>
  <c r="FC71" i="14"/>
  <c r="EX71" i="14"/>
  <c r="EW71" i="14" s="1"/>
  <c r="FC164" i="14"/>
  <c r="EX164" i="14"/>
  <c r="EW164" i="14" s="1"/>
  <c r="FA164" i="14" s="1"/>
  <c r="FR193" i="14"/>
  <c r="FQ193" i="14"/>
  <c r="FL193" i="14"/>
  <c r="FK193" i="14" s="1"/>
  <c r="FO193" i="14" s="1"/>
  <c r="FB164" i="14" l="1"/>
  <c r="FF164" i="14" s="1"/>
  <c r="FP193" i="14"/>
  <c r="FS193" i="14" s="1"/>
  <c r="EZ71" i="14"/>
  <c r="FA71" i="14"/>
  <c r="FB71" i="14"/>
  <c r="FE71" i="14" s="1"/>
  <c r="EZ164" i="14"/>
  <c r="FN193" i="14"/>
  <c r="GE123" i="14"/>
  <c r="GD123" i="14"/>
  <c r="FY123" i="14"/>
  <c r="FX123" i="14" s="1"/>
  <c r="GB123" i="14" s="1"/>
  <c r="FT193" i="14" l="1"/>
  <c r="FH164" i="14"/>
  <c r="FI164" i="14" s="1"/>
  <c r="FE164" i="14"/>
  <c r="GC123" i="14"/>
  <c r="GG123" i="14" s="1"/>
  <c r="FV193" i="14"/>
  <c r="FW193" i="14" s="1"/>
  <c r="FH71" i="14"/>
  <c r="FI71" i="14" s="1"/>
  <c r="FF71" i="14"/>
  <c r="GA123" i="14"/>
  <c r="GE88" i="14"/>
  <c r="GD88" i="14"/>
  <c r="FY88" i="14"/>
  <c r="FX88" i="14" s="1"/>
  <c r="GB88" i="14" s="1"/>
  <c r="GF123" i="14" l="1"/>
  <c r="GI123" i="14"/>
  <c r="GJ123" i="14" s="1"/>
  <c r="GC88" i="14"/>
  <c r="GG88" i="14" s="1"/>
  <c r="GA88" i="14"/>
  <c r="BX268" i="14"/>
  <c r="CY268" i="14" s="1"/>
  <c r="BX269" i="14"/>
  <c r="CY269" i="14" s="1"/>
  <c r="AB9" i="14"/>
  <c r="AI9" i="14"/>
  <c r="AN9" i="14"/>
  <c r="AS9" i="14"/>
  <c r="AY9" i="14"/>
  <c r="BO9" i="14"/>
  <c r="BP9" i="14"/>
  <c r="BR9" i="14"/>
  <c r="BW9" i="14"/>
  <c r="CW9" i="14"/>
  <c r="DB9" i="14"/>
  <c r="DF9" i="14"/>
  <c r="DK9" i="14"/>
  <c r="EA9" i="14" s="1"/>
  <c r="EC9" i="14" s="1"/>
  <c r="DQ9" i="14"/>
  <c r="DR9" i="14"/>
  <c r="DS9" i="14"/>
  <c r="DT9" i="14"/>
  <c r="EX9" i="14"/>
  <c r="EW9" i="14" s="1"/>
  <c r="FA9" i="14" s="1"/>
  <c r="FC9" i="14"/>
  <c r="FD9" i="14"/>
  <c r="FL9" i="14"/>
  <c r="FQ9" i="14"/>
  <c r="FR9" i="14"/>
  <c r="FY9" i="14"/>
  <c r="GD9" i="14"/>
  <c r="EY10" i="14"/>
  <c r="FC10" i="14"/>
  <c r="FD10" i="14"/>
  <c r="FH10" i="14"/>
  <c r="FI10" i="14" s="1"/>
  <c r="FM10" i="14"/>
  <c r="FZ10" i="14"/>
  <c r="GK9" i="14" l="1"/>
  <c r="P9" i="14"/>
  <c r="FB10" i="14"/>
  <c r="FB9" i="14"/>
  <c r="FE9" i="14" s="1"/>
  <c r="GF88" i="14"/>
  <c r="GI88" i="14"/>
  <c r="GJ88" i="14" s="1"/>
  <c r="DP9" i="14"/>
  <c r="BM9" i="14"/>
  <c r="DD9" i="14" s="1"/>
  <c r="DE9" i="14" s="1"/>
  <c r="EF9" i="14" s="1"/>
  <c r="DZ9" i="14"/>
  <c r="FP9" i="14"/>
  <c r="FT9" i="14" s="1"/>
  <c r="CR9" i="14"/>
  <c r="GE9" i="14"/>
  <c r="GC9" i="14" s="1"/>
  <c r="FK9" i="14"/>
  <c r="FO9" i="14" s="1"/>
  <c r="EZ9" i="14"/>
  <c r="FX9" i="14"/>
  <c r="GB9" i="14" s="1"/>
  <c r="FH9" i="14" l="1"/>
  <c r="FI9" i="14" s="1"/>
  <c r="FF9" i="14"/>
  <c r="FN9" i="14"/>
  <c r="FV9" i="14" s="1"/>
  <c r="FW9" i="14" s="1"/>
  <c r="FS9" i="14"/>
  <c r="GG9" i="14"/>
  <c r="GF9" i="14"/>
  <c r="GA9" i="14"/>
  <c r="GI9" i="14" s="1"/>
  <c r="GJ9" i="14" s="1"/>
  <c r="FJ9" i="14" l="1"/>
  <c r="FY19" i="14"/>
  <c r="FL51" i="14" l="1"/>
  <c r="FR84" i="14" l="1"/>
  <c r="GE86" i="14" l="1"/>
  <c r="GD86" i="14"/>
  <c r="U8" i="14"/>
  <c r="AH8" i="14"/>
  <c r="AJ8" i="14"/>
  <c r="AK8" i="14"/>
  <c r="AL8" i="14"/>
  <c r="AM8" i="14"/>
  <c r="AO8" i="14"/>
  <c r="AP8" i="14"/>
  <c r="AQ8" i="14"/>
  <c r="AR8" i="14"/>
  <c r="AT8" i="14"/>
  <c r="AU8" i="14"/>
  <c r="AV8" i="14"/>
  <c r="AW8" i="14"/>
  <c r="AZ8" i="14"/>
  <c r="BG8" i="14" s="1"/>
  <c r="BA8" i="14"/>
  <c r="BD8" i="14"/>
  <c r="BK8" i="14" s="1"/>
  <c r="BF8" i="14" s="1"/>
  <c r="BE8" i="14"/>
  <c r="BN8" i="14"/>
  <c r="BQ8" i="14"/>
  <c r="BS8" i="14"/>
  <c r="BT8" i="14"/>
  <c r="BU8" i="14"/>
  <c r="BV8" i="14"/>
  <c r="BX8" i="14"/>
  <c r="CY8" i="14" s="1"/>
  <c r="CB8" i="14"/>
  <c r="DA8" i="14" s="1"/>
  <c r="CC8" i="14"/>
  <c r="CQ8" i="14"/>
  <c r="CO8" i="14" s="1"/>
  <c r="DG8" i="14"/>
  <c r="DH8" i="14"/>
  <c r="DI8" i="14"/>
  <c r="DJ8" i="14"/>
  <c r="DL8" i="14"/>
  <c r="DM8" i="14"/>
  <c r="DN8" i="14"/>
  <c r="DO8" i="14"/>
  <c r="DU8" i="14"/>
  <c r="DV8" i="14"/>
  <c r="DW8" i="14"/>
  <c r="AB8" i="14"/>
  <c r="AI8" i="14"/>
  <c r="AN8" i="14"/>
  <c r="AS8" i="14"/>
  <c r="AY8" i="14"/>
  <c r="BP8" i="14"/>
  <c r="BR8" i="14"/>
  <c r="CW8" i="14"/>
  <c r="DB8" i="14"/>
  <c r="DF8" i="14"/>
  <c r="DK8" i="14"/>
  <c r="DQ8" i="14"/>
  <c r="DS8" i="14"/>
  <c r="DT8" i="14"/>
  <c r="U10" i="14"/>
  <c r="AD10" i="14"/>
  <c r="AH10" i="14"/>
  <c r="AJ10" i="14"/>
  <c r="AK10" i="14"/>
  <c r="AL10" i="14"/>
  <c r="AM10" i="14"/>
  <c r="AO10" i="14"/>
  <c r="AP10" i="14"/>
  <c r="AQ10" i="14"/>
  <c r="AR10" i="14"/>
  <c r="AT10" i="14"/>
  <c r="AU10" i="14"/>
  <c r="AV10" i="14"/>
  <c r="AW10" i="14"/>
  <c r="AZ10" i="14"/>
  <c r="BE10" i="14"/>
  <c r="BN10" i="14"/>
  <c r="BP10" i="14"/>
  <c r="BQ10" i="14"/>
  <c r="BS10" i="14"/>
  <c r="BT10" i="14"/>
  <c r="BU10" i="14"/>
  <c r="BV10" i="14"/>
  <c r="BX10" i="14"/>
  <c r="CY10" i="14" s="1"/>
  <c r="CB10" i="14"/>
  <c r="DA10" i="14" s="1"/>
  <c r="CC10" i="14"/>
  <c r="CQ10" i="14"/>
  <c r="DG10" i="14"/>
  <c r="DH10" i="14"/>
  <c r="DI10" i="14"/>
  <c r="DJ10" i="14"/>
  <c r="DL10" i="14"/>
  <c r="DM10" i="14"/>
  <c r="DN10" i="14"/>
  <c r="DO10" i="14"/>
  <c r="DU10" i="14"/>
  <c r="DV10" i="14"/>
  <c r="AB11" i="14"/>
  <c r="AY11" i="14"/>
  <c r="BM11" i="14"/>
  <c r="BR11" i="14"/>
  <c r="BW11" i="14"/>
  <c r="CW11" i="14"/>
  <c r="DB11" i="14"/>
  <c r="DD11" i="14"/>
  <c r="DF11" i="14"/>
  <c r="DK11" i="14"/>
  <c r="EA11" i="14" s="1"/>
  <c r="DQ11" i="14"/>
  <c r="DR11" i="14"/>
  <c r="DS11" i="14"/>
  <c r="DT11" i="14"/>
  <c r="AB12" i="14"/>
  <c r="AY12" i="14"/>
  <c r="BM12" i="14"/>
  <c r="BR12" i="14"/>
  <c r="BW12" i="14"/>
  <c r="CW12" i="14"/>
  <c r="DB12" i="14"/>
  <c r="DF12" i="14"/>
  <c r="DK12" i="14"/>
  <c r="DQ12" i="14"/>
  <c r="DR12" i="14"/>
  <c r="DS12" i="14"/>
  <c r="DT12" i="14"/>
  <c r="AB13" i="14"/>
  <c r="BD10" i="14"/>
  <c r="BM13" i="14"/>
  <c r="BR13" i="14"/>
  <c r="BW13" i="14"/>
  <c r="CW13" i="14"/>
  <c r="DB13" i="14"/>
  <c r="DF13" i="14"/>
  <c r="DK13" i="14"/>
  <c r="DQ13" i="14"/>
  <c r="DR13" i="14"/>
  <c r="DS13" i="14"/>
  <c r="DT13" i="14"/>
  <c r="DW13" i="14"/>
  <c r="DW10" i="14" s="1"/>
  <c r="AB14" i="14"/>
  <c r="AY14" i="14"/>
  <c r="BM14" i="14"/>
  <c r="BR14" i="14"/>
  <c r="BW14" i="14"/>
  <c r="CW14" i="14"/>
  <c r="DB14" i="14"/>
  <c r="DF14" i="14"/>
  <c r="DK14" i="14"/>
  <c r="DQ14" i="14"/>
  <c r="DR14" i="14"/>
  <c r="DS14" i="14"/>
  <c r="DT14" i="14"/>
  <c r="AB15" i="14"/>
  <c r="AY15" i="14"/>
  <c r="BM15" i="14"/>
  <c r="BR15" i="14"/>
  <c r="BW15" i="14"/>
  <c r="CW15" i="14"/>
  <c r="DB15" i="14"/>
  <c r="DF15" i="14"/>
  <c r="DK15" i="14"/>
  <c r="DQ15" i="14"/>
  <c r="DR15" i="14"/>
  <c r="DS15" i="14"/>
  <c r="DT15" i="14"/>
  <c r="AB16" i="14"/>
  <c r="AY16" i="14"/>
  <c r="BO16" i="14"/>
  <c r="BR16" i="14"/>
  <c r="BW16" i="14"/>
  <c r="GK16" i="14" s="1"/>
  <c r="CW16" i="14"/>
  <c r="DB16" i="14"/>
  <c r="DF16" i="14"/>
  <c r="DK16" i="14"/>
  <c r="DQ16" i="14"/>
  <c r="DR16" i="14"/>
  <c r="DS16" i="14"/>
  <c r="DT16" i="14"/>
  <c r="AB17" i="14"/>
  <c r="AY17" i="14"/>
  <c r="BM17" i="14"/>
  <c r="BR17" i="14"/>
  <c r="BW17" i="14"/>
  <c r="CW17" i="14"/>
  <c r="DB17" i="14"/>
  <c r="DF17" i="14"/>
  <c r="DK17" i="14"/>
  <c r="DQ17" i="14"/>
  <c r="DR17" i="14"/>
  <c r="DS17" i="14"/>
  <c r="DT17" i="14"/>
  <c r="AB18" i="14"/>
  <c r="AY18" i="14"/>
  <c r="BO18" i="14"/>
  <c r="BM18" i="14" s="1"/>
  <c r="BR18" i="14"/>
  <c r="BW18" i="14"/>
  <c r="CW18" i="14"/>
  <c r="DB18" i="14"/>
  <c r="DF18" i="14"/>
  <c r="DK18" i="14"/>
  <c r="DQ18" i="14"/>
  <c r="DR18" i="14"/>
  <c r="DS18" i="14"/>
  <c r="DT18" i="14"/>
  <c r="AB19" i="14"/>
  <c r="AY19" i="14"/>
  <c r="BM19" i="14"/>
  <c r="BR19" i="14"/>
  <c r="BW19" i="14"/>
  <c r="CW19" i="14"/>
  <c r="DB19" i="14"/>
  <c r="DF19" i="14"/>
  <c r="DK19" i="14"/>
  <c r="DQ19" i="14"/>
  <c r="DR19" i="14"/>
  <c r="DS19" i="14"/>
  <c r="DT19" i="14"/>
  <c r="AB20" i="14"/>
  <c r="AY20" i="14"/>
  <c r="BO20" i="14"/>
  <c r="BM20" i="14" s="1"/>
  <c r="BR20" i="14"/>
  <c r="BW20" i="14"/>
  <c r="CW20" i="14"/>
  <c r="DB20" i="14"/>
  <c r="DF20" i="14"/>
  <c r="DK20" i="14"/>
  <c r="DQ20" i="14"/>
  <c r="DR20" i="14"/>
  <c r="DS20" i="14"/>
  <c r="DT20" i="14"/>
  <c r="AB21" i="14"/>
  <c r="AY21" i="14"/>
  <c r="BO21" i="14"/>
  <c r="BM21" i="14" s="1"/>
  <c r="BR21" i="14"/>
  <c r="BW21" i="14"/>
  <c r="CW21" i="14"/>
  <c r="DB21" i="14"/>
  <c r="DF21" i="14"/>
  <c r="DK21" i="14"/>
  <c r="DQ21" i="14"/>
  <c r="DR21" i="14"/>
  <c r="DS21" i="14"/>
  <c r="DT21" i="14"/>
  <c r="U22" i="14"/>
  <c r="AD22" i="14"/>
  <c r="AH22" i="14"/>
  <c r="AJ22" i="14"/>
  <c r="AK22" i="14"/>
  <c r="AL22" i="14"/>
  <c r="AM22" i="14"/>
  <c r="AO22" i="14"/>
  <c r="AP22" i="14"/>
  <c r="AQ22" i="14"/>
  <c r="AR22" i="14"/>
  <c r="AT22" i="14"/>
  <c r="AU22" i="14"/>
  <c r="AV22" i="14"/>
  <c r="AW22" i="14"/>
  <c r="AZ22" i="14"/>
  <c r="BG22" i="14" s="1"/>
  <c r="BE22" i="14"/>
  <c r="BN22" i="14"/>
  <c r="BP22" i="14"/>
  <c r="BQ22" i="14"/>
  <c r="BS22" i="14"/>
  <c r="BT22" i="14"/>
  <c r="BU22" i="14"/>
  <c r="BV22" i="14"/>
  <c r="BX22" i="14"/>
  <c r="CY22" i="14" s="1"/>
  <c r="CB22" i="14"/>
  <c r="DA22" i="14" s="1"/>
  <c r="CC22" i="14"/>
  <c r="CQ22" i="14"/>
  <c r="DG22" i="14"/>
  <c r="DH22" i="14"/>
  <c r="DI22" i="14"/>
  <c r="DJ22" i="14"/>
  <c r="DL22" i="14"/>
  <c r="DM22" i="14"/>
  <c r="DN22" i="14"/>
  <c r="DO22" i="14"/>
  <c r="DU22" i="14"/>
  <c r="DV22" i="14"/>
  <c r="DW22" i="14"/>
  <c r="AB23" i="14"/>
  <c r="AY23" i="14"/>
  <c r="BD22" i="14"/>
  <c r="BK22" i="14" s="1"/>
  <c r="BO23" i="14"/>
  <c r="BM23" i="14" s="1"/>
  <c r="BR23" i="14"/>
  <c r="BW23" i="14"/>
  <c r="CW23" i="14"/>
  <c r="DB23" i="14"/>
  <c r="DF23" i="14"/>
  <c r="DK23" i="14"/>
  <c r="DQ23" i="14"/>
  <c r="DR23" i="14"/>
  <c r="DS23" i="14"/>
  <c r="DT23" i="14"/>
  <c r="AB24" i="14"/>
  <c r="AY24" i="14"/>
  <c r="BM24" i="14"/>
  <c r="BR24" i="14"/>
  <c r="BW24" i="14"/>
  <c r="CW24" i="14"/>
  <c r="DB24" i="14"/>
  <c r="DF24" i="14"/>
  <c r="DK24" i="14"/>
  <c r="DQ24" i="14"/>
  <c r="DR24" i="14"/>
  <c r="DS24" i="14"/>
  <c r="DT24" i="14"/>
  <c r="AB25" i="14"/>
  <c r="AY25" i="14"/>
  <c r="BO25" i="14"/>
  <c r="BR25" i="14"/>
  <c r="BW25" i="14"/>
  <c r="CW25" i="14"/>
  <c r="DB25" i="14"/>
  <c r="DF25" i="14"/>
  <c r="DK25" i="14"/>
  <c r="DQ25" i="14"/>
  <c r="DR25" i="14"/>
  <c r="DS25" i="14"/>
  <c r="DT25" i="14"/>
  <c r="AB26" i="14"/>
  <c r="AY26" i="14"/>
  <c r="BM26" i="14"/>
  <c r="BR26" i="14"/>
  <c r="BW26" i="14"/>
  <c r="CW26" i="14"/>
  <c r="DB26" i="14"/>
  <c r="DF26" i="14"/>
  <c r="DK26" i="14"/>
  <c r="DQ26" i="14"/>
  <c r="DR26" i="14"/>
  <c r="DS26" i="14"/>
  <c r="DT26" i="14"/>
  <c r="AB27" i="14"/>
  <c r="AY27" i="14"/>
  <c r="BO27" i="14"/>
  <c r="BM27" i="14" s="1"/>
  <c r="BR27" i="14"/>
  <c r="BW27" i="14"/>
  <c r="CW27" i="14"/>
  <c r="DB27" i="14"/>
  <c r="DF27" i="14"/>
  <c r="DK27" i="14"/>
  <c r="DQ27" i="14"/>
  <c r="DR27" i="14"/>
  <c r="DS27" i="14"/>
  <c r="DT27" i="14"/>
  <c r="AB28" i="14"/>
  <c r="AY28" i="14"/>
  <c r="BM28" i="14"/>
  <c r="DD28" i="14" s="1"/>
  <c r="BR28" i="14"/>
  <c r="BW28" i="14"/>
  <c r="CW28" i="14"/>
  <c r="DB28" i="14"/>
  <c r="DF28" i="14"/>
  <c r="DK28" i="14"/>
  <c r="DQ28" i="14"/>
  <c r="DR28" i="14"/>
  <c r="DS28" i="14"/>
  <c r="DT28" i="14"/>
  <c r="AB29" i="14"/>
  <c r="AY29" i="14"/>
  <c r="BO29" i="14"/>
  <c r="BM29" i="14" s="1"/>
  <c r="BR29" i="14"/>
  <c r="BW29" i="14"/>
  <c r="CW29" i="14"/>
  <c r="DB29" i="14"/>
  <c r="DF29" i="14"/>
  <c r="DK29" i="14"/>
  <c r="DQ29" i="14"/>
  <c r="DR29" i="14"/>
  <c r="DS29" i="14"/>
  <c r="DT29" i="14"/>
  <c r="AB30" i="14"/>
  <c r="AY30" i="14"/>
  <c r="BM30" i="14"/>
  <c r="BR30" i="14"/>
  <c r="BW30" i="14"/>
  <c r="CW30" i="14"/>
  <c r="DB30" i="14"/>
  <c r="DF30" i="14"/>
  <c r="DK30" i="14"/>
  <c r="DQ30" i="14"/>
  <c r="DR30" i="14"/>
  <c r="DS30" i="14"/>
  <c r="DT30" i="14"/>
  <c r="AB31" i="14"/>
  <c r="AY31" i="14"/>
  <c r="BO31" i="14"/>
  <c r="BM31" i="14" s="1"/>
  <c r="BR31" i="14"/>
  <c r="BW31" i="14"/>
  <c r="CW31" i="14"/>
  <c r="DB31" i="14"/>
  <c r="DF31" i="14"/>
  <c r="DK31" i="14"/>
  <c r="DQ31" i="14"/>
  <c r="DR31" i="14"/>
  <c r="DS31" i="14"/>
  <c r="DT31" i="14"/>
  <c r="AB32" i="14"/>
  <c r="AY32" i="14"/>
  <c r="BM32" i="14"/>
  <c r="BR32" i="14"/>
  <c r="BW32" i="14"/>
  <c r="CW32" i="14"/>
  <c r="DB32" i="14"/>
  <c r="DF32" i="14"/>
  <c r="DK32" i="14"/>
  <c r="DQ32" i="14"/>
  <c r="DR32" i="14"/>
  <c r="DS32" i="14"/>
  <c r="DT32" i="14"/>
  <c r="AB33" i="14"/>
  <c r="BO33" i="14"/>
  <c r="BM33" i="14" s="1"/>
  <c r="BR33" i="14"/>
  <c r="BW33" i="14"/>
  <c r="CW33" i="14"/>
  <c r="DB33" i="14"/>
  <c r="DF33" i="14"/>
  <c r="DK33" i="14"/>
  <c r="DQ33" i="14"/>
  <c r="DR33" i="14"/>
  <c r="DS33" i="14"/>
  <c r="DT33" i="14"/>
  <c r="AB34" i="14"/>
  <c r="AY34" i="14"/>
  <c r="BO34" i="14"/>
  <c r="BM34" i="14" s="1"/>
  <c r="BR34" i="14"/>
  <c r="BW34" i="14"/>
  <c r="CW34" i="14"/>
  <c r="DB34" i="14"/>
  <c r="DF34" i="14"/>
  <c r="DK34" i="14"/>
  <c r="DQ34" i="14"/>
  <c r="DR34" i="14"/>
  <c r="DS34" i="14"/>
  <c r="DT34" i="14"/>
  <c r="AB35" i="14"/>
  <c r="AY35" i="14"/>
  <c r="BO35" i="14"/>
  <c r="BM35" i="14" s="1"/>
  <c r="BR35" i="14"/>
  <c r="BW35" i="14"/>
  <c r="CW35" i="14"/>
  <c r="DB35" i="14"/>
  <c r="DF35" i="14"/>
  <c r="DK35" i="14"/>
  <c r="EA35" i="14" s="1"/>
  <c r="DQ35" i="14"/>
  <c r="DR35" i="14"/>
  <c r="DS35" i="14"/>
  <c r="DT35" i="14"/>
  <c r="AB36" i="14"/>
  <c r="BO36" i="14"/>
  <c r="BM36" i="14" s="1"/>
  <c r="BR36" i="14"/>
  <c r="BW36" i="14"/>
  <c r="CW36" i="14"/>
  <c r="DB36" i="14"/>
  <c r="DF36" i="14"/>
  <c r="DK36" i="14"/>
  <c r="DQ36" i="14"/>
  <c r="DR36" i="14"/>
  <c r="DS36" i="14"/>
  <c r="DT36" i="14"/>
  <c r="AB37" i="14"/>
  <c r="AY37" i="14"/>
  <c r="BO37" i="14"/>
  <c r="BM37" i="14" s="1"/>
  <c r="BR37" i="14"/>
  <c r="BW37" i="14"/>
  <c r="CW37" i="14"/>
  <c r="DB37" i="14"/>
  <c r="DF37" i="14"/>
  <c r="DK37" i="14"/>
  <c r="DQ37" i="14"/>
  <c r="DR37" i="14"/>
  <c r="DS37" i="14"/>
  <c r="DT37" i="14"/>
  <c r="AB38" i="14"/>
  <c r="AY38" i="14"/>
  <c r="BM38" i="14"/>
  <c r="BR38" i="14"/>
  <c r="BW38" i="14"/>
  <c r="GK38" i="14" s="1"/>
  <c r="CW38" i="14"/>
  <c r="DB38" i="14"/>
  <c r="DF38" i="14"/>
  <c r="DK38" i="14"/>
  <c r="DQ38" i="14"/>
  <c r="DR38" i="14"/>
  <c r="DS38" i="14"/>
  <c r="DT38" i="14"/>
  <c r="AB39" i="14"/>
  <c r="AY39" i="14"/>
  <c r="BM39" i="14"/>
  <c r="BR39" i="14"/>
  <c r="BW39" i="14"/>
  <c r="CW39" i="14"/>
  <c r="DB39" i="14"/>
  <c r="DF39" i="14"/>
  <c r="DK39" i="14"/>
  <c r="DQ39" i="14"/>
  <c r="DR39" i="14"/>
  <c r="DS39" i="14"/>
  <c r="DT39" i="14"/>
  <c r="AB40" i="14"/>
  <c r="AY40" i="14"/>
  <c r="BM40" i="14"/>
  <c r="BR40" i="14"/>
  <c r="BW40" i="14"/>
  <c r="CW40" i="14"/>
  <c r="DB40" i="14"/>
  <c r="DF40" i="14"/>
  <c r="DK40" i="14"/>
  <c r="DQ40" i="14"/>
  <c r="DR40" i="14"/>
  <c r="DS40" i="14"/>
  <c r="DT40" i="14"/>
  <c r="U41" i="14"/>
  <c r="AD41" i="14"/>
  <c r="AH41" i="14"/>
  <c r="AJ41" i="14"/>
  <c r="AK41" i="14"/>
  <c r="AL41" i="14"/>
  <c r="AM41" i="14"/>
  <c r="AO41" i="14"/>
  <c r="AP41" i="14"/>
  <c r="AQ41" i="14"/>
  <c r="AR41" i="14"/>
  <c r="AT41" i="14"/>
  <c r="AU41" i="14"/>
  <c r="AV41" i="14"/>
  <c r="AW41" i="14"/>
  <c r="BD41" i="14"/>
  <c r="BK41" i="14" s="1"/>
  <c r="BF41" i="14" s="1"/>
  <c r="BE41" i="14"/>
  <c r="BQ41" i="14"/>
  <c r="BS41" i="14"/>
  <c r="BT41" i="14"/>
  <c r="BU41" i="14"/>
  <c r="BV41" i="14"/>
  <c r="BX41" i="14"/>
  <c r="CY41" i="14" s="1"/>
  <c r="CC41" i="14"/>
  <c r="CQ41" i="14"/>
  <c r="DG41" i="14"/>
  <c r="DH41" i="14"/>
  <c r="DI41" i="14"/>
  <c r="DJ41" i="14"/>
  <c r="DL41" i="14"/>
  <c r="DM41" i="14"/>
  <c r="DN41" i="14"/>
  <c r="DO41" i="14"/>
  <c r="DU41" i="14"/>
  <c r="DV41" i="14"/>
  <c r="AB42" i="14"/>
  <c r="AY42" i="14"/>
  <c r="BM42" i="14"/>
  <c r="BR42" i="14"/>
  <c r="BW42" i="14"/>
  <c r="CW42" i="14"/>
  <c r="DB42" i="14"/>
  <c r="DD42" i="14"/>
  <c r="DF42" i="14"/>
  <c r="DK42" i="14"/>
  <c r="DQ42" i="14"/>
  <c r="DR42" i="14"/>
  <c r="DS42" i="14"/>
  <c r="DT42" i="14"/>
  <c r="AB43" i="14"/>
  <c r="AY43" i="14"/>
  <c r="BM43" i="14"/>
  <c r="BR43" i="14"/>
  <c r="BW43" i="14"/>
  <c r="CW43" i="14"/>
  <c r="DB43" i="14"/>
  <c r="DF43" i="14"/>
  <c r="DK43" i="14"/>
  <c r="DQ43" i="14"/>
  <c r="DR43" i="14"/>
  <c r="DS43" i="14"/>
  <c r="DT43" i="14"/>
  <c r="AB44" i="14"/>
  <c r="BO44" i="14"/>
  <c r="BM44" i="14" s="1"/>
  <c r="BR44" i="14"/>
  <c r="CW44" i="14"/>
  <c r="DB44" i="14"/>
  <c r="DF44" i="14"/>
  <c r="DK44" i="14"/>
  <c r="DQ44" i="14"/>
  <c r="DR44" i="14"/>
  <c r="DS44" i="14"/>
  <c r="DT44" i="14"/>
  <c r="AB45" i="14"/>
  <c r="AY45" i="14"/>
  <c r="BM45" i="14"/>
  <c r="BR45" i="14"/>
  <c r="CB41" i="14"/>
  <c r="DA41" i="14" s="1"/>
  <c r="CW45" i="14"/>
  <c r="DB45" i="14"/>
  <c r="DF45" i="14"/>
  <c r="DK45" i="14"/>
  <c r="DQ45" i="14"/>
  <c r="DR45" i="14"/>
  <c r="DS45" i="14"/>
  <c r="DT45" i="14"/>
  <c r="AB46" i="14"/>
  <c r="AY46" i="14"/>
  <c r="BO46" i="14"/>
  <c r="BM46" i="14" s="1"/>
  <c r="BR46" i="14"/>
  <c r="BW46" i="14"/>
  <c r="GK46" i="14" s="1"/>
  <c r="CW46" i="14"/>
  <c r="DB46" i="14"/>
  <c r="DF46" i="14"/>
  <c r="DK46" i="14"/>
  <c r="DQ46" i="14"/>
  <c r="DR46" i="14"/>
  <c r="DS46" i="14"/>
  <c r="DT46" i="14"/>
  <c r="AB47" i="14"/>
  <c r="AY47" i="14"/>
  <c r="BO47" i="14"/>
  <c r="BM47" i="14" s="1"/>
  <c r="BR47" i="14"/>
  <c r="BW47" i="14"/>
  <c r="CW47" i="14"/>
  <c r="DB47" i="14"/>
  <c r="DF47" i="14"/>
  <c r="DK47" i="14"/>
  <c r="DQ47" i="14"/>
  <c r="DR47" i="14"/>
  <c r="DS47" i="14"/>
  <c r="DT47" i="14"/>
  <c r="AB48" i="14"/>
  <c r="AY48" i="14"/>
  <c r="BO48" i="14"/>
  <c r="BM48" i="14" s="1"/>
  <c r="BR48" i="14"/>
  <c r="BW48" i="14"/>
  <c r="GK48" i="14" s="1"/>
  <c r="CW48" i="14"/>
  <c r="DB48" i="14"/>
  <c r="DF48" i="14"/>
  <c r="DK48" i="14"/>
  <c r="DQ48" i="14"/>
  <c r="DR48" i="14"/>
  <c r="DS48" i="14"/>
  <c r="DT48" i="14"/>
  <c r="AB49" i="14"/>
  <c r="AY49" i="14"/>
  <c r="BO49" i="14"/>
  <c r="BM49" i="14" s="1"/>
  <c r="BR49" i="14"/>
  <c r="BW49" i="14"/>
  <c r="CW49" i="14"/>
  <c r="DB49" i="14"/>
  <c r="DF49" i="14"/>
  <c r="DK49" i="14"/>
  <c r="DQ49" i="14"/>
  <c r="DR49" i="14"/>
  <c r="DS49" i="14"/>
  <c r="DT49" i="14"/>
  <c r="AB50" i="14"/>
  <c r="AY50" i="14"/>
  <c r="BP50" i="14"/>
  <c r="BM50" i="14" s="1"/>
  <c r="BR50" i="14"/>
  <c r="BW50" i="14"/>
  <c r="CW50" i="14"/>
  <c r="DB50" i="14"/>
  <c r="DF50" i="14"/>
  <c r="DK50" i="14"/>
  <c r="DQ50" i="14"/>
  <c r="DR50" i="14"/>
  <c r="DS50" i="14"/>
  <c r="DT50" i="14"/>
  <c r="DW50" i="14"/>
  <c r="DW41" i="14" s="1"/>
  <c r="AB51" i="14"/>
  <c r="AY51" i="14"/>
  <c r="BO51" i="14"/>
  <c r="BM51" i="14" s="1"/>
  <c r="BR51" i="14"/>
  <c r="CW51" i="14"/>
  <c r="DB51" i="14"/>
  <c r="DF51" i="14"/>
  <c r="DK51" i="14"/>
  <c r="DQ51" i="14"/>
  <c r="DR51" i="14"/>
  <c r="DS51" i="14"/>
  <c r="DT51" i="14"/>
  <c r="AB52" i="14"/>
  <c r="AY52" i="14"/>
  <c r="BO52" i="14"/>
  <c r="BM52" i="14" s="1"/>
  <c r="BR52" i="14"/>
  <c r="BW52" i="14"/>
  <c r="CW52" i="14"/>
  <c r="DB52" i="14"/>
  <c r="DF52" i="14"/>
  <c r="DK52" i="14"/>
  <c r="EA52" i="14" s="1"/>
  <c r="DQ52" i="14"/>
  <c r="DR52" i="14"/>
  <c r="DS52" i="14"/>
  <c r="DT52" i="14"/>
  <c r="AB53" i="14"/>
  <c r="AY53" i="14"/>
  <c r="BN53" i="14"/>
  <c r="BM53" i="14" s="1"/>
  <c r="BR53" i="14"/>
  <c r="BW53" i="14"/>
  <c r="GK53" i="14" s="1"/>
  <c r="CW53" i="14"/>
  <c r="DB53" i="14"/>
  <c r="DF53" i="14"/>
  <c r="DK53" i="14"/>
  <c r="DQ53" i="14"/>
  <c r="DR53" i="14"/>
  <c r="DS53" i="14"/>
  <c r="DT53" i="14"/>
  <c r="AB54" i="14"/>
  <c r="AY54" i="14"/>
  <c r="BO54" i="14"/>
  <c r="BM54" i="14" s="1"/>
  <c r="BR54" i="14"/>
  <c r="BW54" i="14"/>
  <c r="GK54" i="14" s="1"/>
  <c r="CW54" i="14"/>
  <c r="DB54" i="14"/>
  <c r="DF54" i="14"/>
  <c r="DK54" i="14"/>
  <c r="EA54" i="14" s="1"/>
  <c r="DQ54" i="14"/>
  <c r="DR54" i="14"/>
  <c r="DS54" i="14"/>
  <c r="DT54" i="14"/>
  <c r="AB55" i="14"/>
  <c r="AY55" i="14"/>
  <c r="BM55" i="14"/>
  <c r="BR55" i="14"/>
  <c r="BW55" i="14"/>
  <c r="CW55" i="14"/>
  <c r="DB55" i="14"/>
  <c r="DF55" i="14"/>
  <c r="DK55" i="14"/>
  <c r="DQ55" i="14"/>
  <c r="DR55" i="14"/>
  <c r="DS55" i="14"/>
  <c r="DT55" i="14"/>
  <c r="AB56" i="14"/>
  <c r="AY56" i="14"/>
  <c r="BO56" i="14"/>
  <c r="BP56" i="14"/>
  <c r="BR56" i="14"/>
  <c r="BW56" i="14"/>
  <c r="GK56" i="14" s="1"/>
  <c r="CW56" i="14"/>
  <c r="DB56" i="14"/>
  <c r="DF56" i="14"/>
  <c r="DK56" i="14"/>
  <c r="DQ56" i="14"/>
  <c r="DR56" i="14"/>
  <c r="DS56" i="14"/>
  <c r="DT56" i="14"/>
  <c r="AB57" i="14"/>
  <c r="AY57" i="14"/>
  <c r="BM57" i="14"/>
  <c r="BR57" i="14"/>
  <c r="BW57" i="14"/>
  <c r="CW57" i="14"/>
  <c r="DB57" i="14"/>
  <c r="DF57" i="14"/>
  <c r="DK57" i="14"/>
  <c r="EA57" i="14" s="1"/>
  <c r="DQ57" i="14"/>
  <c r="DR57" i="14"/>
  <c r="DS57" i="14"/>
  <c r="DT57" i="14"/>
  <c r="AB58" i="14"/>
  <c r="AY58" i="14"/>
  <c r="BO58" i="14"/>
  <c r="BM58" i="14" s="1"/>
  <c r="BR58" i="14"/>
  <c r="CW58" i="14"/>
  <c r="DB58" i="14"/>
  <c r="DF58" i="14"/>
  <c r="DK58" i="14"/>
  <c r="DQ58" i="14"/>
  <c r="DR58" i="14"/>
  <c r="DS58" i="14"/>
  <c r="DT58" i="14"/>
  <c r="U59" i="14"/>
  <c r="AD59" i="14"/>
  <c r="AH59" i="14"/>
  <c r="AJ59" i="14"/>
  <c r="AK59" i="14"/>
  <c r="AL59" i="14"/>
  <c r="AM59" i="14"/>
  <c r="AO59" i="14"/>
  <c r="AP59" i="14"/>
  <c r="AQ59" i="14"/>
  <c r="AR59" i="14"/>
  <c r="AT59" i="14"/>
  <c r="AU59" i="14"/>
  <c r="AV59" i="14"/>
  <c r="AW59" i="14"/>
  <c r="AZ59" i="14"/>
  <c r="BG59" i="14" s="1"/>
  <c r="BE59" i="14"/>
  <c r="BN59" i="14"/>
  <c r="BP59" i="14"/>
  <c r="BQ59" i="14"/>
  <c r="BS59" i="14"/>
  <c r="BT59" i="14"/>
  <c r="BU59" i="14"/>
  <c r="BV59" i="14"/>
  <c r="BX59" i="14"/>
  <c r="CY59" i="14" s="1"/>
  <c r="CC59" i="14"/>
  <c r="CQ59" i="14"/>
  <c r="DG59" i="14"/>
  <c r="DH59" i="14"/>
  <c r="DI59" i="14"/>
  <c r="DJ59" i="14"/>
  <c r="DL59" i="14"/>
  <c r="DM59" i="14"/>
  <c r="DN59" i="14"/>
  <c r="DO59" i="14"/>
  <c r="DU59" i="14"/>
  <c r="DV59" i="14"/>
  <c r="DW59" i="14"/>
  <c r="AB60" i="14"/>
  <c r="AI60" i="14"/>
  <c r="AN60" i="14"/>
  <c r="AS60" i="14"/>
  <c r="AY60" i="14"/>
  <c r="BM60" i="14"/>
  <c r="BR60" i="14"/>
  <c r="BW60" i="14"/>
  <c r="CW60" i="14"/>
  <c r="DB60" i="14"/>
  <c r="DF60" i="14"/>
  <c r="DK60" i="14"/>
  <c r="DP60" i="14"/>
  <c r="AB61" i="14"/>
  <c r="AI61" i="14"/>
  <c r="AN61" i="14"/>
  <c r="AS61" i="14"/>
  <c r="AY61" i="14"/>
  <c r="BM61" i="14"/>
  <c r="BR61" i="14"/>
  <c r="BW61" i="14"/>
  <c r="CW61" i="14"/>
  <c r="DB61" i="14"/>
  <c r="DF61" i="14"/>
  <c r="DK61" i="14"/>
  <c r="DP61" i="14"/>
  <c r="AB62" i="14"/>
  <c r="AI62" i="14"/>
  <c r="AN62" i="14"/>
  <c r="AS62" i="14"/>
  <c r="AY62" i="14"/>
  <c r="BO62" i="14"/>
  <c r="BM62" i="14" s="1"/>
  <c r="BR62" i="14"/>
  <c r="BW62" i="14"/>
  <c r="CW62" i="14"/>
  <c r="DB62" i="14"/>
  <c r="DF62" i="14"/>
  <c r="DK62" i="14"/>
  <c r="DQ62" i="14"/>
  <c r="DR62" i="14"/>
  <c r="DS62" i="14"/>
  <c r="DT62" i="14"/>
  <c r="AB63" i="14"/>
  <c r="AI63" i="14"/>
  <c r="AN63" i="14"/>
  <c r="AS63" i="14"/>
  <c r="AY63" i="14"/>
  <c r="BM63" i="14"/>
  <c r="BR63" i="14"/>
  <c r="BW63" i="14"/>
  <c r="CW63" i="14"/>
  <c r="DB63" i="14"/>
  <c r="DF63" i="14"/>
  <c r="DK63" i="14"/>
  <c r="DQ63" i="14"/>
  <c r="DR63" i="14"/>
  <c r="DS63" i="14"/>
  <c r="DT63" i="14"/>
  <c r="AB64" i="14"/>
  <c r="AI64" i="14"/>
  <c r="AN64" i="14"/>
  <c r="AS64" i="14"/>
  <c r="AY64" i="14"/>
  <c r="BO64" i="14"/>
  <c r="BM64" i="14" s="1"/>
  <c r="BR64" i="14"/>
  <c r="BW64" i="14"/>
  <c r="CW64" i="14"/>
  <c r="DB64" i="14"/>
  <c r="DF64" i="14"/>
  <c r="DK64" i="14"/>
  <c r="DQ64" i="14"/>
  <c r="DR64" i="14"/>
  <c r="DS64" i="14"/>
  <c r="DT64" i="14"/>
  <c r="AB65" i="14"/>
  <c r="AI65" i="14"/>
  <c r="AN65" i="14"/>
  <c r="AS65" i="14"/>
  <c r="AY65" i="14"/>
  <c r="BO65" i="14"/>
  <c r="BM65" i="14" s="1"/>
  <c r="BR65" i="14"/>
  <c r="BW65" i="14"/>
  <c r="CW65" i="14"/>
  <c r="DB65" i="14"/>
  <c r="DF65" i="14"/>
  <c r="DK65" i="14"/>
  <c r="DQ65" i="14"/>
  <c r="DR65" i="14"/>
  <c r="DS65" i="14"/>
  <c r="DT65" i="14"/>
  <c r="AB66" i="14"/>
  <c r="AI66" i="14"/>
  <c r="AN66" i="14"/>
  <c r="AS66" i="14"/>
  <c r="AY66" i="14"/>
  <c r="BM66" i="14"/>
  <c r="BR66" i="14"/>
  <c r="CW66" i="14"/>
  <c r="DB66" i="14"/>
  <c r="DF66" i="14"/>
  <c r="DK66" i="14"/>
  <c r="DQ66" i="14"/>
  <c r="DR66" i="14"/>
  <c r="DS66" i="14"/>
  <c r="DT66" i="14"/>
  <c r="AB67" i="14"/>
  <c r="AI67" i="14"/>
  <c r="AN67" i="14"/>
  <c r="AS67" i="14"/>
  <c r="BO67" i="14"/>
  <c r="BM67" i="14" s="1"/>
  <c r="BR67" i="14"/>
  <c r="BW67" i="14"/>
  <c r="GK67" i="14" s="1"/>
  <c r="CW67" i="14"/>
  <c r="DB67" i="14"/>
  <c r="DF67" i="14"/>
  <c r="DK67" i="14"/>
  <c r="DQ67" i="14"/>
  <c r="DR67" i="14"/>
  <c r="DS67" i="14"/>
  <c r="DT67" i="14"/>
  <c r="AB68" i="14"/>
  <c r="AI68" i="14"/>
  <c r="AN68" i="14"/>
  <c r="AS68" i="14"/>
  <c r="AY68" i="14"/>
  <c r="BO68" i="14"/>
  <c r="BM68" i="14" s="1"/>
  <c r="BR68" i="14"/>
  <c r="BW68" i="14"/>
  <c r="CW68" i="14"/>
  <c r="DB68" i="14"/>
  <c r="DF68" i="14"/>
  <c r="DK68" i="14"/>
  <c r="DQ68" i="14"/>
  <c r="DR68" i="14"/>
  <c r="DS68" i="14"/>
  <c r="DT68" i="14"/>
  <c r="AB69" i="14"/>
  <c r="AI69" i="14"/>
  <c r="AN69" i="14"/>
  <c r="AS69" i="14"/>
  <c r="AY69" i="14"/>
  <c r="BM69" i="14"/>
  <c r="BR69" i="14"/>
  <c r="BW69" i="14"/>
  <c r="CW69" i="14"/>
  <c r="DB69" i="14"/>
  <c r="DF69" i="14"/>
  <c r="DK69" i="14"/>
  <c r="DQ69" i="14"/>
  <c r="DR69" i="14"/>
  <c r="DS69" i="14"/>
  <c r="DT69" i="14"/>
  <c r="AB70" i="14"/>
  <c r="AI70" i="14"/>
  <c r="AN70" i="14"/>
  <c r="AS70" i="14"/>
  <c r="AY70" i="14"/>
  <c r="BM70" i="14"/>
  <c r="BR70" i="14"/>
  <c r="BW70" i="14"/>
  <c r="CW70" i="14"/>
  <c r="DB70" i="14"/>
  <c r="DF70" i="14"/>
  <c r="DK70" i="14"/>
  <c r="EA70" i="14" s="1"/>
  <c r="DQ70" i="14"/>
  <c r="DR70" i="14"/>
  <c r="DS70" i="14"/>
  <c r="DT70" i="14"/>
  <c r="AB71" i="14"/>
  <c r="AI71" i="14"/>
  <c r="AN71" i="14"/>
  <c r="AS71" i="14"/>
  <c r="AY71" i="14"/>
  <c r="BM71" i="14"/>
  <c r="BR71" i="14"/>
  <c r="BW71" i="14"/>
  <c r="CW71" i="14"/>
  <c r="DB71" i="14"/>
  <c r="DF71" i="14"/>
  <c r="DK71" i="14"/>
  <c r="DQ71" i="14"/>
  <c r="DR71" i="14"/>
  <c r="DS71" i="14"/>
  <c r="DT71" i="14"/>
  <c r="AB72" i="14"/>
  <c r="AI72" i="14"/>
  <c r="AN72" i="14"/>
  <c r="AS72" i="14"/>
  <c r="AY72" i="14"/>
  <c r="BM72" i="14"/>
  <c r="BR72" i="14"/>
  <c r="BW72" i="14"/>
  <c r="CW72" i="14"/>
  <c r="DB72" i="14"/>
  <c r="DF72" i="14"/>
  <c r="DK72" i="14"/>
  <c r="DQ72" i="14"/>
  <c r="DR72" i="14"/>
  <c r="DS72" i="14"/>
  <c r="DT72" i="14"/>
  <c r="AB73" i="14"/>
  <c r="AI73" i="14"/>
  <c r="AN73" i="14"/>
  <c r="AS73" i="14"/>
  <c r="AY73" i="14"/>
  <c r="BM73" i="14"/>
  <c r="BR73" i="14"/>
  <c r="BW73" i="14"/>
  <c r="CW73" i="14"/>
  <c r="DB73" i="14"/>
  <c r="DF73" i="14"/>
  <c r="DK73" i="14"/>
  <c r="DQ73" i="14"/>
  <c r="DR73" i="14"/>
  <c r="DS73" i="14"/>
  <c r="DT73" i="14"/>
  <c r="AB74" i="14"/>
  <c r="AI74" i="14"/>
  <c r="AN74" i="14"/>
  <c r="AS74" i="14"/>
  <c r="AY74" i="14"/>
  <c r="BM74" i="14"/>
  <c r="BR74" i="14"/>
  <c r="BW74" i="14"/>
  <c r="CW74" i="14"/>
  <c r="DB74" i="14"/>
  <c r="DF74" i="14"/>
  <c r="DK74" i="14"/>
  <c r="DQ74" i="14"/>
  <c r="DR74" i="14"/>
  <c r="DS74" i="14"/>
  <c r="DT74" i="14"/>
  <c r="AB75" i="14"/>
  <c r="AI75" i="14"/>
  <c r="AN75" i="14"/>
  <c r="AS75" i="14"/>
  <c r="AY75" i="14"/>
  <c r="BO75" i="14"/>
  <c r="BM75" i="14" s="1"/>
  <c r="BR75" i="14"/>
  <c r="BW75" i="14"/>
  <c r="CW75" i="14"/>
  <c r="DB75" i="14"/>
  <c r="DF75" i="14"/>
  <c r="DK75" i="14"/>
  <c r="DQ75" i="14"/>
  <c r="DR75" i="14"/>
  <c r="DS75" i="14"/>
  <c r="DT75" i="14"/>
  <c r="AB76" i="14"/>
  <c r="AI76" i="14"/>
  <c r="AN76" i="14"/>
  <c r="AS76" i="14"/>
  <c r="AY76" i="14"/>
  <c r="BO76" i="14"/>
  <c r="BM76" i="14" s="1"/>
  <c r="BR76" i="14"/>
  <c r="BW76" i="14"/>
  <c r="CW76" i="14"/>
  <c r="DB76" i="14"/>
  <c r="DF76" i="14"/>
  <c r="DK76" i="14"/>
  <c r="DQ76" i="14"/>
  <c r="DR76" i="14"/>
  <c r="DS76" i="14"/>
  <c r="DT76" i="14"/>
  <c r="AB77" i="14"/>
  <c r="AI77" i="14"/>
  <c r="AN77" i="14"/>
  <c r="AS77" i="14"/>
  <c r="AY77" i="14"/>
  <c r="BO77" i="14"/>
  <c r="BM77" i="14" s="1"/>
  <c r="BR77" i="14"/>
  <c r="BW77" i="14"/>
  <c r="CW77" i="14"/>
  <c r="DB77" i="14"/>
  <c r="DF77" i="14"/>
  <c r="DK77" i="14"/>
  <c r="DQ77" i="14"/>
  <c r="DR77" i="14"/>
  <c r="DS77" i="14"/>
  <c r="DT77" i="14"/>
  <c r="AB78" i="14"/>
  <c r="AI78" i="14"/>
  <c r="AN78" i="14"/>
  <c r="AS78" i="14"/>
  <c r="BM78" i="14"/>
  <c r="BR78" i="14"/>
  <c r="CW78" i="14"/>
  <c r="DB78" i="14"/>
  <c r="DF78" i="14"/>
  <c r="DK78" i="14"/>
  <c r="DQ78" i="14"/>
  <c r="DR78" i="14"/>
  <c r="DS78" i="14"/>
  <c r="DT78" i="14"/>
  <c r="AB79" i="14"/>
  <c r="AI79" i="14"/>
  <c r="AN79" i="14"/>
  <c r="AS79" i="14"/>
  <c r="AY79" i="14"/>
  <c r="BM79" i="14"/>
  <c r="BR79" i="14"/>
  <c r="BW79" i="14"/>
  <c r="CW79" i="14"/>
  <c r="DB79" i="14"/>
  <c r="DF79" i="14"/>
  <c r="DK79" i="14"/>
  <c r="DQ79" i="14"/>
  <c r="DR79" i="14"/>
  <c r="DS79" i="14"/>
  <c r="DT79" i="14"/>
  <c r="AB80" i="14"/>
  <c r="AI80" i="14"/>
  <c r="AN80" i="14"/>
  <c r="AS80" i="14"/>
  <c r="BM80" i="14"/>
  <c r="BR80" i="14"/>
  <c r="BW80" i="14"/>
  <c r="CW80" i="14"/>
  <c r="DB80" i="14"/>
  <c r="DF80" i="14"/>
  <c r="DK80" i="14"/>
  <c r="DQ80" i="14"/>
  <c r="DR80" i="14"/>
  <c r="DS80" i="14"/>
  <c r="DT80" i="14"/>
  <c r="U81" i="14"/>
  <c r="AD81" i="14"/>
  <c r="AH81" i="14"/>
  <c r="AJ81" i="14"/>
  <c r="AK81" i="14"/>
  <c r="AL81" i="14"/>
  <c r="AM81" i="14"/>
  <c r="AO81" i="14"/>
  <c r="AP81" i="14"/>
  <c r="AQ81" i="14"/>
  <c r="AR81" i="14"/>
  <c r="AT81" i="14"/>
  <c r="AU81" i="14"/>
  <c r="AV81" i="14"/>
  <c r="AW81" i="14"/>
  <c r="BD81" i="14"/>
  <c r="BK81" i="14" s="1"/>
  <c r="BE81" i="14"/>
  <c r="BN81" i="14"/>
  <c r="BQ81" i="14"/>
  <c r="BS81" i="14"/>
  <c r="BT81" i="14"/>
  <c r="BU81" i="14"/>
  <c r="BV81" i="14"/>
  <c r="BX81" i="14"/>
  <c r="CY81" i="14" s="1"/>
  <c r="CC81" i="14"/>
  <c r="CQ81" i="14"/>
  <c r="DG81" i="14"/>
  <c r="DH81" i="14"/>
  <c r="DI81" i="14"/>
  <c r="DJ81" i="14"/>
  <c r="DL81" i="14"/>
  <c r="DM81" i="14"/>
  <c r="DN81" i="14"/>
  <c r="DO81" i="14"/>
  <c r="DU81" i="14"/>
  <c r="DV81" i="14"/>
  <c r="DW81" i="14"/>
  <c r="AB82" i="14"/>
  <c r="AI82" i="14"/>
  <c r="AN82" i="14"/>
  <c r="AS82" i="14"/>
  <c r="AY82" i="14"/>
  <c r="BM82" i="14"/>
  <c r="BR82" i="14"/>
  <c r="BW82" i="14"/>
  <c r="CW82" i="14"/>
  <c r="DB82" i="14"/>
  <c r="DF82" i="14"/>
  <c r="DK82" i="14"/>
  <c r="DQ82" i="14"/>
  <c r="DR82" i="14"/>
  <c r="DS82" i="14"/>
  <c r="DT82" i="14"/>
  <c r="AB83" i="14"/>
  <c r="AI83" i="14"/>
  <c r="AN83" i="14"/>
  <c r="AS83" i="14"/>
  <c r="AY83" i="14"/>
  <c r="BM83" i="14"/>
  <c r="BR83" i="14"/>
  <c r="BW83" i="14"/>
  <c r="CW83" i="14"/>
  <c r="DB83" i="14"/>
  <c r="DF83" i="14"/>
  <c r="DK83" i="14"/>
  <c r="DQ83" i="14"/>
  <c r="DR83" i="14"/>
  <c r="DS83" i="14"/>
  <c r="DT83" i="14"/>
  <c r="AB84" i="14"/>
  <c r="AI84" i="14"/>
  <c r="AN84" i="14"/>
  <c r="AS84" i="14"/>
  <c r="AY84" i="14"/>
  <c r="AZ81" i="14"/>
  <c r="BG81" i="14" s="1"/>
  <c r="BO84" i="14"/>
  <c r="BP84" i="14"/>
  <c r="BR84" i="14"/>
  <c r="CW84" i="14"/>
  <c r="DB84" i="14"/>
  <c r="DF84" i="14"/>
  <c r="DK84" i="14"/>
  <c r="DQ84" i="14"/>
  <c r="DR84" i="14"/>
  <c r="DS84" i="14"/>
  <c r="DT84" i="14"/>
  <c r="AB85" i="14"/>
  <c r="AI85" i="14"/>
  <c r="AN85" i="14"/>
  <c r="AS85" i="14"/>
  <c r="AY85" i="14"/>
  <c r="BM85" i="14"/>
  <c r="BR85" i="14"/>
  <c r="BW85" i="14"/>
  <c r="CW85" i="14"/>
  <c r="DB85" i="14"/>
  <c r="DF85" i="14"/>
  <c r="DK85" i="14"/>
  <c r="DQ85" i="14"/>
  <c r="DR85" i="14"/>
  <c r="DS85" i="14"/>
  <c r="DT85" i="14"/>
  <c r="AB86" i="14"/>
  <c r="AI86" i="14"/>
  <c r="AN86" i="14"/>
  <c r="AS86" i="14"/>
  <c r="AY86" i="14"/>
  <c r="BO86" i="14"/>
  <c r="BR86" i="14"/>
  <c r="BW86" i="14"/>
  <c r="CW86" i="14"/>
  <c r="DB86" i="14"/>
  <c r="DF86" i="14"/>
  <c r="DK86" i="14"/>
  <c r="DQ86" i="14"/>
  <c r="DR86" i="14"/>
  <c r="DS86" i="14"/>
  <c r="DT86" i="14"/>
  <c r="AB87" i="14"/>
  <c r="AI87" i="14"/>
  <c r="AN87" i="14"/>
  <c r="AS87" i="14"/>
  <c r="AY87" i="14"/>
  <c r="BO87" i="14"/>
  <c r="BM87" i="14" s="1"/>
  <c r="BR87" i="14"/>
  <c r="BW87" i="14"/>
  <c r="CW87" i="14"/>
  <c r="DB87" i="14"/>
  <c r="DF87" i="14"/>
  <c r="DK87" i="14"/>
  <c r="DQ87" i="14"/>
  <c r="DR87" i="14"/>
  <c r="DS87" i="14"/>
  <c r="DT87" i="14"/>
  <c r="AB88" i="14"/>
  <c r="AI88" i="14"/>
  <c r="AN88" i="14"/>
  <c r="AS88" i="14"/>
  <c r="AY88" i="14"/>
  <c r="BM88" i="14"/>
  <c r="BR88" i="14"/>
  <c r="BW88" i="14"/>
  <c r="CW88" i="14"/>
  <c r="DB88" i="14"/>
  <c r="DF88" i="14"/>
  <c r="DK88" i="14"/>
  <c r="DQ88" i="14"/>
  <c r="DR88" i="14"/>
  <c r="DS88" i="14"/>
  <c r="DT88" i="14"/>
  <c r="AB89" i="14"/>
  <c r="AI89" i="14"/>
  <c r="AN89" i="14"/>
  <c r="AS89" i="14"/>
  <c r="AY89" i="14"/>
  <c r="BO89" i="14"/>
  <c r="BM89" i="14" s="1"/>
  <c r="BR89" i="14"/>
  <c r="BW89" i="14"/>
  <c r="GK89" i="14" s="1"/>
  <c r="CW89" i="14"/>
  <c r="DB89" i="14"/>
  <c r="DF89" i="14"/>
  <c r="DK89" i="14"/>
  <c r="DQ89" i="14"/>
  <c r="DR89" i="14"/>
  <c r="DS89" i="14"/>
  <c r="DT89" i="14"/>
  <c r="AB90" i="14"/>
  <c r="AI90" i="14"/>
  <c r="AN90" i="14"/>
  <c r="AS90" i="14"/>
  <c r="AY90" i="14"/>
  <c r="BO90" i="14"/>
  <c r="BM90" i="14" s="1"/>
  <c r="BR90" i="14"/>
  <c r="BW90" i="14"/>
  <c r="CW90" i="14"/>
  <c r="DB90" i="14"/>
  <c r="DF90" i="14"/>
  <c r="DK90" i="14"/>
  <c r="DQ90" i="14"/>
  <c r="DR90" i="14"/>
  <c r="DS90" i="14"/>
  <c r="DT90" i="14"/>
  <c r="AB91" i="14"/>
  <c r="AI91" i="14"/>
  <c r="AN91" i="14"/>
  <c r="AS91" i="14"/>
  <c r="AY91" i="14"/>
  <c r="BM91" i="14"/>
  <c r="BR91" i="14"/>
  <c r="BW91" i="14"/>
  <c r="CW91" i="14"/>
  <c r="DB91" i="14"/>
  <c r="DF91" i="14"/>
  <c r="DK91" i="14"/>
  <c r="EA91" i="14" s="1"/>
  <c r="DQ91" i="14"/>
  <c r="DR91" i="14"/>
  <c r="DS91" i="14"/>
  <c r="DT91" i="14"/>
  <c r="AB92" i="14"/>
  <c r="AI92" i="14"/>
  <c r="AN92" i="14"/>
  <c r="AS92" i="14"/>
  <c r="AY92" i="14"/>
  <c r="BO92" i="14"/>
  <c r="BP92" i="14"/>
  <c r="BR92" i="14"/>
  <c r="CW92" i="14"/>
  <c r="DB92" i="14"/>
  <c r="DF92" i="14"/>
  <c r="DK92" i="14"/>
  <c r="DQ92" i="14"/>
  <c r="DR92" i="14"/>
  <c r="DS92" i="14"/>
  <c r="DT92" i="14"/>
  <c r="AB93" i="14"/>
  <c r="AI93" i="14"/>
  <c r="AN93" i="14"/>
  <c r="AS93" i="14"/>
  <c r="BO93" i="14"/>
  <c r="BM93" i="14" s="1"/>
  <c r="BR93" i="14"/>
  <c r="BW93" i="14"/>
  <c r="GK93" i="14" s="1"/>
  <c r="CW93" i="14"/>
  <c r="DB93" i="14"/>
  <c r="DF93" i="14"/>
  <c r="DK93" i="14"/>
  <c r="DQ93" i="14"/>
  <c r="DR93" i="14"/>
  <c r="DS93" i="14"/>
  <c r="DT93" i="14"/>
  <c r="AB94" i="14"/>
  <c r="AI94" i="14"/>
  <c r="AN94" i="14"/>
  <c r="AS94" i="14"/>
  <c r="AY94" i="14"/>
  <c r="BO94" i="14"/>
  <c r="BM94" i="14" s="1"/>
  <c r="BR94" i="14"/>
  <c r="BW94" i="14"/>
  <c r="CW94" i="14"/>
  <c r="DB94" i="14"/>
  <c r="DF94" i="14"/>
  <c r="DK94" i="14"/>
  <c r="DQ94" i="14"/>
  <c r="DR94" i="14"/>
  <c r="DS94" i="14"/>
  <c r="DT94" i="14"/>
  <c r="AB95" i="14"/>
  <c r="AI95" i="14"/>
  <c r="AN95" i="14"/>
  <c r="AS95" i="14"/>
  <c r="AY95" i="14"/>
  <c r="BO95" i="14"/>
  <c r="BM95" i="14" s="1"/>
  <c r="BR95" i="14"/>
  <c r="CW95" i="14"/>
  <c r="DB95" i="14"/>
  <c r="DF95" i="14"/>
  <c r="DK95" i="14"/>
  <c r="DQ95" i="14"/>
  <c r="DR95" i="14"/>
  <c r="DS95" i="14"/>
  <c r="DT95" i="14"/>
  <c r="U96" i="14"/>
  <c r="AD96" i="14"/>
  <c r="AH96" i="14"/>
  <c r="AJ96" i="14"/>
  <c r="AK96" i="14"/>
  <c r="AL96" i="14"/>
  <c r="AM96" i="14"/>
  <c r="AO96" i="14"/>
  <c r="AP96" i="14"/>
  <c r="AQ96" i="14"/>
  <c r="AR96" i="14"/>
  <c r="AT96" i="14"/>
  <c r="AU96" i="14"/>
  <c r="AV96" i="14"/>
  <c r="AW96" i="14"/>
  <c r="BE96" i="14"/>
  <c r="BQ96" i="14"/>
  <c r="BS96" i="14"/>
  <c r="BT96" i="14"/>
  <c r="BU96" i="14"/>
  <c r="BV96" i="14"/>
  <c r="BX96" i="14"/>
  <c r="CY96" i="14" s="1"/>
  <c r="CC96" i="14"/>
  <c r="CQ96" i="14"/>
  <c r="DG96" i="14"/>
  <c r="DH96" i="14"/>
  <c r="DI96" i="14"/>
  <c r="DJ96" i="14"/>
  <c r="DL96" i="14"/>
  <c r="DM96" i="14"/>
  <c r="DN96" i="14"/>
  <c r="DO96" i="14"/>
  <c r="DU96" i="14"/>
  <c r="DV96" i="14"/>
  <c r="DW96" i="14"/>
  <c r="AB97" i="14"/>
  <c r="AI97" i="14"/>
  <c r="AN97" i="14"/>
  <c r="AS97" i="14"/>
  <c r="BN97" i="14"/>
  <c r="BM97" i="14" s="1"/>
  <c r="BR97" i="14"/>
  <c r="BW97" i="14"/>
  <c r="GK97" i="14" s="1"/>
  <c r="CW97" i="14"/>
  <c r="DB97" i="14"/>
  <c r="DF97" i="14"/>
  <c r="DK97" i="14"/>
  <c r="DQ97" i="14"/>
  <c r="DR97" i="14"/>
  <c r="DS97" i="14"/>
  <c r="DT97" i="14"/>
  <c r="AB98" i="14"/>
  <c r="AI98" i="14"/>
  <c r="AN98" i="14"/>
  <c r="AS98" i="14"/>
  <c r="AY98" i="14"/>
  <c r="BM98" i="14"/>
  <c r="BR98" i="14"/>
  <c r="BW98" i="14"/>
  <c r="CW98" i="14"/>
  <c r="DB98" i="14"/>
  <c r="DF98" i="14"/>
  <c r="DK98" i="14"/>
  <c r="DQ98" i="14"/>
  <c r="DR98" i="14"/>
  <c r="DS98" i="14"/>
  <c r="DT98" i="14"/>
  <c r="AB99" i="14"/>
  <c r="AI99" i="14"/>
  <c r="AN99" i="14"/>
  <c r="AS99" i="14"/>
  <c r="AY99" i="14"/>
  <c r="BO99" i="14"/>
  <c r="BM99" i="14" s="1"/>
  <c r="BR99" i="14"/>
  <c r="BW99" i="14"/>
  <c r="CW99" i="14"/>
  <c r="DB99" i="14"/>
  <c r="DF99" i="14"/>
  <c r="DK99" i="14"/>
  <c r="DQ99" i="14"/>
  <c r="DR99" i="14"/>
  <c r="DS99" i="14"/>
  <c r="DT99" i="14"/>
  <c r="AB100" i="14"/>
  <c r="AI100" i="14"/>
  <c r="AN100" i="14"/>
  <c r="AS100" i="14"/>
  <c r="AY100" i="14"/>
  <c r="BM100" i="14"/>
  <c r="BR100" i="14"/>
  <c r="BW100" i="14"/>
  <c r="CW100" i="14"/>
  <c r="DB100" i="14"/>
  <c r="DF100" i="14"/>
  <c r="DK100" i="14"/>
  <c r="DQ100" i="14"/>
  <c r="DR100" i="14"/>
  <c r="DS100" i="14"/>
  <c r="DT100" i="14"/>
  <c r="AB101" i="14"/>
  <c r="AI101" i="14"/>
  <c r="AN101" i="14"/>
  <c r="AS101" i="14"/>
  <c r="AY101" i="14"/>
  <c r="BO101" i="14"/>
  <c r="BM101" i="14" s="1"/>
  <c r="BR101" i="14"/>
  <c r="BW101" i="14"/>
  <c r="CW101" i="14"/>
  <c r="DB101" i="14"/>
  <c r="DF101" i="14"/>
  <c r="DK101" i="14"/>
  <c r="DQ101" i="14"/>
  <c r="DR101" i="14"/>
  <c r="DS101" i="14"/>
  <c r="DT101" i="14"/>
  <c r="AB102" i="14"/>
  <c r="AI102" i="14"/>
  <c r="AN102" i="14"/>
  <c r="AS102" i="14"/>
  <c r="AY102" i="14"/>
  <c r="BM102" i="14"/>
  <c r="BR102" i="14"/>
  <c r="BW102" i="14"/>
  <c r="CW102" i="14"/>
  <c r="DB102" i="14"/>
  <c r="DF102" i="14"/>
  <c r="DK102" i="14"/>
  <c r="DQ102" i="14"/>
  <c r="DR102" i="14"/>
  <c r="DS102" i="14"/>
  <c r="DT102" i="14"/>
  <c r="AB103" i="14"/>
  <c r="AI103" i="14"/>
  <c r="AN103" i="14"/>
  <c r="AS103" i="14"/>
  <c r="BN103" i="14"/>
  <c r="BO103" i="14"/>
  <c r="BP103" i="14"/>
  <c r="BP96" i="14" s="1"/>
  <c r="BR103" i="14"/>
  <c r="CW103" i="14"/>
  <c r="DB103" i="14"/>
  <c r="DF103" i="14"/>
  <c r="DK103" i="14"/>
  <c r="DQ103" i="14"/>
  <c r="DR103" i="14"/>
  <c r="DS103" i="14"/>
  <c r="DT103" i="14"/>
  <c r="AB104" i="14"/>
  <c r="AI104" i="14"/>
  <c r="AN104" i="14"/>
  <c r="AS104" i="14"/>
  <c r="AY104" i="14"/>
  <c r="BO104" i="14"/>
  <c r="BM104" i="14" s="1"/>
  <c r="BR104" i="14"/>
  <c r="BW104" i="14"/>
  <c r="CW104" i="14"/>
  <c r="DB104" i="14"/>
  <c r="DF104" i="14"/>
  <c r="DK104" i="14"/>
  <c r="DQ104" i="14"/>
  <c r="DR104" i="14"/>
  <c r="DS104" i="14"/>
  <c r="DT104" i="14"/>
  <c r="AB105" i="14"/>
  <c r="AI105" i="14"/>
  <c r="AN105" i="14"/>
  <c r="AS105" i="14"/>
  <c r="AY105" i="14"/>
  <c r="BM105" i="14"/>
  <c r="BR105" i="14"/>
  <c r="BW105" i="14"/>
  <c r="CW105" i="14"/>
  <c r="DB105" i="14"/>
  <c r="DF105" i="14"/>
  <c r="DK105" i="14"/>
  <c r="DQ105" i="14"/>
  <c r="DR105" i="14"/>
  <c r="DS105" i="14"/>
  <c r="DT105" i="14"/>
  <c r="AB106" i="14"/>
  <c r="AI106" i="14"/>
  <c r="AN106" i="14"/>
  <c r="AS106" i="14"/>
  <c r="AY106" i="14"/>
  <c r="BO106" i="14"/>
  <c r="BM106" i="14" s="1"/>
  <c r="BR106" i="14"/>
  <c r="BW106" i="14"/>
  <c r="CW106" i="14"/>
  <c r="DB106" i="14"/>
  <c r="DF106" i="14"/>
  <c r="DK106" i="14"/>
  <c r="DQ106" i="14"/>
  <c r="DR106" i="14"/>
  <c r="DS106" i="14"/>
  <c r="DT106" i="14"/>
  <c r="AB107" i="14"/>
  <c r="AI107" i="14"/>
  <c r="AN107" i="14"/>
  <c r="AS107" i="14"/>
  <c r="AY107" i="14"/>
  <c r="BM107" i="14"/>
  <c r="BR107" i="14"/>
  <c r="BW107" i="14"/>
  <c r="CW107" i="14"/>
  <c r="DB107" i="14"/>
  <c r="DF107" i="14"/>
  <c r="DK107" i="14"/>
  <c r="DQ107" i="14"/>
  <c r="DR107" i="14"/>
  <c r="DS107" i="14"/>
  <c r="DT107" i="14"/>
  <c r="AB108" i="14"/>
  <c r="AI108" i="14"/>
  <c r="AN108" i="14"/>
  <c r="AS108" i="14"/>
  <c r="AY108" i="14"/>
  <c r="BM108" i="14"/>
  <c r="BR108" i="14"/>
  <c r="BW108" i="14"/>
  <c r="CW108" i="14"/>
  <c r="DB108" i="14"/>
  <c r="DF108" i="14"/>
  <c r="DK108" i="14"/>
  <c r="DQ108" i="14"/>
  <c r="DR108" i="14"/>
  <c r="DS108" i="14"/>
  <c r="DT108" i="14"/>
  <c r="AB109" i="14"/>
  <c r="AI109" i="14"/>
  <c r="AN109" i="14"/>
  <c r="AS109" i="14"/>
  <c r="AY109" i="14"/>
  <c r="BO109" i="14"/>
  <c r="BM109" i="14" s="1"/>
  <c r="BR109" i="14"/>
  <c r="BW109" i="14"/>
  <c r="CW109" i="14"/>
  <c r="DB109" i="14"/>
  <c r="DF109" i="14"/>
  <c r="DK109" i="14"/>
  <c r="DQ109" i="14"/>
  <c r="DR109" i="14"/>
  <c r="DS109" i="14"/>
  <c r="DT109" i="14"/>
  <c r="AB110" i="14"/>
  <c r="AI110" i="14"/>
  <c r="AN110" i="14"/>
  <c r="AS110" i="14"/>
  <c r="AY110" i="14"/>
  <c r="BO110" i="14"/>
  <c r="BM110" i="14" s="1"/>
  <c r="BR110" i="14"/>
  <c r="BW110" i="14"/>
  <c r="CW110" i="14"/>
  <c r="DB110" i="14"/>
  <c r="DF110" i="14"/>
  <c r="DK110" i="14"/>
  <c r="DQ110" i="14"/>
  <c r="DR110" i="14"/>
  <c r="DS110" i="14"/>
  <c r="DT110" i="14"/>
  <c r="AB111" i="14"/>
  <c r="AI111" i="14"/>
  <c r="AN111" i="14"/>
  <c r="AS111" i="14"/>
  <c r="AZ96" i="14"/>
  <c r="BG96" i="14" s="1"/>
  <c r="BM111" i="14"/>
  <c r="BR111" i="14"/>
  <c r="BW111" i="14"/>
  <c r="CW111" i="14"/>
  <c r="DB111" i="14"/>
  <c r="DF111" i="14"/>
  <c r="DK111" i="14"/>
  <c r="DQ111" i="14"/>
  <c r="DR111" i="14"/>
  <c r="DS111" i="14"/>
  <c r="DT111" i="14"/>
  <c r="AB112" i="14"/>
  <c r="AI112" i="14"/>
  <c r="AN112" i="14"/>
  <c r="AS112" i="14"/>
  <c r="AY112" i="14"/>
  <c r="BM112" i="14"/>
  <c r="BR112" i="14"/>
  <c r="BW112" i="14"/>
  <c r="CW112" i="14"/>
  <c r="DB112" i="14"/>
  <c r="DF112" i="14"/>
  <c r="DK112" i="14"/>
  <c r="DQ112" i="14"/>
  <c r="DR112" i="14"/>
  <c r="DS112" i="14"/>
  <c r="DT112" i="14"/>
  <c r="AB113" i="14"/>
  <c r="AI113" i="14"/>
  <c r="AN113" i="14"/>
  <c r="AS113" i="14"/>
  <c r="AY113" i="14"/>
  <c r="BM113" i="14"/>
  <c r="BR113" i="14"/>
  <c r="BW113" i="14"/>
  <c r="CW113" i="14"/>
  <c r="DB113" i="14"/>
  <c r="DF113" i="14"/>
  <c r="DK113" i="14"/>
  <c r="DQ113" i="14"/>
  <c r="DR113" i="14"/>
  <c r="DS113" i="14"/>
  <c r="DT113" i="14"/>
  <c r="AB114" i="14"/>
  <c r="AI114" i="14"/>
  <c r="AN114" i="14"/>
  <c r="AS114" i="14"/>
  <c r="BO114" i="14"/>
  <c r="BM114" i="14" s="1"/>
  <c r="BR114" i="14"/>
  <c r="CW114" i="14"/>
  <c r="DB114" i="14"/>
  <c r="DF114" i="14"/>
  <c r="DK114" i="14"/>
  <c r="DQ114" i="14"/>
  <c r="DR114" i="14"/>
  <c r="DS114" i="14"/>
  <c r="DT114" i="14"/>
  <c r="AB115" i="14"/>
  <c r="AI115" i="14"/>
  <c r="AN115" i="14"/>
  <c r="AS115" i="14"/>
  <c r="AY115" i="14"/>
  <c r="BM115" i="14"/>
  <c r="BR115" i="14"/>
  <c r="BW115" i="14"/>
  <c r="CW115" i="14"/>
  <c r="DB115" i="14"/>
  <c r="DF115" i="14"/>
  <c r="DK115" i="14"/>
  <c r="DQ115" i="14"/>
  <c r="DR115" i="14"/>
  <c r="DS115" i="14"/>
  <c r="DT115" i="14"/>
  <c r="U116" i="14"/>
  <c r="AD116" i="14"/>
  <c r="AH116" i="14"/>
  <c r="AJ116" i="14"/>
  <c r="AK116" i="14"/>
  <c r="AL116" i="14"/>
  <c r="AM116" i="14"/>
  <c r="AO116" i="14"/>
  <c r="AP116" i="14"/>
  <c r="AQ116" i="14"/>
  <c r="AR116" i="14"/>
  <c r="AT116" i="14"/>
  <c r="AU116" i="14"/>
  <c r="AV116" i="14"/>
  <c r="AW116" i="14"/>
  <c r="AZ116" i="14"/>
  <c r="BG116" i="14" s="1"/>
  <c r="BF116" i="14" s="1"/>
  <c r="BD116" i="14"/>
  <c r="BK116" i="14" s="1"/>
  <c r="BE116" i="14"/>
  <c r="BN116" i="14"/>
  <c r="BQ116" i="14"/>
  <c r="BS116" i="14"/>
  <c r="BT116" i="14"/>
  <c r="BU116" i="14"/>
  <c r="BV116" i="14"/>
  <c r="BX116" i="14"/>
  <c r="CY116" i="14" s="1"/>
  <c r="CC116" i="14"/>
  <c r="CQ116" i="14"/>
  <c r="DG116" i="14"/>
  <c r="DH116" i="14"/>
  <c r="DI116" i="14"/>
  <c r="DJ116" i="14"/>
  <c r="DL116" i="14"/>
  <c r="DM116" i="14"/>
  <c r="DN116" i="14"/>
  <c r="DO116" i="14"/>
  <c r="DU116" i="14"/>
  <c r="DV116" i="14"/>
  <c r="DW116" i="14"/>
  <c r="AB117" i="14"/>
  <c r="BO117" i="14"/>
  <c r="BR117" i="14"/>
  <c r="BW117" i="14"/>
  <c r="CW117" i="14"/>
  <c r="DB117" i="14"/>
  <c r="DF117" i="14"/>
  <c r="DK117" i="14"/>
  <c r="DQ117" i="14"/>
  <c r="DR117" i="14"/>
  <c r="DS117" i="14"/>
  <c r="DT117" i="14"/>
  <c r="AB118" i="14"/>
  <c r="AY118" i="14"/>
  <c r="BM118" i="14"/>
  <c r="BR118" i="14"/>
  <c r="BW118" i="14"/>
  <c r="CW118" i="14"/>
  <c r="DB118" i="14"/>
  <c r="DF118" i="14"/>
  <c r="DK118" i="14"/>
  <c r="DQ118" i="14"/>
  <c r="DR118" i="14"/>
  <c r="DS118" i="14"/>
  <c r="DT118" i="14"/>
  <c r="AB119" i="14"/>
  <c r="AY119" i="14"/>
  <c r="BM119" i="14"/>
  <c r="BR119" i="14"/>
  <c r="BW119" i="14"/>
  <c r="CW119" i="14"/>
  <c r="DB119" i="14"/>
  <c r="DF119" i="14"/>
  <c r="DK119" i="14"/>
  <c r="DQ119" i="14"/>
  <c r="DR119" i="14"/>
  <c r="DS119" i="14"/>
  <c r="DT119" i="14"/>
  <c r="AB120" i="14"/>
  <c r="AY120" i="14"/>
  <c r="BM120" i="14"/>
  <c r="BR120" i="14"/>
  <c r="BW120" i="14"/>
  <c r="CW120" i="14"/>
  <c r="DB120" i="14"/>
  <c r="DF120" i="14"/>
  <c r="DK120" i="14"/>
  <c r="DQ120" i="14"/>
  <c r="DR120" i="14"/>
  <c r="DS120" i="14"/>
  <c r="DT120" i="14"/>
  <c r="AB121" i="14"/>
  <c r="AY121" i="14"/>
  <c r="BO121" i="14"/>
  <c r="BM121" i="14" s="1"/>
  <c r="BR121" i="14"/>
  <c r="BW121" i="14"/>
  <c r="CW121" i="14"/>
  <c r="DB121" i="14"/>
  <c r="DF121" i="14"/>
  <c r="DK121" i="14"/>
  <c r="DQ121" i="14"/>
  <c r="DR121" i="14"/>
  <c r="DS121" i="14"/>
  <c r="DT121" i="14"/>
  <c r="AB122" i="14"/>
  <c r="AY122" i="14"/>
  <c r="BO122" i="14"/>
  <c r="BM122" i="14" s="1"/>
  <c r="BR122" i="14"/>
  <c r="CW122" i="14"/>
  <c r="DB122" i="14"/>
  <c r="DF122" i="14"/>
  <c r="DK122" i="14"/>
  <c r="DQ122" i="14"/>
  <c r="DR122" i="14"/>
  <c r="DS122" i="14"/>
  <c r="DT122" i="14"/>
  <c r="AB123" i="14"/>
  <c r="BO123" i="14"/>
  <c r="BM123" i="14" s="1"/>
  <c r="BR123" i="14"/>
  <c r="BW123" i="14"/>
  <c r="CW123" i="14"/>
  <c r="DB123" i="14"/>
  <c r="DF123" i="14"/>
  <c r="DK123" i="14"/>
  <c r="DQ123" i="14"/>
  <c r="DR123" i="14"/>
  <c r="DS123" i="14"/>
  <c r="DT123" i="14"/>
  <c r="AB124" i="14"/>
  <c r="AY124" i="14"/>
  <c r="BM124" i="14"/>
  <c r="BR124" i="14"/>
  <c r="BW124" i="14"/>
  <c r="CW124" i="14"/>
  <c r="DB124" i="14"/>
  <c r="DF124" i="14"/>
  <c r="DK124" i="14"/>
  <c r="DQ124" i="14"/>
  <c r="DR124" i="14"/>
  <c r="DS124" i="14"/>
  <c r="DT124" i="14"/>
  <c r="AB125" i="14"/>
  <c r="AY125" i="14"/>
  <c r="BO125" i="14"/>
  <c r="BM125" i="14" s="1"/>
  <c r="BR125" i="14"/>
  <c r="CW125" i="14"/>
  <c r="DB125" i="14"/>
  <c r="DF125" i="14"/>
  <c r="DK125" i="14"/>
  <c r="EA125" i="14" s="1"/>
  <c r="DQ125" i="14"/>
  <c r="DR125" i="14"/>
  <c r="DS125" i="14"/>
  <c r="DT125" i="14"/>
  <c r="AB126" i="14"/>
  <c r="AY126" i="14"/>
  <c r="BO126" i="14"/>
  <c r="BP126" i="14"/>
  <c r="BP116" i="14" s="1"/>
  <c r="BR126" i="14"/>
  <c r="BW126" i="14"/>
  <c r="CW126" i="14"/>
  <c r="DB126" i="14"/>
  <c r="DF126" i="14"/>
  <c r="DK126" i="14"/>
  <c r="DQ126" i="14"/>
  <c r="DR126" i="14"/>
  <c r="DS126" i="14"/>
  <c r="DT126" i="14"/>
  <c r="AB127" i="14"/>
  <c r="AY127" i="14"/>
  <c r="BO127" i="14"/>
  <c r="BM127" i="14" s="1"/>
  <c r="BR127" i="14"/>
  <c r="BW127" i="14"/>
  <c r="CW127" i="14"/>
  <c r="DB127" i="14"/>
  <c r="DF127" i="14"/>
  <c r="DK127" i="14"/>
  <c r="EA127" i="14" s="1"/>
  <c r="DQ127" i="14"/>
  <c r="DR127" i="14"/>
  <c r="DS127" i="14"/>
  <c r="DT127" i="14"/>
  <c r="AB128" i="14"/>
  <c r="AY128" i="14"/>
  <c r="BO128" i="14"/>
  <c r="BM128" i="14" s="1"/>
  <c r="BR128" i="14"/>
  <c r="BW128" i="14"/>
  <c r="CW128" i="14"/>
  <c r="DB128" i="14"/>
  <c r="DF128" i="14"/>
  <c r="DK128" i="14"/>
  <c r="EA128" i="14" s="1"/>
  <c r="DQ128" i="14"/>
  <c r="DR128" i="14"/>
  <c r="DS128" i="14"/>
  <c r="DT128" i="14"/>
  <c r="AB129" i="14"/>
  <c r="AY129" i="14"/>
  <c r="BO129" i="14"/>
  <c r="BM129" i="14" s="1"/>
  <c r="BR129" i="14"/>
  <c r="BW129" i="14"/>
  <c r="CW129" i="14"/>
  <c r="DB129" i="14"/>
  <c r="DF129" i="14"/>
  <c r="DK129" i="14"/>
  <c r="DQ129" i="14"/>
  <c r="DR129" i="14"/>
  <c r="DS129" i="14"/>
  <c r="DT129" i="14"/>
  <c r="U130" i="14"/>
  <c r="AD130" i="14"/>
  <c r="AH130" i="14"/>
  <c r="AJ130" i="14"/>
  <c r="AK130" i="14"/>
  <c r="AL130" i="14"/>
  <c r="AM130" i="14"/>
  <c r="AO130" i="14"/>
  <c r="AP130" i="14"/>
  <c r="AQ130" i="14"/>
  <c r="AR130" i="14"/>
  <c r="AT130" i="14"/>
  <c r="AU130" i="14"/>
  <c r="AV130" i="14"/>
  <c r="AW130" i="14"/>
  <c r="AZ130" i="14"/>
  <c r="BG130" i="14" s="1"/>
  <c r="BF130" i="14" s="1"/>
  <c r="BD130" i="14"/>
  <c r="BK130" i="14" s="1"/>
  <c r="BE130" i="14"/>
  <c r="BN130" i="14"/>
  <c r="BP130" i="14"/>
  <c r="BQ130" i="14"/>
  <c r="BS130" i="14"/>
  <c r="BT130" i="14"/>
  <c r="BU130" i="14"/>
  <c r="BV130" i="14"/>
  <c r="BX130" i="14"/>
  <c r="CY130" i="14" s="1"/>
  <c r="CB130" i="14"/>
  <c r="DA130" i="14" s="1"/>
  <c r="CC130" i="14"/>
  <c r="CQ130" i="14"/>
  <c r="DG130" i="14"/>
  <c r="DH130" i="14"/>
  <c r="DI130" i="14"/>
  <c r="DJ130" i="14"/>
  <c r="DL130" i="14"/>
  <c r="DM130" i="14"/>
  <c r="DN130" i="14"/>
  <c r="DO130" i="14"/>
  <c r="DU130" i="14"/>
  <c r="DV130" i="14"/>
  <c r="DW130" i="14"/>
  <c r="AB131" i="14"/>
  <c r="AI131" i="14"/>
  <c r="AN131" i="14"/>
  <c r="AS131" i="14"/>
  <c r="AY131" i="14"/>
  <c r="BM131" i="14"/>
  <c r="BR131" i="14"/>
  <c r="BW131" i="14"/>
  <c r="CW131" i="14"/>
  <c r="DB131" i="14"/>
  <c r="DF131" i="14"/>
  <c r="DK131" i="14"/>
  <c r="DQ131" i="14"/>
  <c r="DR131" i="14"/>
  <c r="DS131" i="14"/>
  <c r="DT131" i="14"/>
  <c r="AB132" i="14"/>
  <c r="AI132" i="14"/>
  <c r="AN132" i="14"/>
  <c r="AS132" i="14"/>
  <c r="AY132" i="14"/>
  <c r="BM132" i="14"/>
  <c r="BR132" i="14"/>
  <c r="BW132" i="14"/>
  <c r="CW132" i="14"/>
  <c r="DB132" i="14"/>
  <c r="DF132" i="14"/>
  <c r="DK132" i="14"/>
  <c r="DQ132" i="14"/>
  <c r="DR132" i="14"/>
  <c r="DS132" i="14"/>
  <c r="DT132" i="14"/>
  <c r="AB133" i="14"/>
  <c r="AI133" i="14"/>
  <c r="AN133" i="14"/>
  <c r="AS133" i="14"/>
  <c r="BM133" i="14"/>
  <c r="BR133" i="14"/>
  <c r="BW133" i="14"/>
  <c r="CW133" i="14"/>
  <c r="DB133" i="14"/>
  <c r="DF133" i="14"/>
  <c r="DK133" i="14"/>
  <c r="DQ133" i="14"/>
  <c r="DR133" i="14"/>
  <c r="DS133" i="14"/>
  <c r="DT133" i="14"/>
  <c r="AB134" i="14"/>
  <c r="AI134" i="14"/>
  <c r="AN134" i="14"/>
  <c r="AS134" i="14"/>
  <c r="AY134" i="14"/>
  <c r="BO134" i="14"/>
  <c r="BM134" i="14" s="1"/>
  <c r="BR134" i="14"/>
  <c r="BW134" i="14"/>
  <c r="CW134" i="14"/>
  <c r="DB134" i="14"/>
  <c r="DF134" i="14"/>
  <c r="DK134" i="14"/>
  <c r="EA134" i="14" s="1"/>
  <c r="DQ134" i="14"/>
  <c r="DR134" i="14"/>
  <c r="DS134" i="14"/>
  <c r="DT134" i="14"/>
  <c r="AB135" i="14"/>
  <c r="AI135" i="14"/>
  <c r="AN135" i="14"/>
  <c r="AS135" i="14"/>
  <c r="AY135" i="14"/>
  <c r="BM135" i="14"/>
  <c r="BR135" i="14"/>
  <c r="BW135" i="14"/>
  <c r="CW135" i="14"/>
  <c r="DB135" i="14"/>
  <c r="DF135" i="14"/>
  <c r="DK135" i="14"/>
  <c r="DQ135" i="14"/>
  <c r="DR135" i="14"/>
  <c r="DS135" i="14"/>
  <c r="DT135" i="14"/>
  <c r="AB136" i="14"/>
  <c r="AI136" i="14"/>
  <c r="AN136" i="14"/>
  <c r="AS136" i="14"/>
  <c r="AY136" i="14"/>
  <c r="BO136" i="14"/>
  <c r="BM136" i="14" s="1"/>
  <c r="BR136" i="14"/>
  <c r="BW136" i="14"/>
  <c r="CW136" i="14"/>
  <c r="DB136" i="14"/>
  <c r="DF136" i="14"/>
  <c r="DK136" i="14"/>
  <c r="EA136" i="14" s="1"/>
  <c r="DQ136" i="14"/>
  <c r="DR136" i="14"/>
  <c r="DS136" i="14"/>
  <c r="DT136" i="14"/>
  <c r="AB137" i="14"/>
  <c r="AI137" i="14"/>
  <c r="AN137" i="14"/>
  <c r="AS137" i="14"/>
  <c r="AY137" i="14"/>
  <c r="BO137" i="14"/>
  <c r="BR137" i="14"/>
  <c r="BW137" i="14"/>
  <c r="CW137" i="14"/>
  <c r="DB137" i="14"/>
  <c r="DF137" i="14"/>
  <c r="DK137" i="14"/>
  <c r="DQ137" i="14"/>
  <c r="DR137" i="14"/>
  <c r="DS137" i="14"/>
  <c r="DT137" i="14"/>
  <c r="AB138" i="14"/>
  <c r="AI138" i="14"/>
  <c r="AN138" i="14"/>
  <c r="AS138" i="14"/>
  <c r="BO138" i="14"/>
  <c r="BM138" i="14" s="1"/>
  <c r="BR138" i="14"/>
  <c r="BW138" i="14"/>
  <c r="GK138" i="14" s="1"/>
  <c r="CW138" i="14"/>
  <c r="DB138" i="14"/>
  <c r="DF138" i="14"/>
  <c r="DK138" i="14"/>
  <c r="DQ138" i="14"/>
  <c r="DR138" i="14"/>
  <c r="DS138" i="14"/>
  <c r="DT138" i="14"/>
  <c r="U139" i="14"/>
  <c r="AD139" i="14"/>
  <c r="AH139" i="14"/>
  <c r="AJ139" i="14"/>
  <c r="AK139" i="14"/>
  <c r="AL139" i="14"/>
  <c r="AM139" i="14"/>
  <c r="AO139" i="14"/>
  <c r="AP139" i="14"/>
  <c r="AQ139" i="14"/>
  <c r="AR139" i="14"/>
  <c r="AT139" i="14"/>
  <c r="AU139" i="14"/>
  <c r="AV139" i="14"/>
  <c r="AW139" i="14"/>
  <c r="AZ139" i="14"/>
  <c r="BG139" i="14" s="1"/>
  <c r="BF139" i="14" s="1"/>
  <c r="BD139" i="14"/>
  <c r="BK139" i="14" s="1"/>
  <c r="BE139" i="14"/>
  <c r="BN139" i="14"/>
  <c r="BP139" i="14"/>
  <c r="BQ139" i="14"/>
  <c r="BS139" i="14"/>
  <c r="BT139" i="14"/>
  <c r="BU139" i="14"/>
  <c r="BV139" i="14"/>
  <c r="BX139" i="14"/>
  <c r="CY139" i="14" s="1"/>
  <c r="CB139" i="14"/>
  <c r="DA139" i="14" s="1"/>
  <c r="CC139" i="14"/>
  <c r="CQ139" i="14"/>
  <c r="DG139" i="14"/>
  <c r="DH139" i="14"/>
  <c r="DI139" i="14"/>
  <c r="DJ139" i="14"/>
  <c r="DL139" i="14"/>
  <c r="DM139" i="14"/>
  <c r="DN139" i="14"/>
  <c r="DO139" i="14"/>
  <c r="DU139" i="14"/>
  <c r="DV139" i="14"/>
  <c r="DW139" i="14"/>
  <c r="AB140" i="14"/>
  <c r="BM140" i="14"/>
  <c r="DD140" i="14" s="1"/>
  <c r="DE140" i="14" s="1"/>
  <c r="BR140" i="14"/>
  <c r="BW140" i="14"/>
  <c r="CW140" i="14"/>
  <c r="DB140" i="14"/>
  <c r="DF140" i="14"/>
  <c r="DK140" i="14"/>
  <c r="DQ140" i="14"/>
  <c r="DR140" i="14"/>
  <c r="DS140" i="14"/>
  <c r="DT140" i="14"/>
  <c r="AB141" i="14"/>
  <c r="AY141" i="14"/>
  <c r="BM141" i="14"/>
  <c r="BR141" i="14"/>
  <c r="BW141" i="14"/>
  <c r="CW141" i="14"/>
  <c r="DB141" i="14"/>
  <c r="DF141" i="14"/>
  <c r="DK141" i="14"/>
  <c r="DQ141" i="14"/>
  <c r="DR141" i="14"/>
  <c r="DS141" i="14"/>
  <c r="DT141" i="14"/>
  <c r="AB142" i="14"/>
  <c r="AY142" i="14"/>
  <c r="BO142" i="14"/>
  <c r="BM142" i="14" s="1"/>
  <c r="BR142" i="14"/>
  <c r="BW142" i="14"/>
  <c r="GK142" i="14" s="1"/>
  <c r="CW142" i="14"/>
  <c r="DB142" i="14"/>
  <c r="DF142" i="14"/>
  <c r="DK142" i="14"/>
  <c r="DQ142" i="14"/>
  <c r="DR142" i="14"/>
  <c r="DS142" i="14"/>
  <c r="DT142" i="14"/>
  <c r="AB143" i="14"/>
  <c r="AY143" i="14"/>
  <c r="BO143" i="14"/>
  <c r="BM143" i="14" s="1"/>
  <c r="BR143" i="14"/>
  <c r="BW143" i="14"/>
  <c r="CW143" i="14"/>
  <c r="DB143" i="14"/>
  <c r="DF143" i="14"/>
  <c r="DK143" i="14"/>
  <c r="DQ143" i="14"/>
  <c r="DR143" i="14"/>
  <c r="DS143" i="14"/>
  <c r="DT143" i="14"/>
  <c r="AB144" i="14"/>
  <c r="AY144" i="14"/>
  <c r="BM144" i="14"/>
  <c r="BR144" i="14"/>
  <c r="BW144" i="14"/>
  <c r="GK144" i="14" s="1"/>
  <c r="CW144" i="14"/>
  <c r="DB144" i="14"/>
  <c r="DF144" i="14"/>
  <c r="DK144" i="14"/>
  <c r="EA144" i="14" s="1"/>
  <c r="DQ144" i="14"/>
  <c r="DR144" i="14"/>
  <c r="DS144" i="14"/>
  <c r="DT144" i="14"/>
  <c r="AB145" i="14"/>
  <c r="AY145" i="14"/>
  <c r="BO145" i="14"/>
  <c r="BM145" i="14" s="1"/>
  <c r="BR145" i="14"/>
  <c r="BW145" i="14"/>
  <c r="CW145" i="14"/>
  <c r="DB145" i="14"/>
  <c r="DF145" i="14"/>
  <c r="DK145" i="14"/>
  <c r="EA145" i="14" s="1"/>
  <c r="DQ145" i="14"/>
  <c r="DR145" i="14"/>
  <c r="DS145" i="14"/>
  <c r="DT145" i="14"/>
  <c r="AB146" i="14"/>
  <c r="AY146" i="14"/>
  <c r="BO146" i="14"/>
  <c r="BM146" i="14" s="1"/>
  <c r="BR146" i="14"/>
  <c r="BW146" i="14"/>
  <c r="GK146" i="14" s="1"/>
  <c r="CW146" i="14"/>
  <c r="DB146" i="14"/>
  <c r="DF146" i="14"/>
  <c r="DK146" i="14"/>
  <c r="DQ146" i="14"/>
  <c r="DR146" i="14"/>
  <c r="DS146" i="14"/>
  <c r="DT146" i="14"/>
  <c r="AB147" i="14"/>
  <c r="AY147" i="14"/>
  <c r="BM147" i="14"/>
  <c r="BR147" i="14"/>
  <c r="BW147" i="14"/>
  <c r="CW147" i="14"/>
  <c r="DB147" i="14"/>
  <c r="DF147" i="14"/>
  <c r="DK147" i="14"/>
  <c r="EA147" i="14" s="1"/>
  <c r="DQ147" i="14"/>
  <c r="DR147" i="14"/>
  <c r="DS147" i="14"/>
  <c r="DT147" i="14"/>
  <c r="AB148" i="14"/>
  <c r="BM148" i="14"/>
  <c r="BR148" i="14"/>
  <c r="BW148" i="14"/>
  <c r="CW148" i="14"/>
  <c r="DB148" i="14"/>
  <c r="DF148" i="14"/>
  <c r="DK148" i="14"/>
  <c r="DQ148" i="14"/>
  <c r="DR148" i="14"/>
  <c r="DS148" i="14"/>
  <c r="DT148" i="14"/>
  <c r="AB149" i="14"/>
  <c r="AY149" i="14"/>
  <c r="BM149" i="14"/>
  <c r="BR149" i="14"/>
  <c r="BW149" i="14"/>
  <c r="CW149" i="14"/>
  <c r="DB149" i="14"/>
  <c r="DF149" i="14"/>
  <c r="DK149" i="14"/>
  <c r="DQ149" i="14"/>
  <c r="DR149" i="14"/>
  <c r="DS149" i="14"/>
  <c r="DT149" i="14"/>
  <c r="AB150" i="14"/>
  <c r="AY150" i="14"/>
  <c r="BO150" i="14"/>
  <c r="BM150" i="14" s="1"/>
  <c r="BR150" i="14"/>
  <c r="BW150" i="14"/>
  <c r="CW150" i="14"/>
  <c r="DB150" i="14"/>
  <c r="DF150" i="14"/>
  <c r="DK150" i="14"/>
  <c r="DQ150" i="14"/>
  <c r="DR150" i="14"/>
  <c r="DS150" i="14"/>
  <c r="DT150" i="14"/>
  <c r="AY151" i="14"/>
  <c r="BM151" i="14"/>
  <c r="BR151" i="14"/>
  <c r="BW151" i="14"/>
  <c r="CW151" i="14"/>
  <c r="DB151" i="14"/>
  <c r="DF151" i="14"/>
  <c r="DK151" i="14"/>
  <c r="DQ151" i="14"/>
  <c r="DR151" i="14"/>
  <c r="DS151" i="14"/>
  <c r="DT151" i="14"/>
  <c r="AB152" i="14"/>
  <c r="AY152" i="14"/>
  <c r="BM152" i="14"/>
  <c r="BR152" i="14"/>
  <c r="BW152" i="14"/>
  <c r="GK152" i="14" s="1"/>
  <c r="CW152" i="14"/>
  <c r="DB152" i="14"/>
  <c r="DF152" i="14"/>
  <c r="DK152" i="14"/>
  <c r="DQ152" i="14"/>
  <c r="DR152" i="14"/>
  <c r="DS152" i="14"/>
  <c r="DT152" i="14"/>
  <c r="U153" i="14"/>
  <c r="AD153" i="14"/>
  <c r="AH153" i="14"/>
  <c r="AJ153" i="14"/>
  <c r="AK153" i="14"/>
  <c r="AL153" i="14"/>
  <c r="AM153" i="14"/>
  <c r="AO153" i="14"/>
  <c r="AP153" i="14"/>
  <c r="AQ153" i="14"/>
  <c r="AR153" i="14"/>
  <c r="AT153" i="14"/>
  <c r="AU153" i="14"/>
  <c r="AV153" i="14"/>
  <c r="AW153" i="14"/>
  <c r="AZ153" i="14"/>
  <c r="BG153" i="14" s="1"/>
  <c r="BF153" i="14" s="1"/>
  <c r="BD153" i="14"/>
  <c r="BK153" i="14" s="1"/>
  <c r="BE153" i="14"/>
  <c r="BN153" i="14"/>
  <c r="BP153" i="14"/>
  <c r="BQ153" i="14"/>
  <c r="BS153" i="14"/>
  <c r="BT153" i="14"/>
  <c r="BU153" i="14"/>
  <c r="BV153" i="14"/>
  <c r="BX153" i="14"/>
  <c r="CY153" i="14" s="1"/>
  <c r="CB153" i="14"/>
  <c r="DA153" i="14" s="1"/>
  <c r="CC153" i="14"/>
  <c r="CQ153" i="14"/>
  <c r="DG153" i="14"/>
  <c r="DH153" i="14"/>
  <c r="DI153" i="14"/>
  <c r="DJ153" i="14"/>
  <c r="DL153" i="14"/>
  <c r="DM153" i="14"/>
  <c r="DN153" i="14"/>
  <c r="DO153" i="14"/>
  <c r="DU153" i="14"/>
  <c r="DV153" i="14"/>
  <c r="AB154" i="14"/>
  <c r="AI154" i="14"/>
  <c r="AN154" i="14"/>
  <c r="AS154" i="14"/>
  <c r="AY154" i="14"/>
  <c r="BM154" i="14"/>
  <c r="BR154" i="14"/>
  <c r="BW154" i="14"/>
  <c r="CW154" i="14"/>
  <c r="DB154" i="14"/>
  <c r="DF154" i="14"/>
  <c r="DK154" i="14"/>
  <c r="EA154" i="14" s="1"/>
  <c r="DQ154" i="14"/>
  <c r="DR154" i="14"/>
  <c r="DS154" i="14"/>
  <c r="DT154" i="14"/>
  <c r="DW154" i="14"/>
  <c r="DW153" i="14" s="1"/>
  <c r="AB155" i="14"/>
  <c r="AI155" i="14"/>
  <c r="AN155" i="14"/>
  <c r="AS155" i="14"/>
  <c r="AY155" i="14"/>
  <c r="BM155" i="14"/>
  <c r="BR155" i="14"/>
  <c r="BW155" i="14"/>
  <c r="CW155" i="14"/>
  <c r="DB155" i="14"/>
  <c r="DF155" i="14"/>
  <c r="DK155" i="14"/>
  <c r="DQ155" i="14"/>
  <c r="DR155" i="14"/>
  <c r="DS155" i="14"/>
  <c r="DT155" i="14"/>
  <c r="AB156" i="14"/>
  <c r="AI156" i="14"/>
  <c r="AN156" i="14"/>
  <c r="AS156" i="14"/>
  <c r="BM156" i="14"/>
  <c r="BR156" i="14"/>
  <c r="CW156" i="14"/>
  <c r="DB156" i="14"/>
  <c r="DF156" i="14"/>
  <c r="DK156" i="14"/>
  <c r="DQ156" i="14"/>
  <c r="DR156" i="14"/>
  <c r="DS156" i="14"/>
  <c r="DT156" i="14"/>
  <c r="AB157" i="14"/>
  <c r="AI157" i="14"/>
  <c r="AN157" i="14"/>
  <c r="AS157" i="14"/>
  <c r="AY157" i="14"/>
  <c r="BO157" i="14"/>
  <c r="BR157" i="14"/>
  <c r="BW157" i="14"/>
  <c r="CW157" i="14"/>
  <c r="DB157" i="14"/>
  <c r="DF157" i="14"/>
  <c r="DK157" i="14"/>
  <c r="DQ157" i="14"/>
  <c r="DR157" i="14"/>
  <c r="DS157" i="14"/>
  <c r="DT157" i="14"/>
  <c r="AB158" i="14"/>
  <c r="AI158" i="14"/>
  <c r="AN158" i="14"/>
  <c r="AS158" i="14"/>
  <c r="AY158" i="14"/>
  <c r="BO158" i="14"/>
  <c r="BM158" i="14" s="1"/>
  <c r="BR158" i="14"/>
  <c r="BW158" i="14"/>
  <c r="GK158" i="14" s="1"/>
  <c r="CW158" i="14"/>
  <c r="DB158" i="14"/>
  <c r="DF158" i="14"/>
  <c r="DK158" i="14"/>
  <c r="DQ158" i="14"/>
  <c r="DR158" i="14"/>
  <c r="DS158" i="14"/>
  <c r="DT158" i="14"/>
  <c r="AB159" i="14"/>
  <c r="AI159" i="14"/>
  <c r="AN159" i="14"/>
  <c r="AS159" i="14"/>
  <c r="BO159" i="14"/>
  <c r="BM159" i="14" s="1"/>
  <c r="BR159" i="14"/>
  <c r="BW159" i="14"/>
  <c r="CW159" i="14"/>
  <c r="DB159" i="14"/>
  <c r="DF159" i="14"/>
  <c r="DK159" i="14"/>
  <c r="DQ159" i="14"/>
  <c r="DR159" i="14"/>
  <c r="DS159" i="14"/>
  <c r="DT159" i="14"/>
  <c r="AB160" i="14"/>
  <c r="AI160" i="14"/>
  <c r="AN160" i="14"/>
  <c r="AS160" i="14"/>
  <c r="BM160" i="14"/>
  <c r="BR160" i="14"/>
  <c r="CW160" i="14"/>
  <c r="DB160" i="14"/>
  <c r="DF160" i="14"/>
  <c r="DK160" i="14"/>
  <c r="DQ160" i="14"/>
  <c r="DR160" i="14"/>
  <c r="DS160" i="14"/>
  <c r="DT160" i="14"/>
  <c r="U161" i="14"/>
  <c r="AD161" i="14"/>
  <c r="AH161" i="14"/>
  <c r="AJ161" i="14"/>
  <c r="AK161" i="14"/>
  <c r="AL161" i="14"/>
  <c r="AM161" i="14"/>
  <c r="AO161" i="14"/>
  <c r="AP161" i="14"/>
  <c r="AQ161" i="14"/>
  <c r="AR161" i="14"/>
  <c r="AT161" i="14"/>
  <c r="AU161" i="14"/>
  <c r="AV161" i="14"/>
  <c r="AW161" i="14"/>
  <c r="AZ161" i="14"/>
  <c r="BG161" i="14" s="1"/>
  <c r="BD161" i="14"/>
  <c r="BK161" i="14" s="1"/>
  <c r="BE161" i="14"/>
  <c r="BN161" i="14"/>
  <c r="BQ161" i="14"/>
  <c r="BS161" i="14"/>
  <c r="BT161" i="14"/>
  <c r="BU161" i="14"/>
  <c r="BV161" i="14"/>
  <c r="BX161" i="14"/>
  <c r="CY161" i="14" s="1"/>
  <c r="CB161" i="14"/>
  <c r="DA161" i="14" s="1"/>
  <c r="CC161" i="14"/>
  <c r="CQ161" i="14"/>
  <c r="DG161" i="14"/>
  <c r="DH161" i="14"/>
  <c r="DI161" i="14"/>
  <c r="DJ161" i="14"/>
  <c r="DL161" i="14"/>
  <c r="DM161" i="14"/>
  <c r="DN161" i="14"/>
  <c r="DO161" i="14"/>
  <c r="DU161" i="14"/>
  <c r="DV161" i="14"/>
  <c r="DW161" i="14"/>
  <c r="AB162" i="14"/>
  <c r="AI162" i="14"/>
  <c r="AN162" i="14"/>
  <c r="AS162" i="14"/>
  <c r="AY162" i="14"/>
  <c r="BO162" i="14"/>
  <c r="BM162" i="14" s="1"/>
  <c r="BR162" i="14"/>
  <c r="BW162" i="14"/>
  <c r="CW162" i="14"/>
  <c r="DB162" i="14"/>
  <c r="DF162" i="14"/>
  <c r="DK162" i="14"/>
  <c r="DQ162" i="14"/>
  <c r="DR162" i="14"/>
  <c r="DS162" i="14"/>
  <c r="DT162" i="14"/>
  <c r="AB163" i="14"/>
  <c r="AI163" i="14"/>
  <c r="AN163" i="14"/>
  <c r="AS163" i="14"/>
  <c r="AY163" i="14"/>
  <c r="BM163" i="14"/>
  <c r="BR163" i="14"/>
  <c r="BW163" i="14"/>
  <c r="CW163" i="14"/>
  <c r="DB163" i="14"/>
  <c r="DF163" i="14"/>
  <c r="DK163" i="14"/>
  <c r="DQ163" i="14"/>
  <c r="DR163" i="14"/>
  <c r="DS163" i="14"/>
  <c r="DT163" i="14"/>
  <c r="AB164" i="14"/>
  <c r="AI164" i="14"/>
  <c r="AN164" i="14"/>
  <c r="AS164" i="14"/>
  <c r="AY164" i="14"/>
  <c r="BM164" i="14"/>
  <c r="BR164" i="14"/>
  <c r="BW164" i="14"/>
  <c r="CW164" i="14"/>
  <c r="DB164" i="14"/>
  <c r="DF164" i="14"/>
  <c r="DK164" i="14"/>
  <c r="DQ164" i="14"/>
  <c r="DR164" i="14"/>
  <c r="DS164" i="14"/>
  <c r="DT164" i="14"/>
  <c r="AB165" i="14"/>
  <c r="AI165" i="14"/>
  <c r="AN165" i="14"/>
  <c r="AS165" i="14"/>
  <c r="AY165" i="14"/>
  <c r="BM165" i="14"/>
  <c r="BR165" i="14"/>
  <c r="BW165" i="14"/>
  <c r="CW165" i="14"/>
  <c r="DB165" i="14"/>
  <c r="DF165" i="14"/>
  <c r="DK165" i="14"/>
  <c r="EA165" i="14" s="1"/>
  <c r="DQ165" i="14"/>
  <c r="DR165" i="14"/>
  <c r="DS165" i="14"/>
  <c r="DT165" i="14"/>
  <c r="AB166" i="14"/>
  <c r="AI166" i="14"/>
  <c r="AN166" i="14"/>
  <c r="AS166" i="14"/>
  <c r="AY166" i="14"/>
  <c r="BM166" i="14"/>
  <c r="BR166" i="14"/>
  <c r="BW166" i="14"/>
  <c r="GK166" i="14" s="1"/>
  <c r="CW166" i="14"/>
  <c r="DB166" i="14"/>
  <c r="DF166" i="14"/>
  <c r="DK166" i="14"/>
  <c r="DQ166" i="14"/>
  <c r="DR166" i="14"/>
  <c r="DS166" i="14"/>
  <c r="DT166" i="14"/>
  <c r="AB167" i="14"/>
  <c r="AI167" i="14"/>
  <c r="AN167" i="14"/>
  <c r="AS167" i="14"/>
  <c r="AY167" i="14"/>
  <c r="BO167" i="14"/>
  <c r="BR167" i="14"/>
  <c r="BW167" i="14"/>
  <c r="CW167" i="14"/>
  <c r="DB167" i="14"/>
  <c r="DF167" i="14"/>
  <c r="DK167" i="14"/>
  <c r="DQ167" i="14"/>
  <c r="DR167" i="14"/>
  <c r="DS167" i="14"/>
  <c r="DT167" i="14"/>
  <c r="AB168" i="14"/>
  <c r="AI168" i="14"/>
  <c r="AN168" i="14"/>
  <c r="AS168" i="14"/>
  <c r="AY168" i="14"/>
  <c r="BM168" i="14"/>
  <c r="BR168" i="14"/>
  <c r="BW168" i="14"/>
  <c r="CW168" i="14"/>
  <c r="DB168" i="14"/>
  <c r="DF168" i="14"/>
  <c r="DK168" i="14"/>
  <c r="EA168" i="14" s="1"/>
  <c r="DQ168" i="14"/>
  <c r="DR168" i="14"/>
  <c r="DS168" i="14"/>
  <c r="DT168" i="14"/>
  <c r="AB169" i="14"/>
  <c r="AI169" i="14"/>
  <c r="AN169" i="14"/>
  <c r="AS169" i="14"/>
  <c r="AY169" i="14"/>
  <c r="BM169" i="14"/>
  <c r="BR169" i="14"/>
  <c r="BW169" i="14"/>
  <c r="CW169" i="14"/>
  <c r="DB169" i="14"/>
  <c r="DF169" i="14"/>
  <c r="DK169" i="14"/>
  <c r="EA169" i="14" s="1"/>
  <c r="DQ169" i="14"/>
  <c r="DR169" i="14"/>
  <c r="DS169" i="14"/>
  <c r="DT169" i="14"/>
  <c r="AB170" i="14"/>
  <c r="AI170" i="14"/>
  <c r="AN170" i="14"/>
  <c r="AS170" i="14"/>
  <c r="AY170" i="14"/>
  <c r="BO170" i="14"/>
  <c r="BM170" i="14" s="1"/>
  <c r="BR170" i="14"/>
  <c r="BW170" i="14"/>
  <c r="CW170" i="14"/>
  <c r="DB170" i="14"/>
  <c r="DF170" i="14"/>
  <c r="DK170" i="14"/>
  <c r="DQ170" i="14"/>
  <c r="DR170" i="14"/>
  <c r="DS170" i="14"/>
  <c r="DT170" i="14"/>
  <c r="AB171" i="14"/>
  <c r="AI171" i="14"/>
  <c r="AN171" i="14"/>
  <c r="AS171" i="14"/>
  <c r="AY171" i="14"/>
  <c r="BP171" i="14"/>
  <c r="BM171" i="14" s="1"/>
  <c r="BR171" i="14"/>
  <c r="BW171" i="14"/>
  <c r="CW171" i="14"/>
  <c r="DB171" i="14"/>
  <c r="DF171" i="14"/>
  <c r="DK171" i="14"/>
  <c r="DQ171" i="14"/>
  <c r="DR171" i="14"/>
  <c r="DS171" i="14"/>
  <c r="DT171" i="14"/>
  <c r="AB172" i="14"/>
  <c r="AI172" i="14"/>
  <c r="AN172" i="14"/>
  <c r="AS172" i="14"/>
  <c r="AY172" i="14"/>
  <c r="BO172" i="14"/>
  <c r="BM172" i="14" s="1"/>
  <c r="BR172" i="14"/>
  <c r="BW172" i="14"/>
  <c r="CW172" i="14"/>
  <c r="DB172" i="14"/>
  <c r="DF172" i="14"/>
  <c r="DK172" i="14"/>
  <c r="DQ172" i="14"/>
  <c r="DR172" i="14"/>
  <c r="DS172" i="14"/>
  <c r="DT172" i="14"/>
  <c r="AB173" i="14"/>
  <c r="AI173" i="14"/>
  <c r="AN173" i="14"/>
  <c r="AS173" i="14"/>
  <c r="AY173" i="14"/>
  <c r="BO173" i="14"/>
  <c r="BM173" i="14" s="1"/>
  <c r="BR173" i="14"/>
  <c r="BW173" i="14"/>
  <c r="CW173" i="14"/>
  <c r="DB173" i="14"/>
  <c r="DF173" i="14"/>
  <c r="DK173" i="14"/>
  <c r="DQ173" i="14"/>
  <c r="DR173" i="14"/>
  <c r="DS173" i="14"/>
  <c r="DT173" i="14"/>
  <c r="AB174" i="14"/>
  <c r="AI174" i="14"/>
  <c r="AN174" i="14"/>
  <c r="AS174" i="14"/>
  <c r="AY174" i="14"/>
  <c r="BM174" i="14"/>
  <c r="BR174" i="14"/>
  <c r="BW174" i="14"/>
  <c r="CW174" i="14"/>
  <c r="DB174" i="14"/>
  <c r="DF174" i="14"/>
  <c r="DK174" i="14"/>
  <c r="DQ174" i="14"/>
  <c r="DR174" i="14"/>
  <c r="DS174" i="14"/>
  <c r="DT174" i="14"/>
  <c r="AB175" i="14"/>
  <c r="AI175" i="14"/>
  <c r="AN175" i="14"/>
  <c r="AS175" i="14"/>
  <c r="AY175" i="14"/>
  <c r="BO175" i="14"/>
  <c r="BM175" i="14" s="1"/>
  <c r="BR175" i="14"/>
  <c r="BW175" i="14"/>
  <c r="CW175" i="14"/>
  <c r="DB175" i="14"/>
  <c r="DF175" i="14"/>
  <c r="DK175" i="14"/>
  <c r="DQ175" i="14"/>
  <c r="DR175" i="14"/>
  <c r="DS175" i="14"/>
  <c r="DT175" i="14"/>
  <c r="AB176" i="14"/>
  <c r="AI176" i="14"/>
  <c r="AN176" i="14"/>
  <c r="AS176" i="14"/>
  <c r="AY176" i="14"/>
  <c r="BM176" i="14"/>
  <c r="BR176" i="14"/>
  <c r="BW176" i="14"/>
  <c r="CW176" i="14"/>
  <c r="DB176" i="14"/>
  <c r="DF176" i="14"/>
  <c r="DK176" i="14"/>
  <c r="DQ176" i="14"/>
  <c r="DR176" i="14"/>
  <c r="DS176" i="14"/>
  <c r="DT176" i="14"/>
  <c r="AB177" i="14"/>
  <c r="AI177" i="14"/>
  <c r="AN177" i="14"/>
  <c r="AS177" i="14"/>
  <c r="AY177" i="14"/>
  <c r="BO177" i="14"/>
  <c r="BM177" i="14" s="1"/>
  <c r="BR177" i="14"/>
  <c r="BW177" i="14"/>
  <c r="CW177" i="14"/>
  <c r="DB177" i="14"/>
  <c r="DF177" i="14"/>
  <c r="DK177" i="14"/>
  <c r="EA177" i="14" s="1"/>
  <c r="DQ177" i="14"/>
  <c r="DR177" i="14"/>
  <c r="DS177" i="14"/>
  <c r="DT177" i="14"/>
  <c r="AB178" i="14"/>
  <c r="AI178" i="14"/>
  <c r="AN178" i="14"/>
  <c r="AS178" i="14"/>
  <c r="AY178" i="14"/>
  <c r="BO178" i="14"/>
  <c r="BM178" i="14" s="1"/>
  <c r="BR178" i="14"/>
  <c r="BW178" i="14"/>
  <c r="CW178" i="14"/>
  <c r="DB178" i="14"/>
  <c r="DF178" i="14"/>
  <c r="DK178" i="14"/>
  <c r="EA178" i="14" s="1"/>
  <c r="DQ178" i="14"/>
  <c r="DR178" i="14"/>
  <c r="DS178" i="14"/>
  <c r="DT178" i="14"/>
  <c r="U179" i="14"/>
  <c r="AD179" i="14"/>
  <c r="AH179" i="14"/>
  <c r="AJ179" i="14"/>
  <c r="AK179" i="14"/>
  <c r="AL179" i="14"/>
  <c r="AM179" i="14"/>
  <c r="AO179" i="14"/>
  <c r="AP179" i="14"/>
  <c r="AQ179" i="14"/>
  <c r="AR179" i="14"/>
  <c r="AT179" i="14"/>
  <c r="AU179" i="14"/>
  <c r="AV179" i="14"/>
  <c r="AW179" i="14"/>
  <c r="AZ179" i="14"/>
  <c r="BG179" i="14" s="1"/>
  <c r="BE179" i="14"/>
  <c r="BN179" i="14"/>
  <c r="BQ179" i="14"/>
  <c r="BS179" i="14"/>
  <c r="BT179" i="14"/>
  <c r="BU179" i="14"/>
  <c r="BV179" i="14"/>
  <c r="BX179" i="14"/>
  <c r="CY179" i="14" s="1"/>
  <c r="CB179" i="14"/>
  <c r="DA179" i="14" s="1"/>
  <c r="CC179" i="14"/>
  <c r="CQ179" i="14"/>
  <c r="DG179" i="14"/>
  <c r="DH179" i="14"/>
  <c r="DI179" i="14"/>
  <c r="DJ179" i="14"/>
  <c r="DL179" i="14"/>
  <c r="DM179" i="14"/>
  <c r="DN179" i="14"/>
  <c r="DO179" i="14"/>
  <c r="DU179" i="14"/>
  <c r="DV179" i="14"/>
  <c r="AB180" i="14"/>
  <c r="AY180" i="14"/>
  <c r="BM180" i="14"/>
  <c r="DD180" i="14" s="1"/>
  <c r="DE180" i="14" s="1"/>
  <c r="BR180" i="14"/>
  <c r="BW180" i="14"/>
  <c r="CW180" i="14"/>
  <c r="DB180" i="14"/>
  <c r="DF180" i="14"/>
  <c r="DK180" i="14"/>
  <c r="DQ180" i="14"/>
  <c r="DR180" i="14"/>
  <c r="DS180" i="14"/>
  <c r="DT180" i="14"/>
  <c r="DW180" i="14"/>
  <c r="AB181" i="14"/>
  <c r="AY181" i="14"/>
  <c r="BM181" i="14"/>
  <c r="BR181" i="14"/>
  <c r="BW181" i="14"/>
  <c r="CW181" i="14"/>
  <c r="DB181" i="14"/>
  <c r="DF181" i="14"/>
  <c r="DK181" i="14"/>
  <c r="DQ181" i="14"/>
  <c r="DR181" i="14"/>
  <c r="DS181" i="14"/>
  <c r="DT181" i="14"/>
  <c r="AB182" i="14"/>
  <c r="AY182" i="14"/>
  <c r="BM182" i="14"/>
  <c r="BR182" i="14"/>
  <c r="BW182" i="14"/>
  <c r="CW182" i="14"/>
  <c r="DB182" i="14"/>
  <c r="DF182" i="14"/>
  <c r="DK182" i="14"/>
  <c r="EA182" i="14" s="1"/>
  <c r="DQ182" i="14"/>
  <c r="DR182" i="14"/>
  <c r="DS182" i="14"/>
  <c r="DT182" i="14"/>
  <c r="AB183" i="14"/>
  <c r="AY183" i="14"/>
  <c r="BM183" i="14"/>
  <c r="BR183" i="14"/>
  <c r="BW183" i="14"/>
  <c r="CW183" i="14"/>
  <c r="DB183" i="14"/>
  <c r="DF183" i="14"/>
  <c r="DK183" i="14"/>
  <c r="DQ183" i="14"/>
  <c r="DR183" i="14"/>
  <c r="DS183" i="14"/>
  <c r="DT183" i="14"/>
  <c r="AB184" i="14"/>
  <c r="AY184" i="14"/>
  <c r="BO184" i="14"/>
  <c r="BM184" i="14" s="1"/>
  <c r="BR184" i="14"/>
  <c r="CW184" i="14"/>
  <c r="DB184" i="14"/>
  <c r="DF184" i="14"/>
  <c r="DK184" i="14"/>
  <c r="DQ184" i="14"/>
  <c r="DR184" i="14"/>
  <c r="DS184" i="14"/>
  <c r="DT184" i="14"/>
  <c r="AB185" i="14"/>
  <c r="AY185" i="14"/>
  <c r="BO185" i="14"/>
  <c r="BR185" i="14"/>
  <c r="CW185" i="14"/>
  <c r="DB185" i="14"/>
  <c r="DF185" i="14"/>
  <c r="DK185" i="14"/>
  <c r="DQ185" i="14"/>
  <c r="DR185" i="14"/>
  <c r="DS185" i="14"/>
  <c r="DT185" i="14"/>
  <c r="AB186" i="14"/>
  <c r="AY186" i="14"/>
  <c r="BO186" i="14"/>
  <c r="BP186" i="14"/>
  <c r="BP179" i="14" s="1"/>
  <c r="BR186" i="14"/>
  <c r="BW186" i="14"/>
  <c r="GK186" i="14" s="1"/>
  <c r="CW186" i="14"/>
  <c r="DB186" i="14"/>
  <c r="DF186" i="14"/>
  <c r="DK186" i="14"/>
  <c r="DQ186" i="14"/>
  <c r="DR186" i="14"/>
  <c r="DS186" i="14"/>
  <c r="DT186" i="14"/>
  <c r="DW186" i="14"/>
  <c r="AB187" i="14"/>
  <c r="AY187" i="14"/>
  <c r="BM187" i="14"/>
  <c r="BR187" i="14"/>
  <c r="BW187" i="14"/>
  <c r="CW187" i="14"/>
  <c r="DB187" i="14"/>
  <c r="DF187" i="14"/>
  <c r="DK187" i="14"/>
  <c r="EA187" i="14" s="1"/>
  <c r="DQ187" i="14"/>
  <c r="DR187" i="14"/>
  <c r="DS187" i="14"/>
  <c r="DT187" i="14"/>
  <c r="AB188" i="14"/>
  <c r="AY188" i="14"/>
  <c r="BM188" i="14"/>
  <c r="BR188" i="14"/>
  <c r="BW188" i="14"/>
  <c r="CW188" i="14"/>
  <c r="DB188" i="14"/>
  <c r="DF188" i="14"/>
  <c r="DK188" i="14"/>
  <c r="EA188" i="14" s="1"/>
  <c r="DQ188" i="14"/>
  <c r="DR188" i="14"/>
  <c r="DS188" i="14"/>
  <c r="DT188" i="14"/>
  <c r="AB189" i="14"/>
  <c r="BO189" i="14"/>
  <c r="BM189" i="14" s="1"/>
  <c r="BR189" i="14"/>
  <c r="BW189" i="14"/>
  <c r="CW189" i="14"/>
  <c r="DB189" i="14"/>
  <c r="DF189" i="14"/>
  <c r="DK189" i="14"/>
  <c r="DQ189" i="14"/>
  <c r="DR189" i="14"/>
  <c r="DS189" i="14"/>
  <c r="DT189" i="14"/>
  <c r="AB190" i="14"/>
  <c r="BM190" i="14"/>
  <c r="BR190" i="14"/>
  <c r="BW190" i="14"/>
  <c r="CW190" i="14"/>
  <c r="DB190" i="14"/>
  <c r="DF190" i="14"/>
  <c r="DK190" i="14"/>
  <c r="DQ190" i="14"/>
  <c r="DR190" i="14"/>
  <c r="DS190" i="14"/>
  <c r="DT190" i="14"/>
  <c r="AB191" i="14"/>
  <c r="AY191" i="14"/>
  <c r="BO191" i="14"/>
  <c r="BM191" i="14" s="1"/>
  <c r="BR191" i="14"/>
  <c r="BW191" i="14"/>
  <c r="GK191" i="14" s="1"/>
  <c r="CW191" i="14"/>
  <c r="DB191" i="14"/>
  <c r="DF191" i="14"/>
  <c r="DK191" i="14"/>
  <c r="EA191" i="14" s="1"/>
  <c r="DQ191" i="14"/>
  <c r="DR191" i="14"/>
  <c r="DS191" i="14"/>
  <c r="DT191" i="14"/>
  <c r="AB192" i="14"/>
  <c r="AY192" i="14"/>
  <c r="BO192" i="14"/>
  <c r="BM192" i="14" s="1"/>
  <c r="BR192" i="14"/>
  <c r="BW192" i="14"/>
  <c r="CW192" i="14"/>
  <c r="DB192" i="14"/>
  <c r="DF192" i="14"/>
  <c r="DK192" i="14"/>
  <c r="DQ192" i="14"/>
  <c r="DR192" i="14"/>
  <c r="DS192" i="14"/>
  <c r="DT192" i="14"/>
  <c r="AB193" i="14"/>
  <c r="AY193" i="14"/>
  <c r="BM193" i="14"/>
  <c r="BR193" i="14"/>
  <c r="BW193" i="14"/>
  <c r="CW193" i="14"/>
  <c r="DB193" i="14"/>
  <c r="DF193" i="14"/>
  <c r="DK193" i="14"/>
  <c r="EA193" i="14" s="1"/>
  <c r="DQ193" i="14"/>
  <c r="DR193" i="14"/>
  <c r="DS193" i="14"/>
  <c r="DT193" i="14"/>
  <c r="AB194" i="14"/>
  <c r="AY194" i="14"/>
  <c r="BM194" i="14"/>
  <c r="BR194" i="14"/>
  <c r="CW194" i="14"/>
  <c r="DB194" i="14"/>
  <c r="DF194" i="14"/>
  <c r="DK194" i="14"/>
  <c r="DQ194" i="14"/>
  <c r="DR194" i="14"/>
  <c r="DS194" i="14"/>
  <c r="DT194" i="14"/>
  <c r="AB195" i="14"/>
  <c r="BO195" i="14"/>
  <c r="BM195" i="14" s="1"/>
  <c r="BR195" i="14"/>
  <c r="BW195" i="14"/>
  <c r="CW195" i="14"/>
  <c r="DB195" i="14"/>
  <c r="DF195" i="14"/>
  <c r="DK195" i="14"/>
  <c r="DQ195" i="14"/>
  <c r="DR195" i="14"/>
  <c r="DS195" i="14"/>
  <c r="DT195" i="14"/>
  <c r="AB196" i="14"/>
  <c r="AY196" i="14"/>
  <c r="BM196" i="14"/>
  <c r="BR196" i="14"/>
  <c r="BW196" i="14"/>
  <c r="CW196" i="14"/>
  <c r="DB196" i="14"/>
  <c r="DF196" i="14"/>
  <c r="DK196" i="14"/>
  <c r="DQ196" i="14"/>
  <c r="DR196" i="14"/>
  <c r="DS196" i="14"/>
  <c r="DT196" i="14"/>
  <c r="U197" i="14"/>
  <c r="AD197" i="14"/>
  <c r="AH197" i="14"/>
  <c r="AJ197" i="14"/>
  <c r="AK197" i="14"/>
  <c r="AL197" i="14"/>
  <c r="AM197" i="14"/>
  <c r="AO197" i="14"/>
  <c r="AP197" i="14"/>
  <c r="AQ197" i="14"/>
  <c r="AR197" i="14"/>
  <c r="AT197" i="14"/>
  <c r="AU197" i="14"/>
  <c r="AV197" i="14"/>
  <c r="AW197" i="14"/>
  <c r="AZ197" i="14"/>
  <c r="BG197" i="14" s="1"/>
  <c r="BA197" i="14"/>
  <c r="BD197" i="14"/>
  <c r="BK197" i="14" s="1"/>
  <c r="BE197" i="14"/>
  <c r="BN197" i="14"/>
  <c r="BP197" i="14"/>
  <c r="BQ197" i="14"/>
  <c r="BS197" i="14"/>
  <c r="BT197" i="14"/>
  <c r="BU197" i="14"/>
  <c r="BV197" i="14"/>
  <c r="BX197" i="14"/>
  <c r="CY197" i="14" s="1"/>
  <c r="CB197" i="14"/>
  <c r="DA197" i="14" s="1"/>
  <c r="CC197" i="14"/>
  <c r="CQ197" i="14"/>
  <c r="DG197" i="14"/>
  <c r="DH197" i="14"/>
  <c r="DI197" i="14"/>
  <c r="DJ197" i="14"/>
  <c r="DL197" i="14"/>
  <c r="DM197" i="14"/>
  <c r="DN197" i="14"/>
  <c r="DO197" i="14"/>
  <c r="DU197" i="14"/>
  <c r="DV197" i="14"/>
  <c r="DW197" i="14"/>
  <c r="AB198" i="14"/>
  <c r="AI198" i="14"/>
  <c r="AN198" i="14"/>
  <c r="AS198" i="14"/>
  <c r="AY198" i="14"/>
  <c r="BM198" i="14"/>
  <c r="BR198" i="14"/>
  <c r="BW198" i="14"/>
  <c r="CW198" i="14"/>
  <c r="DB198" i="14"/>
  <c r="DF198" i="14"/>
  <c r="DK198" i="14"/>
  <c r="DQ198" i="14"/>
  <c r="DR198" i="14"/>
  <c r="DS198" i="14"/>
  <c r="DT198" i="14"/>
  <c r="AB199" i="14"/>
  <c r="AI199" i="14"/>
  <c r="AN199" i="14"/>
  <c r="AS199" i="14"/>
  <c r="AY199" i="14"/>
  <c r="BM199" i="14"/>
  <c r="BR199" i="14"/>
  <c r="BW199" i="14"/>
  <c r="CW199" i="14"/>
  <c r="DB199" i="14"/>
  <c r="DF199" i="14"/>
  <c r="DK199" i="14"/>
  <c r="DQ199" i="14"/>
  <c r="DR199" i="14"/>
  <c r="DS199" i="14"/>
  <c r="DT199" i="14"/>
  <c r="AB200" i="14"/>
  <c r="AI200" i="14"/>
  <c r="AN200" i="14"/>
  <c r="AS200" i="14"/>
  <c r="AY200" i="14"/>
  <c r="BM200" i="14"/>
  <c r="BR200" i="14"/>
  <c r="BW200" i="14"/>
  <c r="CW200" i="14"/>
  <c r="DB200" i="14"/>
  <c r="DF200" i="14"/>
  <c r="DK200" i="14"/>
  <c r="EA200" i="14" s="1"/>
  <c r="DQ200" i="14"/>
  <c r="DR200" i="14"/>
  <c r="DS200" i="14"/>
  <c r="DT200" i="14"/>
  <c r="AB201" i="14"/>
  <c r="AI201" i="14"/>
  <c r="AN201" i="14"/>
  <c r="AS201" i="14"/>
  <c r="AY201" i="14"/>
  <c r="BO201" i="14"/>
  <c r="BO197" i="14" s="1"/>
  <c r="BR201" i="14"/>
  <c r="BW201" i="14"/>
  <c r="CW201" i="14"/>
  <c r="DB201" i="14"/>
  <c r="DF201" i="14"/>
  <c r="DK201" i="14"/>
  <c r="DQ201" i="14"/>
  <c r="DR201" i="14"/>
  <c r="DS201" i="14"/>
  <c r="DT201" i="14"/>
  <c r="AB202" i="14"/>
  <c r="AI202" i="14"/>
  <c r="AN202" i="14"/>
  <c r="AS202" i="14"/>
  <c r="AY202" i="14"/>
  <c r="BM202" i="14"/>
  <c r="BR202" i="14"/>
  <c r="BW202" i="14"/>
  <c r="CW202" i="14"/>
  <c r="DB202" i="14"/>
  <c r="DF202" i="14"/>
  <c r="DK202" i="14"/>
  <c r="DQ202" i="14"/>
  <c r="DR202" i="14"/>
  <c r="DS202" i="14"/>
  <c r="DT202" i="14"/>
  <c r="AB203" i="14"/>
  <c r="AI203" i="14"/>
  <c r="AN203" i="14"/>
  <c r="AS203" i="14"/>
  <c r="AY203" i="14"/>
  <c r="BM203" i="14"/>
  <c r="BR203" i="14"/>
  <c r="BW203" i="14"/>
  <c r="CW203" i="14"/>
  <c r="DB203" i="14"/>
  <c r="DF203" i="14"/>
  <c r="DK203" i="14"/>
  <c r="EA203" i="14" s="1"/>
  <c r="DQ203" i="14"/>
  <c r="DR203" i="14"/>
  <c r="DS203" i="14"/>
  <c r="DT203" i="14"/>
  <c r="AB204" i="14"/>
  <c r="AI204" i="14"/>
  <c r="AN204" i="14"/>
  <c r="AS204" i="14"/>
  <c r="AY204" i="14"/>
  <c r="BM204" i="14"/>
  <c r="BR204" i="14"/>
  <c r="BW204" i="14"/>
  <c r="CW204" i="14"/>
  <c r="DB204" i="14"/>
  <c r="DF204" i="14"/>
  <c r="DK204" i="14"/>
  <c r="DQ204" i="14"/>
  <c r="DR204" i="14"/>
  <c r="DS204" i="14"/>
  <c r="DT204" i="14"/>
  <c r="U205" i="14"/>
  <c r="AD205" i="14"/>
  <c r="AH205" i="14"/>
  <c r="AJ205" i="14"/>
  <c r="AK205" i="14"/>
  <c r="AL205" i="14"/>
  <c r="AM205" i="14"/>
  <c r="AO205" i="14"/>
  <c r="AP205" i="14"/>
  <c r="AQ205" i="14"/>
  <c r="AR205" i="14"/>
  <c r="AT205" i="14"/>
  <c r="AU205" i="14"/>
  <c r="AV205" i="14"/>
  <c r="AW205" i="14"/>
  <c r="AZ205" i="14"/>
  <c r="BG205" i="14" s="1"/>
  <c r="BF205" i="14" s="1"/>
  <c r="BD205" i="14"/>
  <c r="BK205" i="14" s="1"/>
  <c r="BE205" i="14"/>
  <c r="BN205" i="14"/>
  <c r="BP205" i="14"/>
  <c r="BQ205" i="14"/>
  <c r="BS205" i="14"/>
  <c r="BT205" i="14"/>
  <c r="BU205" i="14"/>
  <c r="BV205" i="14"/>
  <c r="BX205" i="14"/>
  <c r="CY205" i="14" s="1"/>
  <c r="CC205" i="14"/>
  <c r="CQ205" i="14"/>
  <c r="DG205" i="14"/>
  <c r="DH205" i="14"/>
  <c r="DI205" i="14"/>
  <c r="DJ205" i="14"/>
  <c r="DL205" i="14"/>
  <c r="DM205" i="14"/>
  <c r="DN205" i="14"/>
  <c r="DO205" i="14"/>
  <c r="DU205" i="14"/>
  <c r="DV205" i="14"/>
  <c r="DW205" i="14"/>
  <c r="AB206" i="14"/>
  <c r="AY206" i="14"/>
  <c r="BM206" i="14"/>
  <c r="DD206" i="14" s="1"/>
  <c r="BR206" i="14"/>
  <c r="BW206" i="14"/>
  <c r="CW206" i="14"/>
  <c r="DB206" i="14"/>
  <c r="DF206" i="14"/>
  <c r="DK206" i="14"/>
  <c r="DQ206" i="14"/>
  <c r="DR206" i="14"/>
  <c r="DS206" i="14"/>
  <c r="DT206" i="14"/>
  <c r="AB207" i="14"/>
  <c r="AY207" i="14"/>
  <c r="BM207" i="14"/>
  <c r="BR207" i="14"/>
  <c r="BW207" i="14"/>
  <c r="CW207" i="14"/>
  <c r="DB207" i="14"/>
  <c r="DF207" i="14"/>
  <c r="DK207" i="14"/>
  <c r="DQ207" i="14"/>
  <c r="DR207" i="14"/>
  <c r="DS207" i="14"/>
  <c r="DT207" i="14"/>
  <c r="AB208" i="14"/>
  <c r="AY208" i="14"/>
  <c r="BM208" i="14"/>
  <c r="BR208" i="14"/>
  <c r="BW208" i="14"/>
  <c r="GK208" i="14" s="1"/>
  <c r="CW208" i="14"/>
  <c r="DB208" i="14"/>
  <c r="DF208" i="14"/>
  <c r="DK208" i="14"/>
  <c r="DQ208" i="14"/>
  <c r="DR208" i="14"/>
  <c r="DS208" i="14"/>
  <c r="DT208" i="14"/>
  <c r="AB209" i="14"/>
  <c r="AY209" i="14"/>
  <c r="BM209" i="14"/>
  <c r="BR209" i="14"/>
  <c r="CW209" i="14"/>
  <c r="DB209" i="14"/>
  <c r="DF209" i="14"/>
  <c r="DK209" i="14"/>
  <c r="DQ209" i="14"/>
  <c r="DR209" i="14"/>
  <c r="DS209" i="14"/>
  <c r="DT209" i="14"/>
  <c r="AB210" i="14"/>
  <c r="AY210" i="14"/>
  <c r="BM210" i="14"/>
  <c r="BR210" i="14"/>
  <c r="BW210" i="14"/>
  <c r="CW210" i="14"/>
  <c r="DB210" i="14"/>
  <c r="DF210" i="14"/>
  <c r="DK210" i="14"/>
  <c r="EA210" i="14" s="1"/>
  <c r="DQ210" i="14"/>
  <c r="DR210" i="14"/>
  <c r="DS210" i="14"/>
  <c r="DT210" i="14"/>
  <c r="AB211" i="14"/>
  <c r="AY211" i="14"/>
  <c r="BO211" i="14"/>
  <c r="BM211" i="14" s="1"/>
  <c r="BR211" i="14"/>
  <c r="BW211" i="14"/>
  <c r="CW211" i="14"/>
  <c r="DB211" i="14"/>
  <c r="DF211" i="14"/>
  <c r="DK211" i="14"/>
  <c r="DQ211" i="14"/>
  <c r="DR211" i="14"/>
  <c r="DS211" i="14"/>
  <c r="DT211" i="14"/>
  <c r="AB212" i="14"/>
  <c r="AY212" i="14"/>
  <c r="BO212" i="14"/>
  <c r="BR212" i="14"/>
  <c r="BW212" i="14"/>
  <c r="CW212" i="14"/>
  <c r="DB212" i="14"/>
  <c r="DF212" i="14"/>
  <c r="DK212" i="14"/>
  <c r="EA212" i="14" s="1"/>
  <c r="DQ212" i="14"/>
  <c r="DR212" i="14"/>
  <c r="DS212" i="14"/>
  <c r="DT212" i="14"/>
  <c r="AB213" i="14"/>
  <c r="AY213" i="14"/>
  <c r="BO213" i="14"/>
  <c r="BM213" i="14" s="1"/>
  <c r="BR213" i="14"/>
  <c r="BW213" i="14"/>
  <c r="CW213" i="14"/>
  <c r="DB213" i="14"/>
  <c r="DF213" i="14"/>
  <c r="DK213" i="14"/>
  <c r="DQ213" i="14"/>
  <c r="DR213" i="14"/>
  <c r="DS213" i="14"/>
  <c r="DT213" i="14"/>
  <c r="AB214" i="14"/>
  <c r="BA205" i="14"/>
  <c r="BM214" i="14"/>
  <c r="BR214" i="14"/>
  <c r="BW214" i="14"/>
  <c r="CW214" i="14"/>
  <c r="DB214" i="14"/>
  <c r="DF214" i="14"/>
  <c r="DK214" i="14"/>
  <c r="DQ214" i="14"/>
  <c r="DR214" i="14"/>
  <c r="DS214" i="14"/>
  <c r="DT214" i="14"/>
  <c r="AB215" i="14"/>
  <c r="AY215" i="14"/>
  <c r="BO215" i="14"/>
  <c r="BM215" i="14" s="1"/>
  <c r="BR215" i="14"/>
  <c r="BW215" i="14"/>
  <c r="CW215" i="14"/>
  <c r="DB215" i="14"/>
  <c r="DF215" i="14"/>
  <c r="DK215" i="14"/>
  <c r="DQ215" i="14"/>
  <c r="DR215" i="14"/>
  <c r="DS215" i="14"/>
  <c r="DT215" i="14"/>
  <c r="AB216" i="14"/>
  <c r="AY216" i="14"/>
  <c r="BM216" i="14"/>
  <c r="BR216" i="14"/>
  <c r="BW216" i="14"/>
  <c r="GK216" i="14" s="1"/>
  <c r="CW216" i="14"/>
  <c r="DB216" i="14"/>
  <c r="DF216" i="14"/>
  <c r="DK216" i="14"/>
  <c r="DQ216" i="14"/>
  <c r="DR216" i="14"/>
  <c r="DS216" i="14"/>
  <c r="DT216" i="14"/>
  <c r="AB217" i="14"/>
  <c r="AY217" i="14"/>
  <c r="BO217" i="14"/>
  <c r="BM217" i="14" s="1"/>
  <c r="BR217" i="14"/>
  <c r="CW217" i="14"/>
  <c r="DB217" i="14"/>
  <c r="DF217" i="14"/>
  <c r="DK217" i="14"/>
  <c r="DQ217" i="14"/>
  <c r="DR217" i="14"/>
  <c r="DS217" i="14"/>
  <c r="DT217" i="14"/>
  <c r="AB218" i="14"/>
  <c r="AY218" i="14"/>
  <c r="BO218" i="14"/>
  <c r="BM218" i="14" s="1"/>
  <c r="BR218" i="14"/>
  <c r="BW218" i="14"/>
  <c r="CW218" i="14"/>
  <c r="DB218" i="14"/>
  <c r="DF218" i="14"/>
  <c r="DK218" i="14"/>
  <c r="DQ218" i="14"/>
  <c r="DR218" i="14"/>
  <c r="DS218" i="14"/>
  <c r="DT218" i="14"/>
  <c r="AB219" i="14"/>
  <c r="AY219" i="14"/>
  <c r="BO219" i="14"/>
  <c r="BM219" i="14" s="1"/>
  <c r="BR219" i="14"/>
  <c r="BW219" i="14"/>
  <c r="CW219" i="14"/>
  <c r="DB219" i="14"/>
  <c r="DF219" i="14"/>
  <c r="DK219" i="14"/>
  <c r="DQ219" i="14"/>
  <c r="DR219" i="14"/>
  <c r="DS219" i="14"/>
  <c r="DT219" i="14"/>
  <c r="AB220" i="14"/>
  <c r="AY220" i="14"/>
  <c r="BO220" i="14"/>
  <c r="BM220" i="14" s="1"/>
  <c r="BR220" i="14"/>
  <c r="BW220" i="14"/>
  <c r="GK220" i="14" s="1"/>
  <c r="CW220" i="14"/>
  <c r="DB220" i="14"/>
  <c r="DF220" i="14"/>
  <c r="DK220" i="14"/>
  <c r="DQ220" i="14"/>
  <c r="DR220" i="14"/>
  <c r="DS220" i="14"/>
  <c r="DT220" i="14"/>
  <c r="AB221" i="14"/>
  <c r="AY221" i="14"/>
  <c r="BO221" i="14"/>
  <c r="BM221" i="14" s="1"/>
  <c r="BR221" i="14"/>
  <c r="BW221" i="14"/>
  <c r="CW221" i="14"/>
  <c r="DB221" i="14"/>
  <c r="DF221" i="14"/>
  <c r="DK221" i="14"/>
  <c r="DQ221" i="14"/>
  <c r="DR221" i="14"/>
  <c r="DS221" i="14"/>
  <c r="DT221" i="14"/>
  <c r="U222" i="14"/>
  <c r="AD222" i="14"/>
  <c r="AH222" i="14"/>
  <c r="AJ222" i="14"/>
  <c r="AK222" i="14"/>
  <c r="AL222" i="14"/>
  <c r="AM222" i="14"/>
  <c r="AO222" i="14"/>
  <c r="AP222" i="14"/>
  <c r="AQ222" i="14"/>
  <c r="AR222" i="14"/>
  <c r="AT222" i="14"/>
  <c r="AU222" i="14"/>
  <c r="AV222" i="14"/>
  <c r="AW222" i="14"/>
  <c r="AZ222" i="14"/>
  <c r="BG222" i="14" s="1"/>
  <c r="BD222" i="14"/>
  <c r="BK222" i="14" s="1"/>
  <c r="BE222" i="14"/>
  <c r="BN222" i="14"/>
  <c r="BP222" i="14"/>
  <c r="BQ222" i="14"/>
  <c r="BS222" i="14"/>
  <c r="BT222" i="14"/>
  <c r="BU222" i="14"/>
  <c r="BV222" i="14"/>
  <c r="BX222" i="14"/>
  <c r="CY222" i="14" s="1"/>
  <c r="CB222" i="14"/>
  <c r="DA222" i="14" s="1"/>
  <c r="CC222" i="14"/>
  <c r="CQ222" i="14"/>
  <c r="DG222" i="14"/>
  <c r="DH222" i="14"/>
  <c r="DI222" i="14"/>
  <c r="DJ222" i="14"/>
  <c r="DL222" i="14"/>
  <c r="DM222" i="14"/>
  <c r="DN222" i="14"/>
  <c r="DO222" i="14"/>
  <c r="DU222" i="14"/>
  <c r="DV222" i="14"/>
  <c r="DW222" i="14"/>
  <c r="AB223" i="14"/>
  <c r="AI223" i="14"/>
  <c r="AN223" i="14"/>
  <c r="AS223" i="14"/>
  <c r="BM223" i="14"/>
  <c r="DD223" i="14" s="1"/>
  <c r="DE223" i="14" s="1"/>
  <c r="BR223" i="14"/>
  <c r="BW223" i="14"/>
  <c r="CW223" i="14"/>
  <c r="DB223" i="14"/>
  <c r="DF223" i="14"/>
  <c r="DK223" i="14"/>
  <c r="DP223" i="14"/>
  <c r="AB224" i="14"/>
  <c r="AI224" i="14"/>
  <c r="AN224" i="14"/>
  <c r="AS224" i="14"/>
  <c r="AY224" i="14"/>
  <c r="BM224" i="14"/>
  <c r="BR224" i="14"/>
  <c r="BW224" i="14"/>
  <c r="CW224" i="14"/>
  <c r="DB224" i="14"/>
  <c r="DF224" i="14"/>
  <c r="DK224" i="14"/>
  <c r="DP224" i="14"/>
  <c r="AB225" i="14"/>
  <c r="AI225" i="14"/>
  <c r="AN225" i="14"/>
  <c r="AS225" i="14"/>
  <c r="AY225" i="14"/>
  <c r="BO225" i="14"/>
  <c r="BR225" i="14"/>
  <c r="CW225" i="14"/>
  <c r="DB225" i="14"/>
  <c r="DF225" i="14"/>
  <c r="DK225" i="14"/>
  <c r="EA225" i="14" s="1"/>
  <c r="DQ225" i="14"/>
  <c r="DR225" i="14"/>
  <c r="DS225" i="14"/>
  <c r="DT225" i="14"/>
  <c r="AB226" i="14"/>
  <c r="AI226" i="14"/>
  <c r="AN226" i="14"/>
  <c r="AS226" i="14"/>
  <c r="AY226" i="14"/>
  <c r="BM226" i="14"/>
  <c r="BR226" i="14"/>
  <c r="BW226" i="14"/>
  <c r="CW226" i="14"/>
  <c r="DB226" i="14"/>
  <c r="DF226" i="14"/>
  <c r="DK226" i="14"/>
  <c r="DQ226" i="14"/>
  <c r="DR226" i="14"/>
  <c r="DS226" i="14"/>
  <c r="DT226" i="14"/>
  <c r="AB227" i="14"/>
  <c r="AI227" i="14"/>
  <c r="AN227" i="14"/>
  <c r="AS227" i="14"/>
  <c r="AY227" i="14"/>
  <c r="BM227" i="14"/>
  <c r="BR227" i="14"/>
  <c r="BW227" i="14"/>
  <c r="CW227" i="14"/>
  <c r="DB227" i="14"/>
  <c r="DF227" i="14"/>
  <c r="DK227" i="14"/>
  <c r="EA227" i="14" s="1"/>
  <c r="DQ227" i="14"/>
  <c r="DR227" i="14"/>
  <c r="DS227" i="14"/>
  <c r="DT227" i="14"/>
  <c r="AB228" i="14"/>
  <c r="AI228" i="14"/>
  <c r="AN228" i="14"/>
  <c r="AS228" i="14"/>
  <c r="AY228" i="14"/>
  <c r="BM228" i="14"/>
  <c r="BR228" i="14"/>
  <c r="BW228" i="14"/>
  <c r="CW228" i="14"/>
  <c r="DB228" i="14"/>
  <c r="DF228" i="14"/>
  <c r="DK228" i="14"/>
  <c r="EA228" i="14" s="1"/>
  <c r="DQ228" i="14"/>
  <c r="DR228" i="14"/>
  <c r="DS228" i="14"/>
  <c r="DT228" i="14"/>
  <c r="AB229" i="14"/>
  <c r="AI229" i="14"/>
  <c r="AN229" i="14"/>
  <c r="AS229" i="14"/>
  <c r="AY229" i="14"/>
  <c r="BO229" i="14"/>
  <c r="BM229" i="14" s="1"/>
  <c r="DD229" i="14" s="1"/>
  <c r="DE229" i="14" s="1"/>
  <c r="BR229" i="14"/>
  <c r="BW229" i="14"/>
  <c r="CW229" i="14"/>
  <c r="DB229" i="14"/>
  <c r="DF229" i="14"/>
  <c r="DK229" i="14"/>
  <c r="EA229" i="14" s="1"/>
  <c r="DQ229" i="14"/>
  <c r="DR229" i="14"/>
  <c r="DS229" i="14"/>
  <c r="DT229" i="14"/>
  <c r="AB230" i="14"/>
  <c r="AI230" i="14"/>
  <c r="AN230" i="14"/>
  <c r="AS230" i="14"/>
  <c r="BM230" i="14"/>
  <c r="BR230" i="14"/>
  <c r="BW230" i="14"/>
  <c r="CW230" i="14"/>
  <c r="DB230" i="14"/>
  <c r="DF230" i="14"/>
  <c r="DK230" i="14"/>
  <c r="EA230" i="14" s="1"/>
  <c r="DQ230" i="14"/>
  <c r="DR230" i="14"/>
  <c r="DS230" i="14"/>
  <c r="DT230" i="14"/>
  <c r="AB231" i="14"/>
  <c r="AI231" i="14"/>
  <c r="AN231" i="14"/>
  <c r="AS231" i="14"/>
  <c r="AY231" i="14"/>
  <c r="BO231" i="14"/>
  <c r="BM231" i="14" s="1"/>
  <c r="BR231" i="14"/>
  <c r="CW231" i="14"/>
  <c r="DB231" i="14"/>
  <c r="DF231" i="14"/>
  <c r="DK231" i="14"/>
  <c r="DQ231" i="14"/>
  <c r="DR231" i="14"/>
  <c r="DS231" i="14"/>
  <c r="DT231" i="14"/>
  <c r="U232" i="14"/>
  <c r="AD232" i="14"/>
  <c r="AH232" i="14"/>
  <c r="AJ232" i="14"/>
  <c r="AK232" i="14"/>
  <c r="AL232" i="14"/>
  <c r="AM232" i="14"/>
  <c r="AO232" i="14"/>
  <c r="AP232" i="14"/>
  <c r="AQ232" i="14"/>
  <c r="AR232" i="14"/>
  <c r="AT232" i="14"/>
  <c r="AU232" i="14"/>
  <c r="AV232" i="14"/>
  <c r="AW232" i="14"/>
  <c r="AZ232" i="14"/>
  <c r="BG232" i="14" s="1"/>
  <c r="BD232" i="14"/>
  <c r="BK232" i="14" s="1"/>
  <c r="BE232" i="14"/>
  <c r="BP232" i="14"/>
  <c r="BQ232" i="14"/>
  <c r="BS232" i="14"/>
  <c r="BT232" i="14"/>
  <c r="BU232" i="14"/>
  <c r="BV232" i="14"/>
  <c r="CB232" i="14"/>
  <c r="DA232" i="14" s="1"/>
  <c r="CC232" i="14"/>
  <c r="CQ232" i="14"/>
  <c r="DG232" i="14"/>
  <c r="DH232" i="14"/>
  <c r="DI232" i="14"/>
  <c r="DJ232" i="14"/>
  <c r="DL232" i="14"/>
  <c r="DM232" i="14"/>
  <c r="DN232" i="14"/>
  <c r="DO232" i="14"/>
  <c r="DU232" i="14"/>
  <c r="DV232" i="14"/>
  <c r="AB233" i="14"/>
  <c r="AY233" i="14"/>
  <c r="BO233" i="14"/>
  <c r="BR233" i="14"/>
  <c r="BW233" i="14"/>
  <c r="CW233" i="14"/>
  <c r="DB233" i="14"/>
  <c r="DF233" i="14"/>
  <c r="DK233" i="14"/>
  <c r="DQ233" i="14"/>
  <c r="DR233" i="14"/>
  <c r="DS233" i="14"/>
  <c r="DT233" i="14"/>
  <c r="DW233" i="14"/>
  <c r="DW232" i="14" s="1"/>
  <c r="AB234" i="14"/>
  <c r="AY234" i="14"/>
  <c r="BM234" i="14"/>
  <c r="BR234" i="14"/>
  <c r="BW234" i="14"/>
  <c r="CW234" i="14"/>
  <c r="DB234" i="14"/>
  <c r="DF234" i="14"/>
  <c r="DK234" i="14"/>
  <c r="EA234" i="14" s="1"/>
  <c r="DQ234" i="14"/>
  <c r="DR234" i="14"/>
  <c r="DS234" i="14"/>
  <c r="DT234" i="14"/>
  <c r="AB235" i="14"/>
  <c r="AY235" i="14"/>
  <c r="BM235" i="14"/>
  <c r="BR235" i="14"/>
  <c r="BW235" i="14"/>
  <c r="CW235" i="14"/>
  <c r="DB235" i="14"/>
  <c r="DF235" i="14"/>
  <c r="DK235" i="14"/>
  <c r="EA235" i="14" s="1"/>
  <c r="DQ235" i="14"/>
  <c r="DR235" i="14"/>
  <c r="DS235" i="14"/>
  <c r="DT235" i="14"/>
  <c r="AB236" i="14"/>
  <c r="AY236" i="14"/>
  <c r="BO236" i="14"/>
  <c r="BM236" i="14" s="1"/>
  <c r="BR236" i="14"/>
  <c r="BW236" i="14"/>
  <c r="CW236" i="14"/>
  <c r="DB236" i="14"/>
  <c r="DF236" i="14"/>
  <c r="DK236" i="14"/>
  <c r="DQ236" i="14"/>
  <c r="DR236" i="14"/>
  <c r="DS236" i="14"/>
  <c r="DT236" i="14"/>
  <c r="AB237" i="14"/>
  <c r="AY237" i="14"/>
  <c r="BM237" i="14"/>
  <c r="BR237" i="14"/>
  <c r="BW237" i="14"/>
  <c r="CW237" i="14"/>
  <c r="DB237" i="14"/>
  <c r="DF237" i="14"/>
  <c r="DK237" i="14"/>
  <c r="DQ237" i="14"/>
  <c r="DR237" i="14"/>
  <c r="DS237" i="14"/>
  <c r="DT237" i="14"/>
  <c r="AB238" i="14"/>
  <c r="AY238" i="14"/>
  <c r="BM238" i="14"/>
  <c r="BR238" i="14"/>
  <c r="BW238" i="14"/>
  <c r="CW238" i="14"/>
  <c r="DB238" i="14"/>
  <c r="DF238" i="14"/>
  <c r="DK238" i="14"/>
  <c r="DQ238" i="14"/>
  <c r="DR238" i="14"/>
  <c r="DS238" i="14"/>
  <c r="DT238" i="14"/>
  <c r="AB239" i="14"/>
  <c r="AY239" i="14"/>
  <c r="BM239" i="14"/>
  <c r="BR239" i="14"/>
  <c r="BW239" i="14"/>
  <c r="CW239" i="14"/>
  <c r="DB239" i="14"/>
  <c r="DF239" i="14"/>
  <c r="DK239" i="14"/>
  <c r="DQ239" i="14"/>
  <c r="DR239" i="14"/>
  <c r="DS239" i="14"/>
  <c r="DT239" i="14"/>
  <c r="AB240" i="14"/>
  <c r="AY240" i="14"/>
  <c r="BM240" i="14"/>
  <c r="BR240" i="14"/>
  <c r="BW240" i="14"/>
  <c r="CW240" i="14"/>
  <c r="DB240" i="14"/>
  <c r="DF240" i="14"/>
  <c r="DK240" i="14"/>
  <c r="DQ240" i="14"/>
  <c r="DR240" i="14"/>
  <c r="DS240" i="14"/>
  <c r="DT240" i="14"/>
  <c r="AB241" i="14"/>
  <c r="AY241" i="14"/>
  <c r="BN241" i="14"/>
  <c r="BN232" i="14" s="1"/>
  <c r="BO241" i="14"/>
  <c r="BR241" i="14"/>
  <c r="BW241" i="14"/>
  <c r="CW241" i="14"/>
  <c r="DB241" i="14"/>
  <c r="DF241" i="14"/>
  <c r="DK241" i="14"/>
  <c r="DQ241" i="14"/>
  <c r="DR241" i="14"/>
  <c r="DS241" i="14"/>
  <c r="DT241" i="14"/>
  <c r="AB242" i="14"/>
  <c r="BA232" i="14"/>
  <c r="BO242" i="14"/>
  <c r="BM242" i="14" s="1"/>
  <c r="BR242" i="14"/>
  <c r="CW242" i="14"/>
  <c r="DB242" i="14"/>
  <c r="DF242" i="14"/>
  <c r="DK242" i="14"/>
  <c r="EA242" i="14" s="1"/>
  <c r="DQ242" i="14"/>
  <c r="DR242" i="14"/>
  <c r="DS242" i="14"/>
  <c r="DT242" i="14"/>
  <c r="AB243" i="14"/>
  <c r="AY243" i="14"/>
  <c r="BM243" i="14"/>
  <c r="BR243" i="14"/>
  <c r="BW243" i="14"/>
  <c r="CW243" i="14"/>
  <c r="DB243" i="14"/>
  <c r="DF243" i="14"/>
  <c r="DK243" i="14"/>
  <c r="DQ243" i="14"/>
  <c r="DR243" i="14"/>
  <c r="DS243" i="14"/>
  <c r="DT243" i="14"/>
  <c r="U244" i="14"/>
  <c r="AD244" i="14"/>
  <c r="AH244" i="14"/>
  <c r="AJ244" i="14"/>
  <c r="AK244" i="14"/>
  <c r="AL244" i="14"/>
  <c r="AM244" i="14"/>
  <c r="AO244" i="14"/>
  <c r="AP244" i="14"/>
  <c r="AQ244" i="14"/>
  <c r="AR244" i="14"/>
  <c r="AT244" i="14"/>
  <c r="AU244" i="14"/>
  <c r="AV244" i="14"/>
  <c r="AW244" i="14"/>
  <c r="AZ244" i="14"/>
  <c r="BG244" i="14" s="1"/>
  <c r="BA244" i="14"/>
  <c r="BD244" i="14"/>
  <c r="BK244" i="14" s="1"/>
  <c r="BE244" i="14"/>
  <c r="BP244" i="14"/>
  <c r="BQ244" i="14"/>
  <c r="BS244" i="14"/>
  <c r="BT244" i="14"/>
  <c r="BU244" i="14"/>
  <c r="BV244" i="14"/>
  <c r="BX244" i="14"/>
  <c r="CY244" i="14" s="1"/>
  <c r="CC244" i="14"/>
  <c r="CQ244" i="14"/>
  <c r="DG244" i="14"/>
  <c r="DH244" i="14"/>
  <c r="DI244" i="14"/>
  <c r="DJ244" i="14"/>
  <c r="DL244" i="14"/>
  <c r="DM244" i="14"/>
  <c r="DN244" i="14"/>
  <c r="DO244" i="14"/>
  <c r="DU244" i="14"/>
  <c r="DV244" i="14"/>
  <c r="DW244" i="14"/>
  <c r="AB245" i="14"/>
  <c r="AY245" i="14"/>
  <c r="BM245" i="14"/>
  <c r="BR245" i="14"/>
  <c r="BW245" i="14"/>
  <c r="CW245" i="14"/>
  <c r="DB245" i="14"/>
  <c r="DF245" i="14"/>
  <c r="DK245" i="14"/>
  <c r="DP245" i="14"/>
  <c r="AB246" i="14"/>
  <c r="AY246" i="14"/>
  <c r="BM246" i="14"/>
  <c r="BR246" i="14"/>
  <c r="BW246" i="14"/>
  <c r="GK246" i="14" s="1"/>
  <c r="CW246" i="14"/>
  <c r="DB246" i="14"/>
  <c r="DF246" i="14"/>
  <c r="DK246" i="14"/>
  <c r="DP246" i="14"/>
  <c r="AB247" i="14"/>
  <c r="AY247" i="14"/>
  <c r="BO247" i="14"/>
  <c r="BM247" i="14" s="1"/>
  <c r="BR247" i="14"/>
  <c r="BW247" i="14"/>
  <c r="CW247" i="14"/>
  <c r="DB247" i="14"/>
  <c r="DF247" i="14"/>
  <c r="DK247" i="14"/>
  <c r="EA247" i="14" s="1"/>
  <c r="DQ247" i="14"/>
  <c r="DR247" i="14"/>
  <c r="DS247" i="14"/>
  <c r="DT247" i="14"/>
  <c r="AB248" i="14"/>
  <c r="AY248" i="14"/>
  <c r="BO248" i="14"/>
  <c r="BM248" i="14" s="1"/>
  <c r="BR248" i="14"/>
  <c r="BW248" i="14"/>
  <c r="GK248" i="14" s="1"/>
  <c r="CW248" i="14"/>
  <c r="DB248" i="14"/>
  <c r="DF248" i="14"/>
  <c r="DK248" i="14"/>
  <c r="EA248" i="14" s="1"/>
  <c r="DQ248" i="14"/>
  <c r="DR248" i="14"/>
  <c r="DS248" i="14"/>
  <c r="DT248" i="14"/>
  <c r="AB249" i="14"/>
  <c r="AY249" i="14"/>
  <c r="BN249" i="14"/>
  <c r="BN244" i="14" s="1"/>
  <c r="BO249" i="14"/>
  <c r="BR249" i="14"/>
  <c r="BW249" i="14"/>
  <c r="CW249" i="14"/>
  <c r="DB249" i="14"/>
  <c r="DF249" i="14"/>
  <c r="DK249" i="14"/>
  <c r="EA249" i="14" s="1"/>
  <c r="DQ249" i="14"/>
  <c r="DR249" i="14"/>
  <c r="DS249" i="14"/>
  <c r="DT249" i="14"/>
  <c r="AB250" i="14"/>
  <c r="AY250" i="14"/>
  <c r="BM250" i="14"/>
  <c r="BR250" i="14"/>
  <c r="BW250" i="14"/>
  <c r="CW250" i="14"/>
  <c r="DB250" i="14"/>
  <c r="DF250" i="14"/>
  <c r="DK250" i="14"/>
  <c r="EA250" i="14" s="1"/>
  <c r="DQ250" i="14"/>
  <c r="DR250" i="14"/>
  <c r="DS250" i="14"/>
  <c r="DT250" i="14"/>
  <c r="AB251" i="14"/>
  <c r="AY251" i="14"/>
  <c r="BO251" i="14"/>
  <c r="BM251" i="14" s="1"/>
  <c r="BR251" i="14"/>
  <c r="BW251" i="14"/>
  <c r="CW251" i="14"/>
  <c r="DB251" i="14"/>
  <c r="DF251" i="14"/>
  <c r="DK251" i="14"/>
  <c r="EA251" i="14" s="1"/>
  <c r="DQ251" i="14"/>
  <c r="DR251" i="14"/>
  <c r="DS251" i="14"/>
  <c r="DT251" i="14"/>
  <c r="AB252" i="14"/>
  <c r="AY252" i="14"/>
  <c r="BM252" i="14"/>
  <c r="BR252" i="14"/>
  <c r="BW252" i="14"/>
  <c r="CW252" i="14"/>
  <c r="DB252" i="14"/>
  <c r="DF252" i="14"/>
  <c r="DK252" i="14"/>
  <c r="EA252" i="14" s="1"/>
  <c r="DQ252" i="14"/>
  <c r="DR252" i="14"/>
  <c r="DS252" i="14"/>
  <c r="DT252" i="14"/>
  <c r="AB253" i="14"/>
  <c r="AY253" i="14"/>
  <c r="BM253" i="14"/>
  <c r="BR253" i="14"/>
  <c r="BW253" i="14"/>
  <c r="GK253" i="14" s="1"/>
  <c r="CW253" i="14"/>
  <c r="DB253" i="14"/>
  <c r="DF253" i="14"/>
  <c r="DK253" i="14"/>
  <c r="EA253" i="14" s="1"/>
  <c r="DQ253" i="14"/>
  <c r="DR253" i="14"/>
  <c r="DS253" i="14"/>
  <c r="DT253" i="14"/>
  <c r="AB254" i="14"/>
  <c r="AY254" i="14"/>
  <c r="BO254" i="14"/>
  <c r="BM254" i="14" s="1"/>
  <c r="BR254" i="14"/>
  <c r="BW254" i="14"/>
  <c r="CW254" i="14"/>
  <c r="DB254" i="14"/>
  <c r="DF254" i="14"/>
  <c r="DK254" i="14"/>
  <c r="DQ254" i="14"/>
  <c r="DR254" i="14"/>
  <c r="DS254" i="14"/>
  <c r="DT254" i="14"/>
  <c r="AB255" i="14"/>
  <c r="AY255" i="14"/>
  <c r="BM255" i="14"/>
  <c r="BR255" i="14"/>
  <c r="BW255" i="14"/>
  <c r="CW255" i="14"/>
  <c r="DB255" i="14"/>
  <c r="DF255" i="14"/>
  <c r="DK255" i="14"/>
  <c r="EA255" i="14" s="1"/>
  <c r="DQ255" i="14"/>
  <c r="DR255" i="14"/>
  <c r="DS255" i="14"/>
  <c r="DT255" i="14"/>
  <c r="AB256" i="14"/>
  <c r="AY256" i="14"/>
  <c r="BM256" i="14"/>
  <c r="BR256" i="14"/>
  <c r="BW256" i="14"/>
  <c r="CW256" i="14"/>
  <c r="DB256" i="14"/>
  <c r="DF256" i="14"/>
  <c r="DK256" i="14"/>
  <c r="EA256" i="14" s="1"/>
  <c r="DQ256" i="14"/>
  <c r="DR256" i="14"/>
  <c r="DS256" i="14"/>
  <c r="DT256" i="14"/>
  <c r="AB257" i="14"/>
  <c r="AY257" i="14"/>
  <c r="BO257" i="14"/>
  <c r="BM257" i="14" s="1"/>
  <c r="BR257" i="14"/>
  <c r="CW257" i="14"/>
  <c r="DB257" i="14"/>
  <c r="DF257" i="14"/>
  <c r="DK257" i="14"/>
  <c r="DQ257" i="14"/>
  <c r="DR257" i="14"/>
  <c r="DS257" i="14"/>
  <c r="DT257" i="14"/>
  <c r="AB258" i="14"/>
  <c r="AY258" i="14"/>
  <c r="BO258" i="14"/>
  <c r="BM258" i="14" s="1"/>
  <c r="BR258" i="14"/>
  <c r="BW258" i="14"/>
  <c r="CW258" i="14"/>
  <c r="DB258" i="14"/>
  <c r="DF258" i="14"/>
  <c r="DK258" i="14"/>
  <c r="DQ258" i="14"/>
  <c r="DR258" i="14"/>
  <c r="DS258" i="14"/>
  <c r="DT258" i="14"/>
  <c r="AB259" i="14"/>
  <c r="AY259" i="14"/>
  <c r="BO259" i="14"/>
  <c r="BM259" i="14" s="1"/>
  <c r="BR259" i="14"/>
  <c r="BW259" i="14"/>
  <c r="CW259" i="14"/>
  <c r="DB259" i="14"/>
  <c r="DF259" i="14"/>
  <c r="DK259" i="14"/>
  <c r="DQ259" i="14"/>
  <c r="DR259" i="14"/>
  <c r="DS259" i="14"/>
  <c r="DT259" i="14"/>
  <c r="AN261" i="14"/>
  <c r="AS261" i="14"/>
  <c r="AY261" i="14"/>
  <c r="BM261" i="14"/>
  <c r="BR261" i="14"/>
  <c r="CW261" i="14"/>
  <c r="DB261" i="14"/>
  <c r="DF261" i="14"/>
  <c r="DK261" i="14"/>
  <c r="AD263" i="14"/>
  <c r="AH263" i="14"/>
  <c r="AJ263" i="14"/>
  <c r="AK263" i="14"/>
  <c r="AL263" i="14"/>
  <c r="AM263" i="14"/>
  <c r="AO263" i="14"/>
  <c r="AP263" i="14"/>
  <c r="AQ263" i="14"/>
  <c r="AR263" i="14"/>
  <c r="AT263" i="14"/>
  <c r="AU263" i="14"/>
  <c r="AV263" i="14"/>
  <c r="AW263" i="14"/>
  <c r="AZ263" i="14"/>
  <c r="BG263" i="14" s="1"/>
  <c r="BA263" i="14"/>
  <c r="BD263" i="14"/>
  <c r="BK263" i="14" s="1"/>
  <c r="BE263" i="14"/>
  <c r="BN263" i="14"/>
  <c r="BO263" i="14"/>
  <c r="BP263" i="14"/>
  <c r="BQ263" i="14"/>
  <c r="BS263" i="14"/>
  <c r="BT263" i="14"/>
  <c r="BU263" i="14"/>
  <c r="BV263" i="14"/>
  <c r="BX263" i="14"/>
  <c r="CY263" i="14" s="1"/>
  <c r="BY263" i="14"/>
  <c r="CZ263" i="14" s="1"/>
  <c r="CB263" i="14"/>
  <c r="DA263" i="14" s="1"/>
  <c r="CC263" i="14"/>
  <c r="CQ263" i="14"/>
  <c r="CK263" i="14" s="1"/>
  <c r="DD263" i="14"/>
  <c r="DE263" i="14"/>
  <c r="DG263" i="14"/>
  <c r="DH263" i="14"/>
  <c r="DI263" i="14"/>
  <c r="DJ263" i="14"/>
  <c r="DL263" i="14"/>
  <c r="DM263" i="14"/>
  <c r="DN263" i="14"/>
  <c r="DO263" i="14"/>
  <c r="DU263" i="14"/>
  <c r="DV263" i="14"/>
  <c r="DW263" i="14"/>
  <c r="AO265" i="14"/>
  <c r="AN265" i="14" s="1"/>
  <c r="AS265" i="14"/>
  <c r="AY265" i="14"/>
  <c r="BM265" i="14"/>
  <c r="BR265" i="14"/>
  <c r="BW265" i="14"/>
  <c r="GK265" i="14" s="1"/>
  <c r="CR265" i="14"/>
  <c r="DF265" i="14"/>
  <c r="AJ268" i="14"/>
  <c r="AO268" i="14"/>
  <c r="AT268" i="14"/>
  <c r="BS268" i="14"/>
  <c r="DG268" i="14"/>
  <c r="DL268" i="14"/>
  <c r="AJ269" i="14"/>
  <c r="AJ295" i="14" s="1"/>
  <c r="AI295" i="14" s="1"/>
  <c r="AO269" i="14"/>
  <c r="AT269" i="14"/>
  <c r="AT295" i="14" s="1"/>
  <c r="BS269" i="14"/>
  <c r="BS295" i="14" s="1"/>
  <c r="BS309" i="14" s="1"/>
  <c r="DG269" i="14"/>
  <c r="DG295" i="14" s="1"/>
  <c r="DL269" i="14"/>
  <c r="DL295" i="14" s="1"/>
  <c r="AJ270" i="14"/>
  <c r="AO270" i="14"/>
  <c r="AT270" i="14"/>
  <c r="AZ270" i="14"/>
  <c r="BG270" i="14" s="1"/>
  <c r="BF270" i="14" s="1"/>
  <c r="BS270" i="14"/>
  <c r="BX270" i="14"/>
  <c r="CY270" i="14" s="1"/>
  <c r="DG270" i="14"/>
  <c r="DL270" i="14"/>
  <c r="AB271" i="14"/>
  <c r="V271" i="14" s="1"/>
  <c r="AI271" i="14"/>
  <c r="AN271" i="14"/>
  <c r="AS271" i="14"/>
  <c r="AY271" i="14"/>
  <c r="BN271" i="14"/>
  <c r="BR271" i="14"/>
  <c r="BW271" i="14"/>
  <c r="DF271" i="14"/>
  <c r="DK271" i="14"/>
  <c r="AB272" i="14"/>
  <c r="V272" i="14" s="1"/>
  <c r="AI272" i="14"/>
  <c r="AN272" i="14"/>
  <c r="AS272" i="14"/>
  <c r="AY272" i="14"/>
  <c r="BN272" i="14"/>
  <c r="BM272" i="14" s="1"/>
  <c r="BR272" i="14"/>
  <c r="BW272" i="14"/>
  <c r="DF272" i="14"/>
  <c r="DK272" i="14"/>
  <c r="AJ273" i="14"/>
  <c r="AO273" i="14"/>
  <c r="AT273" i="14"/>
  <c r="AZ273" i="14"/>
  <c r="BG273" i="14" s="1"/>
  <c r="BF273" i="14" s="1"/>
  <c r="BS273" i="14"/>
  <c r="BX273" i="14"/>
  <c r="CY273" i="14" s="1"/>
  <c r="DG273" i="14"/>
  <c r="DL273" i="14"/>
  <c r="AB274" i="14"/>
  <c r="V274" i="14" s="1"/>
  <c r="AI274" i="14"/>
  <c r="AN274" i="14"/>
  <c r="AS274" i="14"/>
  <c r="AY274" i="14"/>
  <c r="BM274" i="14"/>
  <c r="BR274" i="14"/>
  <c r="BW274" i="14"/>
  <c r="DF274" i="14"/>
  <c r="DK274" i="14"/>
  <c r="AB275" i="14"/>
  <c r="V275" i="14" s="1"/>
  <c r="AI275" i="14"/>
  <c r="AN275" i="14"/>
  <c r="AS275" i="14"/>
  <c r="AY275" i="14"/>
  <c r="BM275" i="14"/>
  <c r="BR275" i="14"/>
  <c r="BW275" i="14"/>
  <c r="CR275" i="14"/>
  <c r="DF275" i="14"/>
  <c r="DK275" i="14"/>
  <c r="AJ276" i="14"/>
  <c r="AO276" i="14"/>
  <c r="AT276" i="14"/>
  <c r="AZ276" i="14"/>
  <c r="BG276" i="14" s="1"/>
  <c r="BF276" i="14" s="1"/>
  <c r="BS276" i="14"/>
  <c r="DG276" i="14"/>
  <c r="DL276" i="14"/>
  <c r="AI277" i="14"/>
  <c r="AN277" i="14"/>
  <c r="AS277" i="14"/>
  <c r="AY277" i="14"/>
  <c r="BM277" i="14"/>
  <c r="BR277" i="14"/>
  <c r="DF277" i="14"/>
  <c r="DK277" i="14"/>
  <c r="AB278" i="14"/>
  <c r="V278" i="14" s="1"/>
  <c r="AI278" i="14"/>
  <c r="AN278" i="14"/>
  <c r="AS278" i="14"/>
  <c r="AY278" i="14"/>
  <c r="BM278" i="14"/>
  <c r="BR278" i="14"/>
  <c r="BW278" i="14"/>
  <c r="CR278" i="14"/>
  <c r="DF278" i="14"/>
  <c r="DK278" i="14"/>
  <c r="AJ279" i="14"/>
  <c r="AO279" i="14"/>
  <c r="AT279" i="14"/>
  <c r="AZ279" i="14"/>
  <c r="BG279" i="14" s="1"/>
  <c r="BF279" i="14" s="1"/>
  <c r="BS279" i="14"/>
  <c r="BX279" i="14"/>
  <c r="CY279" i="14" s="1"/>
  <c r="DG279" i="14"/>
  <c r="DL279" i="14"/>
  <c r="AB280" i="14"/>
  <c r="V280" i="14" s="1"/>
  <c r="AI280" i="14"/>
  <c r="AN280" i="14"/>
  <c r="AS280" i="14"/>
  <c r="AY280" i="14"/>
  <c r="BM280" i="14"/>
  <c r="BR280" i="14"/>
  <c r="BW280" i="14"/>
  <c r="GK280" i="14" s="1"/>
  <c r="DF280" i="14"/>
  <c r="DK280" i="14"/>
  <c r="AB281" i="14"/>
  <c r="V281" i="14" s="1"/>
  <c r="AI281" i="14"/>
  <c r="AN281" i="14"/>
  <c r="AS281" i="14"/>
  <c r="AY281" i="14"/>
  <c r="BM281" i="14"/>
  <c r="BR281" i="14"/>
  <c r="BW281" i="14"/>
  <c r="GK281" i="14" s="1"/>
  <c r="CR281" i="14"/>
  <c r="DF281" i="14"/>
  <c r="DK281" i="14"/>
  <c r="AJ282" i="14"/>
  <c r="AO282" i="14"/>
  <c r="AT282" i="14"/>
  <c r="AZ282" i="14"/>
  <c r="BG282" i="14" s="1"/>
  <c r="BF282" i="14" s="1"/>
  <c r="BS282" i="14"/>
  <c r="DG282" i="14"/>
  <c r="DL282" i="14"/>
  <c r="AI283" i="14"/>
  <c r="AN283" i="14"/>
  <c r="AS283" i="14"/>
  <c r="AY283" i="14"/>
  <c r="BN283" i="14"/>
  <c r="BM283" i="14" s="1"/>
  <c r="BR283" i="14"/>
  <c r="DF283" i="14"/>
  <c r="DK283" i="14"/>
  <c r="AB284" i="14"/>
  <c r="V284" i="14" s="1"/>
  <c r="AI284" i="14"/>
  <c r="AN284" i="14"/>
  <c r="AS284" i="14"/>
  <c r="AY284" i="14"/>
  <c r="BN284" i="14"/>
  <c r="BM284" i="14" s="1"/>
  <c r="BR284" i="14"/>
  <c r="BW284" i="14"/>
  <c r="GK284" i="14" s="1"/>
  <c r="DF284" i="14"/>
  <c r="DK284" i="14"/>
  <c r="AJ285" i="14"/>
  <c r="AO285" i="14"/>
  <c r="AT285" i="14"/>
  <c r="AZ285" i="14"/>
  <c r="BG285" i="14" s="1"/>
  <c r="BF285" i="14" s="1"/>
  <c r="BS285" i="14"/>
  <c r="BX285" i="14"/>
  <c r="CY285" i="14" s="1"/>
  <c r="DG285" i="14"/>
  <c r="DL285" i="14"/>
  <c r="AI286" i="14"/>
  <c r="AN286" i="14"/>
  <c r="AS286" i="14"/>
  <c r="AY286" i="14"/>
  <c r="BM286" i="14"/>
  <c r="BR286" i="14"/>
  <c r="BW286" i="14"/>
  <c r="CR286" i="14"/>
  <c r="DF286" i="14"/>
  <c r="DK286" i="14"/>
  <c r="AB287" i="14"/>
  <c r="V287" i="14" s="1"/>
  <c r="AI287" i="14"/>
  <c r="AN287" i="14"/>
  <c r="AS287" i="14"/>
  <c r="AY287" i="14"/>
  <c r="BM287" i="14"/>
  <c r="BR287" i="14"/>
  <c r="BW287" i="14"/>
  <c r="GK287" i="14" s="1"/>
  <c r="CR287" i="14"/>
  <c r="DF287" i="14"/>
  <c r="DK287" i="14"/>
  <c r="AJ288" i="14"/>
  <c r="AO288" i="14"/>
  <c r="AT288" i="14"/>
  <c r="AZ288" i="14"/>
  <c r="BG288" i="14" s="1"/>
  <c r="BF288" i="14" s="1"/>
  <c r="BS288" i="14"/>
  <c r="BX288" i="14"/>
  <c r="CY288" i="14" s="1"/>
  <c r="DG288" i="14"/>
  <c r="DL288" i="14"/>
  <c r="AB289" i="14"/>
  <c r="V289" i="14" s="1"/>
  <c r="AI289" i="14"/>
  <c r="AN289" i="14"/>
  <c r="AS289" i="14"/>
  <c r="AY289" i="14"/>
  <c r="BN289" i="14"/>
  <c r="BM289" i="14" s="1"/>
  <c r="BR289" i="14"/>
  <c r="BW289" i="14"/>
  <c r="DF289" i="14"/>
  <c r="DK289" i="14"/>
  <c r="AB290" i="14"/>
  <c r="V290" i="14" s="1"/>
  <c r="AI290" i="14"/>
  <c r="AN290" i="14"/>
  <c r="AS290" i="14"/>
  <c r="AY290" i="14"/>
  <c r="BM290" i="14"/>
  <c r="BR290" i="14"/>
  <c r="BW290" i="14"/>
  <c r="CR290" i="14"/>
  <c r="DF290" i="14"/>
  <c r="DK290" i="14"/>
  <c r="AJ291" i="14"/>
  <c r="AO291" i="14"/>
  <c r="AT291" i="14"/>
  <c r="AZ291" i="14"/>
  <c r="BG291" i="14" s="1"/>
  <c r="BF291" i="14" s="1"/>
  <c r="BS291" i="14"/>
  <c r="DG291" i="14"/>
  <c r="DL291" i="14"/>
  <c r="AB292" i="14"/>
  <c r="V292" i="14" s="1"/>
  <c r="AI292" i="14"/>
  <c r="AN292" i="14"/>
  <c r="AS292" i="14"/>
  <c r="AY292" i="14"/>
  <c r="BN292" i="14"/>
  <c r="BM292" i="14" s="1"/>
  <c r="BR292" i="14"/>
  <c r="DF292" i="14"/>
  <c r="DK292" i="14"/>
  <c r="AB293" i="14"/>
  <c r="V293" i="14" s="1"/>
  <c r="AI293" i="14"/>
  <c r="AN293" i="14"/>
  <c r="AS293" i="14"/>
  <c r="AY293" i="14"/>
  <c r="BM293" i="14"/>
  <c r="BR293" i="14"/>
  <c r="BW293" i="14"/>
  <c r="GK293" i="14" s="1"/>
  <c r="CR293" i="14"/>
  <c r="DF293" i="14"/>
  <c r="DK293" i="14"/>
  <c r="AB295" i="14"/>
  <c r="V295" i="14" s="1"/>
  <c r="BY295" i="14"/>
  <c r="CZ295" i="14" s="1"/>
  <c r="CB295" i="14"/>
  <c r="CC295" i="14"/>
  <c r="CC309" i="14" s="1"/>
  <c r="CC319" i="14" s="1"/>
  <c r="CC333" i="14" s="1"/>
  <c r="CQ295" i="14"/>
  <c r="CW295" i="14"/>
  <c r="CW309" i="14" s="1"/>
  <c r="CW319" i="14" s="1"/>
  <c r="DB295" i="14"/>
  <c r="DB309" i="14" s="1"/>
  <c r="DB319" i="14" s="1"/>
  <c r="DQ295" i="14"/>
  <c r="DQ309" i="14" s="1"/>
  <c r="BG298" i="14"/>
  <c r="BK298" i="14"/>
  <c r="AB299" i="14"/>
  <c r="AD299" i="14"/>
  <c r="AI299" i="14"/>
  <c r="AK299" i="14"/>
  <c r="AK309" i="14" s="1"/>
  <c r="AK319" i="14" s="1"/>
  <c r="AN299" i="14"/>
  <c r="AP299" i="14"/>
  <c r="AP309" i="14" s="1"/>
  <c r="AP319" i="14" s="1"/>
  <c r="AP333" i="14" s="1"/>
  <c r="AS299" i="14"/>
  <c r="AU299" i="14"/>
  <c r="AY299" i="14"/>
  <c r="BA299" i="14"/>
  <c r="BG299" i="14"/>
  <c r="BK299" i="14"/>
  <c r="BK309" i="14" s="1"/>
  <c r="BK319" i="14" s="1"/>
  <c r="BK333" i="14" s="1"/>
  <c r="BM299" i="14"/>
  <c r="BO299" i="14"/>
  <c r="BR299" i="14"/>
  <c r="BT299" i="14"/>
  <c r="BW299" i="14"/>
  <c r="BY299" i="14"/>
  <c r="CZ299" i="14" s="1"/>
  <c r="DF299" i="14"/>
  <c r="DH299" i="14"/>
  <c r="DK299" i="14"/>
  <c r="DM299" i="14"/>
  <c r="DP299" i="14"/>
  <c r="DP298" i="14" s="1"/>
  <c r="AB300" i="14"/>
  <c r="AD300" i="14"/>
  <c r="AI300" i="14"/>
  <c r="AK300" i="14"/>
  <c r="AN300" i="14"/>
  <c r="AP300" i="14"/>
  <c r="AS300" i="14"/>
  <c r="AU300" i="14"/>
  <c r="AY300" i="14"/>
  <c r="BA300" i="14"/>
  <c r="BH300" i="14" s="1"/>
  <c r="BG300" i="14"/>
  <c r="BK300" i="14"/>
  <c r="BM300" i="14"/>
  <c r="BO300" i="14"/>
  <c r="BR300" i="14"/>
  <c r="BT300" i="14"/>
  <c r="BW300" i="14"/>
  <c r="GK300" i="14" s="1"/>
  <c r="BY300" i="14"/>
  <c r="CZ300" i="14" s="1"/>
  <c r="CR300" i="14"/>
  <c r="DF300" i="14"/>
  <c r="DH300" i="14"/>
  <c r="DK300" i="14"/>
  <c r="DM300" i="14"/>
  <c r="AB301" i="14"/>
  <c r="AD301" i="14"/>
  <c r="AI301" i="14"/>
  <c r="AK301" i="14"/>
  <c r="AN301" i="14"/>
  <c r="AP301" i="14"/>
  <c r="AS301" i="14"/>
  <c r="AU301" i="14"/>
  <c r="AY301" i="14"/>
  <c r="BA301" i="14"/>
  <c r="BH301" i="14" s="1"/>
  <c r="BG301" i="14"/>
  <c r="BK301" i="14"/>
  <c r="BM301" i="14"/>
  <c r="BO301" i="14"/>
  <c r="BR301" i="14"/>
  <c r="BT301" i="14"/>
  <c r="BW301" i="14"/>
  <c r="GK301" i="14" s="1"/>
  <c r="BY301" i="14"/>
  <c r="CZ301" i="14" s="1"/>
  <c r="CR301" i="14"/>
  <c r="DF301" i="14"/>
  <c r="DH301" i="14"/>
  <c r="DK301" i="14"/>
  <c r="DM301" i="14"/>
  <c r="DP301" i="14"/>
  <c r="BG302" i="14"/>
  <c r="BH302" i="14"/>
  <c r="BK302" i="14"/>
  <c r="CR302" i="14"/>
  <c r="BG303" i="14"/>
  <c r="BH303" i="14"/>
  <c r="BK303" i="14"/>
  <c r="CR303" i="14"/>
  <c r="AB304" i="14"/>
  <c r="AD304" i="14"/>
  <c r="AI304" i="14"/>
  <c r="AK304" i="14"/>
  <c r="AN304" i="14"/>
  <c r="AP304" i="14"/>
  <c r="AS304" i="14"/>
  <c r="AU304" i="14"/>
  <c r="AY304" i="14"/>
  <c r="BA304" i="14"/>
  <c r="BH304" i="14" s="1"/>
  <c r="BG304" i="14"/>
  <c r="BK304" i="14"/>
  <c r="BM304" i="14"/>
  <c r="BO304" i="14"/>
  <c r="BR304" i="14"/>
  <c r="BT304" i="14"/>
  <c r="BW304" i="14"/>
  <c r="GK304" i="14" s="1"/>
  <c r="BY304" i="14"/>
  <c r="CZ304" i="14" s="1"/>
  <c r="CR304" i="14"/>
  <c r="DF304" i="14"/>
  <c r="DH304" i="14"/>
  <c r="DK304" i="14"/>
  <c r="DM304" i="14"/>
  <c r="DP304" i="14"/>
  <c r="DP316" i="14" s="1"/>
  <c r="BG305" i="14"/>
  <c r="BH305" i="14"/>
  <c r="BK305" i="14"/>
  <c r="CR305" i="14"/>
  <c r="BH306" i="14"/>
  <c r="CR306" i="14"/>
  <c r="CR307" i="14"/>
  <c r="AX308" i="14"/>
  <c r="AH309" i="14"/>
  <c r="AH319" i="14" s="1"/>
  <c r="AH333" i="14" s="1"/>
  <c r="AL309" i="14"/>
  <c r="AL319" i="14" s="1"/>
  <c r="AL333" i="14" s="1"/>
  <c r="AM309" i="14"/>
  <c r="AM319" i="14" s="1"/>
  <c r="AQ309" i="14"/>
  <c r="AQ319" i="14" s="1"/>
  <c r="AQ333" i="14" s="1"/>
  <c r="AR309" i="14"/>
  <c r="AR319" i="14" s="1"/>
  <c r="AV309" i="14"/>
  <c r="AV319" i="14" s="1"/>
  <c r="AV333" i="14" s="1"/>
  <c r="AW309" i="14"/>
  <c r="AW319" i="14" s="1"/>
  <c r="AW333" i="14" s="1"/>
  <c r="BD309" i="14"/>
  <c r="BD319" i="14" s="1"/>
  <c r="BD333" i="14" s="1"/>
  <c r="BE309" i="14"/>
  <c r="BE319" i="14" s="1"/>
  <c r="BE333" i="14" s="1"/>
  <c r="BP309" i="14"/>
  <c r="BP319" i="14" s="1"/>
  <c r="BQ309" i="14"/>
  <c r="BQ319" i="14" s="1"/>
  <c r="BU309" i="14"/>
  <c r="BU319" i="14" s="1"/>
  <c r="BU333" i="14" s="1"/>
  <c r="BV309" i="14"/>
  <c r="BV319" i="14" s="1"/>
  <c r="BV333" i="14" s="1"/>
  <c r="DI309" i="14"/>
  <c r="DJ309" i="14"/>
  <c r="DN309" i="14"/>
  <c r="DO309" i="14"/>
  <c r="DR310" i="14"/>
  <c r="AB312" i="14"/>
  <c r="V312" i="14" s="1"/>
  <c r="AI312" i="14"/>
  <c r="AN312" i="14"/>
  <c r="AS312" i="14"/>
  <c r="AY312" i="14"/>
  <c r="BH312" i="14"/>
  <c r="BM312" i="14"/>
  <c r="BR312" i="14"/>
  <c r="BW312" i="14"/>
  <c r="GK312" i="14" s="1"/>
  <c r="DF312" i="14"/>
  <c r="DK312" i="14"/>
  <c r="DP312" i="14"/>
  <c r="AB313" i="14"/>
  <c r="V313" i="14" s="1"/>
  <c r="AI313" i="14"/>
  <c r="AN313" i="14"/>
  <c r="AS313" i="14"/>
  <c r="AY313" i="14"/>
  <c r="BH313" i="14"/>
  <c r="BF313" i="14" s="1"/>
  <c r="BM313" i="14"/>
  <c r="BR313" i="14"/>
  <c r="BW313" i="14"/>
  <c r="GK313" i="14" s="1"/>
  <c r="CR313" i="14"/>
  <c r="DF313" i="14"/>
  <c r="DK313" i="14"/>
  <c r="DP313" i="14"/>
  <c r="AB314" i="14"/>
  <c r="V314" i="14" s="1"/>
  <c r="AY314" i="14"/>
  <c r="BH314" i="14"/>
  <c r="BF314" i="14" s="1"/>
  <c r="BM314" i="14"/>
  <c r="BW314" i="14"/>
  <c r="GK314" i="14" s="1"/>
  <c r="CR314" i="14"/>
  <c r="CR315" i="14"/>
  <c r="U316" i="14"/>
  <c r="AD316" i="14"/>
  <c r="AH316" i="14"/>
  <c r="AK316" i="14"/>
  <c r="AI316" i="14" s="1"/>
  <c r="AP316" i="14"/>
  <c r="AN316" i="14" s="1"/>
  <c r="AU316" i="14"/>
  <c r="AS316" i="14" s="1"/>
  <c r="AZ316" i="14"/>
  <c r="BA316" i="14"/>
  <c r="BD316" i="14"/>
  <c r="BE316" i="14"/>
  <c r="BG316" i="14"/>
  <c r="BK316" i="14"/>
  <c r="BN316" i="14"/>
  <c r="BO316" i="14"/>
  <c r="BP316" i="14"/>
  <c r="BQ316" i="14"/>
  <c r="BX316" i="14"/>
  <c r="CY316" i="14" s="1"/>
  <c r="BY316" i="14"/>
  <c r="CZ316" i="14" s="1"/>
  <c r="CB316" i="14"/>
  <c r="DA316" i="14" s="1"/>
  <c r="CC316" i="14"/>
  <c r="CQ316" i="14"/>
  <c r="CW316" i="14"/>
  <c r="DB316" i="14"/>
  <c r="DQ316" i="14"/>
  <c r="DR316" i="14"/>
  <c r="DS316" i="14"/>
  <c r="DT316" i="14"/>
  <c r="DU318" i="14"/>
  <c r="DV318" i="14"/>
  <c r="DW318" i="14"/>
  <c r="DG319" i="14"/>
  <c r="DH319" i="14"/>
  <c r="DI319" i="14"/>
  <c r="DJ319" i="14"/>
  <c r="DL319" i="14"/>
  <c r="DM319" i="14"/>
  <c r="DN319" i="14"/>
  <c r="DO319" i="14"/>
  <c r="DQ319" i="14"/>
  <c r="DR319" i="14"/>
  <c r="DS319" i="14"/>
  <c r="DT319" i="14"/>
  <c r="AB329" i="14"/>
  <c r="AI329" i="14"/>
  <c r="AI330" i="14" s="1"/>
  <c r="AN329" i="14"/>
  <c r="AN330" i="14" s="1"/>
  <c r="AS329" i="14"/>
  <c r="AS330" i="14" s="1"/>
  <c r="AY329" i="14"/>
  <c r="AY330" i="14" s="1"/>
  <c r="BH329" i="14"/>
  <c r="BF329" i="14" s="1"/>
  <c r="BF330" i="14" s="1"/>
  <c r="BM329" i="14"/>
  <c r="BM330" i="14" s="1"/>
  <c r="BR329" i="14"/>
  <c r="BR330" i="14" s="1"/>
  <c r="BW329" i="14"/>
  <c r="DF329" i="14"/>
  <c r="DK329" i="14"/>
  <c r="DP329" i="14"/>
  <c r="U330" i="14"/>
  <c r="AD330" i="14"/>
  <c r="AH330" i="14"/>
  <c r="AJ330" i="14"/>
  <c r="AK330" i="14"/>
  <c r="AL330" i="14"/>
  <c r="AM330" i="14"/>
  <c r="AO330" i="14"/>
  <c r="AP330" i="14"/>
  <c r="AQ330" i="14"/>
  <c r="AR330" i="14"/>
  <c r="AT330" i="14"/>
  <c r="AU330" i="14"/>
  <c r="AV330" i="14"/>
  <c r="AW330" i="14"/>
  <c r="AZ330" i="14"/>
  <c r="BA330" i="14"/>
  <c r="BD330" i="14"/>
  <c r="BE330" i="14"/>
  <c r="BG330" i="14"/>
  <c r="BK330" i="14"/>
  <c r="BN330" i="14"/>
  <c r="BO330" i="14"/>
  <c r="BP330" i="14"/>
  <c r="BQ330" i="14"/>
  <c r="BS330" i="14"/>
  <c r="BT330" i="14"/>
  <c r="BU330" i="14"/>
  <c r="BV330" i="14"/>
  <c r="BX330" i="14"/>
  <c r="CY330" i="14" s="1"/>
  <c r="BY330" i="14"/>
  <c r="CZ330" i="14" s="1"/>
  <c r="CB330" i="14"/>
  <c r="DA330" i="14" s="1"/>
  <c r="CC330" i="14"/>
  <c r="CQ330" i="14"/>
  <c r="CW330" i="14"/>
  <c r="DB330" i="14"/>
  <c r="DP330" i="14"/>
  <c r="DP332" i="14" s="1"/>
  <c r="DQ330" i="14"/>
  <c r="DQ332" i="14" s="1"/>
  <c r="DR330" i="14"/>
  <c r="DR332" i="14" s="1"/>
  <c r="DS330" i="14"/>
  <c r="DS332" i="14" s="1"/>
  <c r="DT330" i="14"/>
  <c r="DT332" i="14" s="1"/>
  <c r="DF332" i="14"/>
  <c r="DG332" i="14"/>
  <c r="DH332" i="14"/>
  <c r="DI332" i="14"/>
  <c r="DJ332" i="14"/>
  <c r="DU332" i="14"/>
  <c r="DV332" i="14"/>
  <c r="DW332" i="14"/>
  <c r="DZ332" i="14"/>
  <c r="EA332" i="14"/>
  <c r="DI333" i="14"/>
  <c r="DJ333" i="14"/>
  <c r="DS333" i="14"/>
  <c r="DT333" i="14"/>
  <c r="DG334" i="14"/>
  <c r="DH334" i="14"/>
  <c r="DL334" i="14"/>
  <c r="DM334" i="14"/>
  <c r="DN334" i="14"/>
  <c r="DO334" i="14"/>
  <c r="DQ334" i="14"/>
  <c r="DR334" i="14"/>
  <c r="CC349" i="14"/>
  <c r="T8" i="14"/>
  <c r="T10" i="14"/>
  <c r="T22" i="14"/>
  <c r="T41" i="14"/>
  <c r="T59" i="14"/>
  <c r="T81" i="14"/>
  <c r="T130" i="14"/>
  <c r="T153" i="14"/>
  <c r="T197" i="14"/>
  <c r="T205" i="14"/>
  <c r="T222" i="14"/>
  <c r="T232" i="14"/>
  <c r="T244" i="14"/>
  <c r="T316" i="14"/>
  <c r="T330" i="14"/>
  <c r="CB309" i="14" l="1"/>
  <c r="DA295" i="14"/>
  <c r="GK290" i="14"/>
  <c r="GK289" i="14"/>
  <c r="GK278" i="14"/>
  <c r="GK274" i="14"/>
  <c r="GK272" i="14"/>
  <c r="GK241" i="14"/>
  <c r="BF222" i="14"/>
  <c r="GK79" i="14"/>
  <c r="GK64" i="14"/>
  <c r="GK275" i="14"/>
  <c r="BF244" i="14"/>
  <c r="BF232" i="14"/>
  <c r="BF197" i="14"/>
  <c r="BF161" i="14"/>
  <c r="BF81" i="14"/>
  <c r="BF22" i="14"/>
  <c r="EX10" i="14"/>
  <c r="EW10" i="14" s="1"/>
  <c r="BG10" i="14"/>
  <c r="BF263" i="14"/>
  <c r="FY10" i="14"/>
  <c r="FX10" i="14" s="1"/>
  <c r="BK10" i="14"/>
  <c r="GK255" i="14"/>
  <c r="GK213" i="14"/>
  <c r="GK211" i="14"/>
  <c r="GK196" i="14"/>
  <c r="GK171" i="14"/>
  <c r="GK129" i="14"/>
  <c r="GK124" i="14"/>
  <c r="GK175" i="14"/>
  <c r="GK271" i="14"/>
  <c r="GK247" i="14"/>
  <c r="GK233" i="14"/>
  <c r="GK192" i="14"/>
  <c r="GK187" i="14"/>
  <c r="GK11" i="14"/>
  <c r="GK256" i="14"/>
  <c r="GK252" i="14"/>
  <c r="GK250" i="14"/>
  <c r="GK236" i="14"/>
  <c r="GK229" i="14"/>
  <c r="GK218" i="14"/>
  <c r="GK212" i="14"/>
  <c r="GK168" i="14"/>
  <c r="GK150" i="14"/>
  <c r="GK145" i="14"/>
  <c r="GK143" i="14"/>
  <c r="GK119" i="14"/>
  <c r="GK62" i="14"/>
  <c r="GK55" i="14"/>
  <c r="GK49" i="14"/>
  <c r="GK25" i="14"/>
  <c r="GK17" i="14"/>
  <c r="GK221" i="14"/>
  <c r="GK219" i="14"/>
  <c r="GK215" i="14"/>
  <c r="AI291" i="14"/>
  <c r="GK173" i="14"/>
  <c r="GK162" i="14"/>
  <c r="GK135" i="14"/>
  <c r="GK104" i="14"/>
  <c r="GK91" i="14"/>
  <c r="GK87" i="14"/>
  <c r="GK75" i="14"/>
  <c r="BR298" i="14"/>
  <c r="GK249" i="14"/>
  <c r="GK238" i="14"/>
  <c r="P238" i="14"/>
  <c r="GK234" i="14"/>
  <c r="P234" i="14"/>
  <c r="GK230" i="14"/>
  <c r="P230" i="14"/>
  <c r="GK227" i="14"/>
  <c r="P227" i="14"/>
  <c r="GK223" i="14"/>
  <c r="P223" i="14"/>
  <c r="GK207" i="14"/>
  <c r="P207" i="14"/>
  <c r="GK182" i="14"/>
  <c r="P182" i="14"/>
  <c r="GK155" i="14"/>
  <c r="P155" i="14"/>
  <c r="GK149" i="14"/>
  <c r="P149" i="14"/>
  <c r="GK147" i="14"/>
  <c r="P147" i="14"/>
  <c r="GK131" i="14"/>
  <c r="P131" i="14"/>
  <c r="GK127" i="14"/>
  <c r="P127" i="14"/>
  <c r="GK117" i="14"/>
  <c r="P117" i="14"/>
  <c r="GK83" i="14"/>
  <c r="P83" i="14"/>
  <c r="GK80" i="14"/>
  <c r="P80" i="14"/>
  <c r="GK73" i="14"/>
  <c r="P73" i="14"/>
  <c r="GK69" i="14"/>
  <c r="P69" i="14"/>
  <c r="GK39" i="14"/>
  <c r="P39" i="14"/>
  <c r="GK36" i="14"/>
  <c r="P36" i="14"/>
  <c r="GK34" i="14"/>
  <c r="P34" i="14"/>
  <c r="GK32" i="14"/>
  <c r="P32" i="14"/>
  <c r="GK28" i="14"/>
  <c r="P28" i="14"/>
  <c r="GK26" i="14"/>
  <c r="P26" i="14"/>
  <c r="GK18" i="14"/>
  <c r="P18" i="14"/>
  <c r="GK15" i="14"/>
  <c r="P15" i="14"/>
  <c r="GK118" i="14"/>
  <c r="P118" i="14"/>
  <c r="GK112" i="14"/>
  <c r="P112" i="14"/>
  <c r="GK101" i="14"/>
  <c r="P101" i="14"/>
  <c r="GK85" i="14"/>
  <c r="P85" i="14"/>
  <c r="GK52" i="14"/>
  <c r="P52" i="14"/>
  <c r="GK50" i="14"/>
  <c r="P50" i="14"/>
  <c r="GK40" i="14"/>
  <c r="P40" i="14"/>
  <c r="GK35" i="14"/>
  <c r="P35" i="14"/>
  <c r="GK27" i="14"/>
  <c r="P27" i="14"/>
  <c r="GK23" i="14"/>
  <c r="P23" i="14"/>
  <c r="GK240" i="14"/>
  <c r="P240" i="14"/>
  <c r="GK226" i="14"/>
  <c r="P226" i="14"/>
  <c r="GK210" i="14"/>
  <c r="P210" i="14"/>
  <c r="GK193" i="14"/>
  <c r="P193" i="14"/>
  <c r="GK189" i="14"/>
  <c r="GK172" i="14"/>
  <c r="GK170" i="14"/>
  <c r="GK141" i="14"/>
  <c r="P141" i="14"/>
  <c r="GK134" i="14"/>
  <c r="GK133" i="14"/>
  <c r="P133" i="14"/>
  <c r="GK132" i="14"/>
  <c r="P132" i="14"/>
  <c r="GK123" i="14"/>
  <c r="GK110" i="14"/>
  <c r="GK82" i="14"/>
  <c r="P82" i="14"/>
  <c r="GK76" i="14"/>
  <c r="P76" i="14"/>
  <c r="GK72" i="14"/>
  <c r="GK70" i="14"/>
  <c r="GK68" i="14"/>
  <c r="P68" i="14"/>
  <c r="GK65" i="14"/>
  <c r="GK63" i="14"/>
  <c r="P63" i="14"/>
  <c r="GK60" i="14"/>
  <c r="P60" i="14"/>
  <c r="GK47" i="14"/>
  <c r="P47" i="14"/>
  <c r="GK37" i="14"/>
  <c r="P37" i="14"/>
  <c r="GK30" i="14"/>
  <c r="P30" i="14"/>
  <c r="GK24" i="14"/>
  <c r="P24" i="14"/>
  <c r="GK20" i="14"/>
  <c r="P20" i="14"/>
  <c r="CN8" i="14"/>
  <c r="CN260" i="14" s="1"/>
  <c r="CN262" i="14" s="1"/>
  <c r="CO260" i="14"/>
  <c r="CO262" i="14" s="1"/>
  <c r="GK258" i="14"/>
  <c r="P258" i="14"/>
  <c r="GK243" i="14"/>
  <c r="P243" i="14"/>
  <c r="GK239" i="14"/>
  <c r="P239" i="14"/>
  <c r="GK235" i="14"/>
  <c r="P235" i="14"/>
  <c r="GK224" i="14"/>
  <c r="P224" i="14"/>
  <c r="GK204" i="14"/>
  <c r="P204" i="14"/>
  <c r="GK198" i="14"/>
  <c r="P198" i="14"/>
  <c r="GK183" i="14"/>
  <c r="P183" i="14"/>
  <c r="GK159" i="14"/>
  <c r="P159" i="14"/>
  <c r="GK157" i="14"/>
  <c r="P157" i="14"/>
  <c r="GK137" i="14"/>
  <c r="P137" i="14"/>
  <c r="GK108" i="14"/>
  <c r="P108" i="14"/>
  <c r="GK106" i="14"/>
  <c r="P106" i="14"/>
  <c r="GK99" i="14"/>
  <c r="P99" i="14"/>
  <c r="GK29" i="14"/>
  <c r="P29" i="14"/>
  <c r="GK19" i="14"/>
  <c r="P19" i="14"/>
  <c r="GK259" i="14"/>
  <c r="P259" i="14"/>
  <c r="GK251" i="14"/>
  <c r="P251" i="14"/>
  <c r="GK228" i="14"/>
  <c r="BW330" i="14"/>
  <c r="GK329" i="14"/>
  <c r="GK299" i="14"/>
  <c r="GK245" i="14"/>
  <c r="P245" i="14"/>
  <c r="DZ238" i="14"/>
  <c r="GK237" i="14"/>
  <c r="P237" i="14"/>
  <c r="GK214" i="14"/>
  <c r="GK206" i="14"/>
  <c r="P206" i="14"/>
  <c r="GK203" i="14"/>
  <c r="GK201" i="14"/>
  <c r="P201" i="14"/>
  <c r="GK199" i="14"/>
  <c r="P199" i="14"/>
  <c r="GK195" i="14"/>
  <c r="P195" i="14"/>
  <c r="GK190" i="14"/>
  <c r="GK188" i="14"/>
  <c r="P188" i="14"/>
  <c r="GK181" i="14"/>
  <c r="P181" i="14"/>
  <c r="GK178" i="14"/>
  <c r="P178" i="14"/>
  <c r="GK176" i="14"/>
  <c r="P176" i="14"/>
  <c r="GK174" i="14"/>
  <c r="P174" i="14"/>
  <c r="GK169" i="14"/>
  <c r="GK167" i="14"/>
  <c r="GK165" i="14"/>
  <c r="GK163" i="14"/>
  <c r="P163" i="14"/>
  <c r="GK154" i="14"/>
  <c r="P154" i="14"/>
  <c r="GK148" i="14"/>
  <c r="P148" i="14"/>
  <c r="GK140" i="14"/>
  <c r="GK136" i="14"/>
  <c r="GK126" i="14"/>
  <c r="P126" i="14"/>
  <c r="GK120" i="14"/>
  <c r="P120" i="14"/>
  <c r="GK115" i="14"/>
  <c r="P115" i="14"/>
  <c r="GK113" i="14"/>
  <c r="GK111" i="14"/>
  <c r="GK109" i="14"/>
  <c r="P109" i="14"/>
  <c r="GK107" i="14"/>
  <c r="GK105" i="14"/>
  <c r="GK102" i="14"/>
  <c r="GK100" i="14"/>
  <c r="GK98" i="14"/>
  <c r="P98" i="14"/>
  <c r="GK94" i="14"/>
  <c r="P94" i="14"/>
  <c r="GK90" i="14"/>
  <c r="GK88" i="14"/>
  <c r="GK86" i="14"/>
  <c r="GK61" i="14"/>
  <c r="P61" i="14"/>
  <c r="GK43" i="14"/>
  <c r="P43" i="14"/>
  <c r="GK42" i="14"/>
  <c r="P42" i="14"/>
  <c r="GK33" i="14"/>
  <c r="P33" i="14"/>
  <c r="GK31" i="14"/>
  <c r="P31" i="14"/>
  <c r="GK21" i="14"/>
  <c r="P21" i="14"/>
  <c r="GK14" i="14"/>
  <c r="P14" i="14"/>
  <c r="GK12" i="14"/>
  <c r="P12" i="14"/>
  <c r="GK77" i="14"/>
  <c r="GK74" i="14"/>
  <c r="P74" i="14"/>
  <c r="GK121" i="14"/>
  <c r="P121" i="14"/>
  <c r="GK177" i="14"/>
  <c r="P177" i="14"/>
  <c r="GK164" i="14"/>
  <c r="GK200" i="14"/>
  <c r="GK202" i="14"/>
  <c r="P202" i="14"/>
  <c r="GK128" i="14"/>
  <c r="P128" i="14"/>
  <c r="GK180" i="14"/>
  <c r="GK254" i="14"/>
  <c r="GK71" i="14"/>
  <c r="P71" i="14"/>
  <c r="GK57" i="14"/>
  <c r="P57" i="14"/>
  <c r="GK286" i="14"/>
  <c r="GK13" i="14"/>
  <c r="V282" i="14"/>
  <c r="V270" i="14"/>
  <c r="V288" i="14"/>
  <c r="V279" i="14"/>
  <c r="V273" i="14"/>
  <c r="V291" i="14"/>
  <c r="AB330" i="14"/>
  <c r="V329" i="14"/>
  <c r="V316" i="14"/>
  <c r="V276" i="14"/>
  <c r="V269" i="14"/>
  <c r="P208" i="14"/>
  <c r="P124" i="14"/>
  <c r="P165" i="14"/>
  <c r="P253" i="14"/>
  <c r="P75" i="14"/>
  <c r="P187" i="14"/>
  <c r="P246" i="14"/>
  <c r="P247" i="14"/>
  <c r="P72" i="14"/>
  <c r="P252" i="14"/>
  <c r="P175" i="14"/>
  <c r="P192" i="14"/>
  <c r="P119" i="14"/>
  <c r="P212" i="14"/>
  <c r="P86" i="14"/>
  <c r="P46" i="14"/>
  <c r="P144" i="14"/>
  <c r="P11" i="14"/>
  <c r="P256" i="14"/>
  <c r="P54" i="14"/>
  <c r="P190" i="14"/>
  <c r="P166" i="14"/>
  <c r="P228" i="14"/>
  <c r="P213" i="14"/>
  <c r="P143" i="14"/>
  <c r="P48" i="14"/>
  <c r="P93" i="14"/>
  <c r="P191" i="14"/>
  <c r="P107" i="14"/>
  <c r="P123" i="14"/>
  <c r="P17" i="14"/>
  <c r="P102" i="14"/>
  <c r="P221" i="14"/>
  <c r="P13" i="14"/>
  <c r="P236" i="14"/>
  <c r="P62" i="14"/>
  <c r="P70" i="14"/>
  <c r="P136" i="14"/>
  <c r="P38" i="14"/>
  <c r="P88" i="14"/>
  <c r="P162" i="14"/>
  <c r="P151" i="14"/>
  <c r="P25" i="14"/>
  <c r="P167" i="14"/>
  <c r="P105" i="14"/>
  <c r="P65" i="14"/>
  <c r="P219" i="14"/>
  <c r="P135" i="14"/>
  <c r="P241" i="14"/>
  <c r="P189" i="14"/>
  <c r="P164" i="14"/>
  <c r="P90" i="14"/>
  <c r="P214" i="14"/>
  <c r="P79" i="14"/>
  <c r="P134" i="14"/>
  <c r="P138" i="14"/>
  <c r="P211" i="14"/>
  <c r="P113" i="14"/>
  <c r="P146" i="14"/>
  <c r="P173" i="14"/>
  <c r="P172" i="14"/>
  <c r="P67" i="14"/>
  <c r="P196" i="14"/>
  <c r="P142" i="14"/>
  <c r="P56" i="14"/>
  <c r="P100" i="14"/>
  <c r="P171" i="14"/>
  <c r="P150" i="14"/>
  <c r="P77" i="14"/>
  <c r="P233" i="14"/>
  <c r="P89" i="14"/>
  <c r="P220" i="14"/>
  <c r="P111" i="14"/>
  <c r="P249" i="14"/>
  <c r="P49" i="14"/>
  <c r="P215" i="14"/>
  <c r="P254" i="14"/>
  <c r="P180" i="14"/>
  <c r="P129" i="14"/>
  <c r="P250" i="14"/>
  <c r="P248" i="14"/>
  <c r="P229" i="14"/>
  <c r="P110" i="14"/>
  <c r="P64" i="14"/>
  <c r="P152" i="14"/>
  <c r="P87" i="14"/>
  <c r="P200" i="14"/>
  <c r="P158" i="14"/>
  <c r="P104" i="14"/>
  <c r="P170" i="14"/>
  <c r="P53" i="14"/>
  <c r="P203" i="14"/>
  <c r="P145" i="14"/>
  <c r="P140" i="14"/>
  <c r="P255" i="14"/>
  <c r="P216" i="14"/>
  <c r="P55" i="14"/>
  <c r="P16" i="14"/>
  <c r="P186" i="14"/>
  <c r="P169" i="14"/>
  <c r="P97" i="14"/>
  <c r="P91" i="14"/>
  <c r="P218" i="14"/>
  <c r="DZ168" i="14"/>
  <c r="P168" i="14"/>
  <c r="BR276" i="14"/>
  <c r="BM201" i="14"/>
  <c r="BM197" i="14" s="1"/>
  <c r="DZ196" i="14"/>
  <c r="DZ240" i="14"/>
  <c r="T260" i="14"/>
  <c r="T332" i="14" s="1"/>
  <c r="BM241" i="14"/>
  <c r="DD241" i="14" s="1"/>
  <c r="DE241" i="14" s="1"/>
  <c r="DE11" i="14"/>
  <c r="DZ237" i="14"/>
  <c r="DZ187" i="14"/>
  <c r="DZ97" i="14"/>
  <c r="DZ27" i="14"/>
  <c r="DZ135" i="14"/>
  <c r="BM285" i="14"/>
  <c r="DZ239" i="14"/>
  <c r="AN276" i="14"/>
  <c r="DZ178" i="14"/>
  <c r="AB316" i="14"/>
  <c r="DZ148" i="14"/>
  <c r="DZ145" i="14"/>
  <c r="DZ129" i="14"/>
  <c r="DZ109" i="14"/>
  <c r="DZ258" i="14"/>
  <c r="DZ219" i="14"/>
  <c r="DZ123" i="14"/>
  <c r="DZ108" i="14"/>
  <c r="DZ106" i="14"/>
  <c r="DZ50" i="14"/>
  <c r="DZ14" i="14"/>
  <c r="DZ233" i="14"/>
  <c r="DZ189" i="14"/>
  <c r="DZ165" i="14"/>
  <c r="DZ146" i="14"/>
  <c r="DZ117" i="14"/>
  <c r="BN96" i="14"/>
  <c r="DK263" i="14"/>
  <c r="BW316" i="14"/>
  <c r="AY298" i="14"/>
  <c r="AN298" i="14"/>
  <c r="BR279" i="14"/>
  <c r="AN270" i="14"/>
  <c r="DZ147" i="14"/>
  <c r="DZ75" i="14"/>
  <c r="DZ61" i="14"/>
  <c r="DZ56" i="14"/>
  <c r="DZ42" i="14"/>
  <c r="DZ35" i="14"/>
  <c r="DZ24" i="14"/>
  <c r="AB269" i="14"/>
  <c r="DZ254" i="14"/>
  <c r="DZ166" i="14"/>
  <c r="DF288" i="14"/>
  <c r="AB279" i="14"/>
  <c r="DZ247" i="14"/>
  <c r="DZ216" i="14"/>
  <c r="DZ214" i="14"/>
  <c r="DZ207" i="14"/>
  <c r="DZ162" i="14"/>
  <c r="DZ136" i="14"/>
  <c r="DZ133" i="14"/>
  <c r="DZ124" i="14"/>
  <c r="DZ107" i="14"/>
  <c r="DZ94" i="14"/>
  <c r="DZ46" i="14"/>
  <c r="DZ13" i="14"/>
  <c r="DK298" i="14"/>
  <c r="BA298" i="14"/>
  <c r="BH298" i="14" s="1"/>
  <c r="BF298" i="14" s="1"/>
  <c r="AP298" i="14"/>
  <c r="AD298" i="14"/>
  <c r="DK288" i="14"/>
  <c r="DZ170" i="14"/>
  <c r="DZ110" i="14"/>
  <c r="CQ309" i="14"/>
  <c r="CK295" i="14"/>
  <c r="BR295" i="14"/>
  <c r="AY279" i="14"/>
  <c r="DP334" i="14"/>
  <c r="BH330" i="14"/>
  <c r="AJ309" i="14"/>
  <c r="AJ319" i="14" s="1"/>
  <c r="AJ333" i="14" s="1"/>
  <c r="AS282" i="14"/>
  <c r="AS273" i="14"/>
  <c r="DF270" i="14"/>
  <c r="AO267" i="14"/>
  <c r="AI263" i="14"/>
  <c r="DZ255" i="14"/>
  <c r="DZ248" i="14"/>
  <c r="DZ204" i="14"/>
  <c r="DZ202" i="14"/>
  <c r="DZ193" i="14"/>
  <c r="DZ183" i="14"/>
  <c r="DD165" i="14"/>
  <c r="DE165" i="14" s="1"/>
  <c r="BP161" i="14"/>
  <c r="DZ142" i="14"/>
  <c r="DZ137" i="14"/>
  <c r="DD121" i="14"/>
  <c r="DE121" i="14" s="1"/>
  <c r="DZ100" i="14"/>
  <c r="DZ98" i="14"/>
  <c r="DZ73" i="14"/>
  <c r="DZ70" i="14"/>
  <c r="DZ55" i="14"/>
  <c r="DZ36" i="14"/>
  <c r="DZ25" i="14"/>
  <c r="DZ21" i="14"/>
  <c r="DZ167" i="14"/>
  <c r="DZ53" i="14"/>
  <c r="DZ17" i="14"/>
  <c r="AY268" i="14"/>
  <c r="DZ151" i="14"/>
  <c r="DZ236" i="14"/>
  <c r="DZ235" i="14"/>
  <c r="AB268" i="14"/>
  <c r="EA206" i="14"/>
  <c r="EA202" i="14"/>
  <c r="EA183" i="14"/>
  <c r="EA196" i="14"/>
  <c r="EA157" i="14"/>
  <c r="EA126" i="14"/>
  <c r="EA109" i="14"/>
  <c r="EA77" i="14"/>
  <c r="EA65" i="14"/>
  <c r="EA64" i="14"/>
  <c r="EA73" i="14"/>
  <c r="EA72" i="14"/>
  <c r="EA69" i="14"/>
  <c r="EA68" i="14"/>
  <c r="EA39" i="14"/>
  <c r="EA38" i="14"/>
  <c r="EA37" i="14"/>
  <c r="EA32" i="14"/>
  <c r="EA31" i="14"/>
  <c r="EA28" i="14"/>
  <c r="EA15" i="14"/>
  <c r="EA14" i="14"/>
  <c r="DZ47" i="14"/>
  <c r="DZ12" i="14"/>
  <c r="BW269" i="14"/>
  <c r="AY273" i="14"/>
  <c r="AY269" i="14"/>
  <c r="DZ212" i="14"/>
  <c r="DZ199" i="14"/>
  <c r="DZ172" i="14"/>
  <c r="DZ131" i="14"/>
  <c r="AY263" i="14"/>
  <c r="AZ295" i="14"/>
  <c r="AS291" i="14"/>
  <c r="DF279" i="14"/>
  <c r="DZ246" i="14"/>
  <c r="DZ243" i="14"/>
  <c r="EA163" i="14"/>
  <c r="BW160" i="14"/>
  <c r="EA135" i="14"/>
  <c r="CB59" i="14"/>
  <c r="DA59" i="14" s="1"/>
  <c r="BW78" i="14"/>
  <c r="GK78" i="14" s="1"/>
  <c r="AD309" i="14"/>
  <c r="AD319" i="14" s="1"/>
  <c r="AD333" i="14" s="1"/>
  <c r="BF305" i="14"/>
  <c r="BW298" i="14"/>
  <c r="DM298" i="14"/>
  <c r="BM291" i="14"/>
  <c r="AI288" i="14"/>
  <c r="AI282" i="14"/>
  <c r="DK273" i="14"/>
  <c r="DG267" i="14"/>
  <c r="EA259" i="14"/>
  <c r="EA258" i="14"/>
  <c r="BW257" i="14"/>
  <c r="DZ245" i="14"/>
  <c r="EA216" i="14"/>
  <c r="EA214" i="14"/>
  <c r="EA213" i="14"/>
  <c r="EA207" i="14"/>
  <c r="EA123" i="14"/>
  <c r="EA122" i="14"/>
  <c r="DZ99" i="14"/>
  <c r="EA90" i="14"/>
  <c r="CR17" i="14"/>
  <c r="AY316" i="14"/>
  <c r="AN285" i="14"/>
  <c r="AI279" i="14"/>
  <c r="CR276" i="14"/>
  <c r="DZ203" i="14"/>
  <c r="BY309" i="14"/>
  <c r="CR292" i="14"/>
  <c r="BW288" i="14"/>
  <c r="DK279" i="14"/>
  <c r="DK276" i="14"/>
  <c r="AY276" i="14"/>
  <c r="AB276" i="14"/>
  <c r="BW273" i="14"/>
  <c r="BW270" i="14"/>
  <c r="AJ267" i="14"/>
  <c r="EA218" i="14"/>
  <c r="AY160" i="14"/>
  <c r="EA159" i="14"/>
  <c r="AY156" i="14"/>
  <c r="DZ150" i="14"/>
  <c r="EA149" i="14"/>
  <c r="EA105" i="14"/>
  <c r="EA104" i="14"/>
  <c r="AY44" i="14"/>
  <c r="AY41" i="14" s="1"/>
  <c r="DZ23" i="14"/>
  <c r="EA198" i="14"/>
  <c r="DZ198" i="14"/>
  <c r="EA186" i="14"/>
  <c r="EA180" i="14"/>
  <c r="EA167" i="14"/>
  <c r="EA166" i="14"/>
  <c r="DZ140" i="14"/>
  <c r="BR130" i="14"/>
  <c r="DZ128" i="14"/>
  <c r="EA117" i="14"/>
  <c r="DZ115" i="14"/>
  <c r="EA84" i="14"/>
  <c r="DZ69" i="14"/>
  <c r="DZ54" i="14"/>
  <c r="DZ52" i="14"/>
  <c r="EA43" i="14"/>
  <c r="DZ43" i="14"/>
  <c r="EA34" i="14"/>
  <c r="EA33" i="14"/>
  <c r="DZ26" i="14"/>
  <c r="EA25" i="14"/>
  <c r="DD23" i="14"/>
  <c r="DE23" i="14" s="1"/>
  <c r="DZ20" i="14"/>
  <c r="EA19" i="14"/>
  <c r="EA18" i="14"/>
  <c r="AN10" i="14"/>
  <c r="EA240" i="14"/>
  <c r="EA239" i="14"/>
  <c r="EA238" i="14"/>
  <c r="EA237" i="14"/>
  <c r="EA236" i="14"/>
  <c r="DZ230" i="14"/>
  <c r="DZ226" i="14"/>
  <c r="DZ224" i="14"/>
  <c r="DZ221" i="14"/>
  <c r="EA219" i="14"/>
  <c r="DZ211" i="14"/>
  <c r="DZ210" i="14"/>
  <c r="DZ195" i="14"/>
  <c r="DZ177" i="14"/>
  <c r="EA176" i="14"/>
  <c r="DZ174" i="14"/>
  <c r="DZ173" i="14"/>
  <c r="EA172" i="14"/>
  <c r="EA171" i="14"/>
  <c r="DZ171" i="14"/>
  <c r="EA170" i="14"/>
  <c r="DD158" i="14"/>
  <c r="DE158" i="14" s="1"/>
  <c r="EA155" i="14"/>
  <c r="DZ155" i="14"/>
  <c r="EA150" i="14"/>
  <c r="EA143" i="14"/>
  <c r="EA142" i="14"/>
  <c r="EA138" i="14"/>
  <c r="DZ134" i="14"/>
  <c r="DZ132" i="14"/>
  <c r="DZ126" i="14"/>
  <c r="EA103" i="14"/>
  <c r="EA102" i="14"/>
  <c r="EA99" i="14"/>
  <c r="DZ80" i="14"/>
  <c r="DZ72" i="14"/>
  <c r="BM56" i="14"/>
  <c r="DD45" i="14" s="1"/>
  <c r="DE45" i="14" s="1"/>
  <c r="EA48" i="14"/>
  <c r="EA40" i="14"/>
  <c r="DP33" i="14"/>
  <c r="DZ64" i="14"/>
  <c r="DZ60" i="14"/>
  <c r="DZ40" i="14"/>
  <c r="DZ29" i="14"/>
  <c r="EA20" i="14"/>
  <c r="EA164" i="14"/>
  <c r="DZ241" i="14"/>
  <c r="EA16" i="14"/>
  <c r="CR259" i="14"/>
  <c r="EA86" i="14"/>
  <c r="DZ229" i="14"/>
  <c r="AI270" i="14"/>
  <c r="AI232" i="14"/>
  <c r="AI298" i="14"/>
  <c r="BX276" i="14"/>
  <c r="CY276" i="14" s="1"/>
  <c r="CR270" i="14"/>
  <c r="AY270" i="14"/>
  <c r="DF263" i="14"/>
  <c r="CR254" i="14"/>
  <c r="CR241" i="14"/>
  <c r="DF334" i="14"/>
  <c r="DX332" i="14"/>
  <c r="BM316" i="14"/>
  <c r="BM298" i="14"/>
  <c r="BH299" i="14"/>
  <c r="BH309" i="14" s="1"/>
  <c r="BH319" i="14" s="1"/>
  <c r="BH333" i="14" s="1"/>
  <c r="BA309" i="14"/>
  <c r="BA319" i="14" s="1"/>
  <c r="BA333" i="14" s="1"/>
  <c r="AS288" i="14"/>
  <c r="AB273" i="14"/>
  <c r="DF269" i="14"/>
  <c r="BM269" i="14"/>
  <c r="DG309" i="14"/>
  <c r="DF295" i="14"/>
  <c r="DZ259" i="14"/>
  <c r="DZ249" i="14"/>
  <c r="AI222" i="14"/>
  <c r="CR298" i="14"/>
  <c r="CR299" i="14"/>
  <c r="DM309" i="14"/>
  <c r="AS298" i="14"/>
  <c r="BR270" i="14"/>
  <c r="AB270" i="14"/>
  <c r="BM263" i="14"/>
  <c r="CR255" i="14"/>
  <c r="BF302" i="14"/>
  <c r="BF301" i="14"/>
  <c r="DF298" i="14"/>
  <c r="BT298" i="14"/>
  <c r="BT309" i="14"/>
  <c r="BT319" i="14" s="1"/>
  <c r="BT333" i="14" s="1"/>
  <c r="AO295" i="14"/>
  <c r="AO309" i="14" s="1"/>
  <c r="BW285" i="14"/>
  <c r="AI285" i="14"/>
  <c r="BR282" i="14"/>
  <c r="AS295" i="14"/>
  <c r="AT309" i="14"/>
  <c r="AT319" i="14" s="1"/>
  <c r="DL267" i="14"/>
  <c r="AB232" i="14"/>
  <c r="EA208" i="14"/>
  <c r="DF205" i="14"/>
  <c r="BR197" i="14"/>
  <c r="AN197" i="14"/>
  <c r="BA130" i="14"/>
  <c r="BW125" i="14"/>
  <c r="CR66" i="14"/>
  <c r="EA66" i="14"/>
  <c r="BF304" i="14"/>
  <c r="AB298" i="14"/>
  <c r="BR291" i="14"/>
  <c r="DK291" i="14"/>
  <c r="BM288" i="14"/>
  <c r="AN288" i="14"/>
  <c r="AS285" i="14"/>
  <c r="DK285" i="14"/>
  <c r="BR285" i="14"/>
  <c r="AY285" i="14"/>
  <c r="DF282" i="14"/>
  <c r="BM282" i="14"/>
  <c r="AS279" i="14"/>
  <c r="BM279" i="14"/>
  <c r="AN279" i="14"/>
  <c r="DF276" i="14"/>
  <c r="BM276" i="14"/>
  <c r="BR273" i="14"/>
  <c r="BM273" i="14"/>
  <c r="AN273" i="14"/>
  <c r="BN270" i="14"/>
  <c r="BS267" i="14"/>
  <c r="BW263" i="14"/>
  <c r="AN263" i="14"/>
  <c r="DZ252" i="14"/>
  <c r="DZ251" i="14"/>
  <c r="AI244" i="14"/>
  <c r="EA246" i="14"/>
  <c r="EA243" i="14"/>
  <c r="EA233" i="14"/>
  <c r="DZ228" i="14"/>
  <c r="DZ227" i="14"/>
  <c r="EA226" i="14"/>
  <c r="EA224" i="14"/>
  <c r="AS222" i="14"/>
  <c r="DZ215" i="14"/>
  <c r="EA211" i="14"/>
  <c r="EA204" i="14"/>
  <c r="DZ200" i="14"/>
  <c r="EA199" i="14"/>
  <c r="EA194" i="14"/>
  <c r="DZ192" i="14"/>
  <c r="DZ191" i="14"/>
  <c r="EA190" i="14"/>
  <c r="DZ190" i="14"/>
  <c r="DZ188" i="14"/>
  <c r="BM186" i="14"/>
  <c r="DD186" i="14" s="1"/>
  <c r="DE186" i="14" s="1"/>
  <c r="DZ181" i="14"/>
  <c r="CR160" i="14"/>
  <c r="EA160" i="14"/>
  <c r="DZ154" i="14"/>
  <c r="DZ152" i="14"/>
  <c r="DZ149" i="14"/>
  <c r="EA146" i="14"/>
  <c r="DZ138" i="14"/>
  <c r="AY138" i="14"/>
  <c r="EA132" i="14"/>
  <c r="BM126" i="14"/>
  <c r="AY117" i="14"/>
  <c r="BD96" i="14"/>
  <c r="BK96" i="14" s="1"/>
  <c r="BF96" i="14" s="1"/>
  <c r="AY114" i="14"/>
  <c r="BM86" i="14"/>
  <c r="DD86" i="14" s="1"/>
  <c r="BO81" i="14"/>
  <c r="AI81" i="14"/>
  <c r="DD64" i="14"/>
  <c r="DE64" i="14" s="1"/>
  <c r="CR21" i="14"/>
  <c r="AB222" i="14"/>
  <c r="EA215" i="14"/>
  <c r="DZ213" i="14"/>
  <c r="DZ208" i="14"/>
  <c r="DD200" i="14"/>
  <c r="DE200" i="14" s="1"/>
  <c r="DF197" i="14"/>
  <c r="AY197" i="14"/>
  <c r="EA192" i="14"/>
  <c r="AB179" i="14"/>
  <c r="DZ180" i="14"/>
  <c r="BA161" i="14"/>
  <c r="DZ169" i="14"/>
  <c r="DZ158" i="14"/>
  <c r="BM157" i="14"/>
  <c r="DD160" i="14" s="1"/>
  <c r="DE160" i="14" s="1"/>
  <c r="BO153" i="14"/>
  <c r="EA156" i="14"/>
  <c r="AY133" i="14"/>
  <c r="AB96" i="14"/>
  <c r="DK334" i="14"/>
  <c r="DF319" i="14"/>
  <c r="BH316" i="14"/>
  <c r="DH298" i="14"/>
  <c r="BY298" i="14"/>
  <c r="CZ298" i="14" s="1"/>
  <c r="BO298" i="14"/>
  <c r="AU298" i="14"/>
  <c r="DF291" i="14"/>
  <c r="AY288" i="14"/>
  <c r="AB288" i="14"/>
  <c r="DF285" i="14"/>
  <c r="AN269" i="14"/>
  <c r="DF273" i="14"/>
  <c r="AI273" i="14"/>
  <c r="DZ256" i="14"/>
  <c r="EA254" i="14"/>
  <c r="AB244" i="14"/>
  <c r="AN232" i="14"/>
  <c r="CR231" i="14"/>
  <c r="EA231" i="14"/>
  <c r="BO222" i="14"/>
  <c r="AN222" i="14"/>
  <c r="DZ220" i="14"/>
  <c r="DZ218" i="14"/>
  <c r="EA185" i="14"/>
  <c r="DZ176" i="14"/>
  <c r="DZ175" i="14"/>
  <c r="EA174" i="14"/>
  <c r="EA173" i="14"/>
  <c r="DZ164" i="14"/>
  <c r="DZ163" i="14"/>
  <c r="DZ159" i="14"/>
  <c r="CR158" i="14"/>
  <c r="EA158" i="14"/>
  <c r="DZ157" i="14"/>
  <c r="DF153" i="14"/>
  <c r="DZ143" i="14"/>
  <c r="AN139" i="14"/>
  <c r="EA137" i="14"/>
  <c r="EA129" i="14"/>
  <c r="CR92" i="14"/>
  <c r="DF22" i="14"/>
  <c r="DR263" i="14"/>
  <c r="DZ120" i="14"/>
  <c r="DZ119" i="14"/>
  <c r="DZ118" i="14"/>
  <c r="AN116" i="14"/>
  <c r="EA115" i="14"/>
  <c r="EA108" i="14"/>
  <c r="EA107" i="14"/>
  <c r="EA106" i="14"/>
  <c r="AI96" i="14"/>
  <c r="EA98" i="14"/>
  <c r="DZ67" i="14"/>
  <c r="DZ34" i="14"/>
  <c r="DZ28" i="14"/>
  <c r="EA17" i="14"/>
  <c r="BW8" i="14"/>
  <c r="GK8" i="14" s="1"/>
  <c r="DZ8" i="14"/>
  <c r="DZ127" i="14"/>
  <c r="EA111" i="14"/>
  <c r="DZ101" i="14"/>
  <c r="EA100" i="14"/>
  <c r="EA94" i="14"/>
  <c r="EA93" i="14"/>
  <c r="DZ93" i="14"/>
  <c r="DZ87" i="14"/>
  <c r="BP81" i="14"/>
  <c r="DZ83" i="14"/>
  <c r="DZ71" i="14"/>
  <c r="AL260" i="14"/>
  <c r="AL262" i="14" s="1"/>
  <c r="AL266" i="14" s="1"/>
  <c r="AL294" i="14" s="1"/>
  <c r="AL308" i="14" s="1"/>
  <c r="EA29" i="14"/>
  <c r="DE28" i="14"/>
  <c r="DZ16" i="14"/>
  <c r="DZ15" i="14"/>
  <c r="CQ260" i="14"/>
  <c r="CQ262" i="14" s="1"/>
  <c r="CQ264" i="14" s="1"/>
  <c r="BE260" i="14"/>
  <c r="BE262" i="14" s="1"/>
  <c r="CR159" i="14"/>
  <c r="AB153" i="14"/>
  <c r="EA152" i="14"/>
  <c r="EA151" i="14"/>
  <c r="CR150" i="14"/>
  <c r="DZ144" i="14"/>
  <c r="EA141" i="14"/>
  <c r="DZ141" i="14"/>
  <c r="AS130" i="14"/>
  <c r="DD133" i="14"/>
  <c r="DE133" i="14" s="1"/>
  <c r="EA124" i="14"/>
  <c r="DZ121" i="14"/>
  <c r="EA120" i="14"/>
  <c r="EA119" i="14"/>
  <c r="EA118" i="14"/>
  <c r="DZ113" i="14"/>
  <c r="DZ112" i="14"/>
  <c r="DZ111" i="14"/>
  <c r="DZ104" i="14"/>
  <c r="BR81" i="14"/>
  <c r="DZ88" i="14"/>
  <c r="DF81" i="14"/>
  <c r="DZ76" i="14"/>
  <c r="DZ68" i="14"/>
  <c r="EA67" i="14"/>
  <c r="AY67" i="14"/>
  <c r="DZ63" i="14"/>
  <c r="DZ62" i="14"/>
  <c r="DZ49" i="14"/>
  <c r="DZ37" i="14"/>
  <c r="DP32" i="14"/>
  <c r="DZ32" i="14"/>
  <c r="EA27" i="14"/>
  <c r="EA101" i="14"/>
  <c r="EA95" i="14"/>
  <c r="BM92" i="14"/>
  <c r="DZ91" i="14"/>
  <c r="EA89" i="14"/>
  <c r="DZ86" i="14"/>
  <c r="EA85" i="14"/>
  <c r="DZ85" i="14"/>
  <c r="EA83" i="14"/>
  <c r="EA82" i="14"/>
  <c r="EA80" i="14"/>
  <c r="EA79" i="14"/>
  <c r="EA75" i="14"/>
  <c r="EA74" i="14"/>
  <c r="DZ74" i="14"/>
  <c r="EA61" i="14"/>
  <c r="EA56" i="14"/>
  <c r="EA50" i="14"/>
  <c r="BR41" i="14"/>
  <c r="DZ48" i="14"/>
  <c r="EA47" i="14"/>
  <c r="EA45" i="14"/>
  <c r="EA44" i="14"/>
  <c r="DZ39" i="14"/>
  <c r="DZ31" i="14"/>
  <c r="EA30" i="14"/>
  <c r="EA24" i="14"/>
  <c r="AI10" i="14"/>
  <c r="DZ90" i="14"/>
  <c r="DZ89" i="14"/>
  <c r="EA88" i="14"/>
  <c r="EA87" i="14"/>
  <c r="DZ79" i="14"/>
  <c r="DZ77" i="14"/>
  <c r="EA76" i="14"/>
  <c r="EA71" i="14"/>
  <c r="AB59" i="14"/>
  <c r="EA63" i="14"/>
  <c r="EA62" i="14"/>
  <c r="EA58" i="14"/>
  <c r="DZ57" i="14"/>
  <c r="EA46" i="14"/>
  <c r="DZ38" i="14"/>
  <c r="DZ33" i="14"/>
  <c r="DZ30" i="14"/>
  <c r="EA26" i="14"/>
  <c r="EA21" i="14"/>
  <c r="DZ19" i="14"/>
  <c r="DZ18" i="14"/>
  <c r="DD14" i="14"/>
  <c r="DE14" i="14" s="1"/>
  <c r="AS10" i="14"/>
  <c r="BU260" i="14"/>
  <c r="BU262" i="14" s="1"/>
  <c r="DP192" i="14"/>
  <c r="DP191" i="14"/>
  <c r="CR191" i="14"/>
  <c r="CR190" i="14"/>
  <c r="DB263" i="14"/>
  <c r="AR260" i="14"/>
  <c r="AR262" i="14" s="1"/>
  <c r="AR296" i="14" s="1"/>
  <c r="AR310" i="14" s="1"/>
  <c r="AR320" i="14" s="1"/>
  <c r="AR334" i="14" s="1"/>
  <c r="AW260" i="14"/>
  <c r="AW262" i="14" s="1"/>
  <c r="AW264" i="14" s="1"/>
  <c r="DK295" i="14"/>
  <c r="DL309" i="14"/>
  <c r="CR208" i="14"/>
  <c r="DP207" i="14"/>
  <c r="DP40" i="14"/>
  <c r="DP36" i="14"/>
  <c r="DQ244" i="14"/>
  <c r="DQ263" i="14"/>
  <c r="DV260" i="14"/>
  <c r="DV262" i="14" s="1"/>
  <c r="DV264" i="14" s="1"/>
  <c r="DP220" i="14"/>
  <c r="CR219" i="14"/>
  <c r="DP216" i="14"/>
  <c r="CR175" i="14"/>
  <c r="CR171" i="14"/>
  <c r="CW161" i="14"/>
  <c r="AK260" i="14"/>
  <c r="AK262" i="14" s="1"/>
  <c r="AK266" i="14" s="1"/>
  <c r="AK294" i="14" s="1"/>
  <c r="AD260" i="14"/>
  <c r="AD262" i="14" s="1"/>
  <c r="AD296" i="14" s="1"/>
  <c r="CR126" i="14"/>
  <c r="DP54" i="14"/>
  <c r="DP30" i="14"/>
  <c r="CR25" i="14"/>
  <c r="CR24" i="14"/>
  <c r="BV260" i="14"/>
  <c r="BV262" i="14" s="1"/>
  <c r="BV264" i="14" s="1"/>
  <c r="AV260" i="14"/>
  <c r="AV262" i="14" s="1"/>
  <c r="AV296" i="14" s="1"/>
  <c r="AV310" i="14" s="1"/>
  <c r="AV320" i="14" s="1"/>
  <c r="AV334" i="14" s="1"/>
  <c r="DP21" i="14"/>
  <c r="CR19" i="14"/>
  <c r="CR18" i="14"/>
  <c r="DP16" i="14"/>
  <c r="CR14" i="14"/>
  <c r="DJ260" i="14"/>
  <c r="DJ262" i="14" s="1"/>
  <c r="DB153" i="14"/>
  <c r="DP159" i="14"/>
  <c r="DP158" i="14"/>
  <c r="DP156" i="14"/>
  <c r="DT153" i="14"/>
  <c r="DP125" i="14"/>
  <c r="DP123" i="14"/>
  <c r="DP122" i="14"/>
  <c r="DP121" i="14"/>
  <c r="DP119" i="14"/>
  <c r="DP118" i="14"/>
  <c r="DP113" i="14"/>
  <c r="DP112" i="14"/>
  <c r="DP108" i="14"/>
  <c r="DP104" i="14"/>
  <c r="CR101" i="14"/>
  <c r="DP93" i="14"/>
  <c r="CR90" i="14"/>
  <c r="CR89" i="14"/>
  <c r="CR88" i="14"/>
  <c r="DP84" i="14"/>
  <c r="CR83" i="14"/>
  <c r="DP73" i="14"/>
  <c r="DP69" i="14"/>
  <c r="DP67" i="14"/>
  <c r="DP52" i="14"/>
  <c r="DP43" i="14"/>
  <c r="CR38" i="14"/>
  <c r="DK319" i="14"/>
  <c r="CC260" i="14"/>
  <c r="CC262" i="14" s="1"/>
  <c r="CW232" i="14"/>
  <c r="CR229" i="14"/>
  <c r="CR228" i="14"/>
  <c r="CW197" i="14"/>
  <c r="DP176" i="14"/>
  <c r="DP149" i="14"/>
  <c r="CR148" i="14"/>
  <c r="CR147" i="14"/>
  <c r="CR141" i="14"/>
  <c r="CR138" i="14"/>
  <c r="DP136" i="14"/>
  <c r="DP63" i="14"/>
  <c r="AO260" i="14"/>
  <c r="AO262" i="14" s="1"/>
  <c r="AO296" i="14" s="1"/>
  <c r="AO310" i="14" s="1"/>
  <c r="DP57" i="14"/>
  <c r="DP256" i="14"/>
  <c r="CR253" i="14"/>
  <c r="DP248" i="14"/>
  <c r="CR234" i="14"/>
  <c r="DP227" i="14"/>
  <c r="CR226" i="14"/>
  <c r="DR222" i="14"/>
  <c r="DB222" i="14"/>
  <c r="DP217" i="14"/>
  <c r="DP214" i="14"/>
  <c r="DP213" i="14"/>
  <c r="CR212" i="14"/>
  <c r="DN260" i="14"/>
  <c r="DN262" i="14" s="1"/>
  <c r="CR204" i="14"/>
  <c r="DP202" i="14"/>
  <c r="DS197" i="14"/>
  <c r="DT197" i="14"/>
  <c r="DP177" i="14"/>
  <c r="DP171" i="14"/>
  <c r="DP170" i="14"/>
  <c r="DP168" i="14"/>
  <c r="DP166" i="14"/>
  <c r="DP164" i="14"/>
  <c r="DP163" i="14"/>
  <c r="DP155" i="14"/>
  <c r="DH260" i="14"/>
  <c r="DH262" i="14" s="1"/>
  <c r="CW205" i="14"/>
  <c r="CW179" i="14"/>
  <c r="CW263" i="14"/>
  <c r="DP259" i="14"/>
  <c r="DP255" i="14"/>
  <c r="DP254" i="14"/>
  <c r="DP212" i="14"/>
  <c r="DP208" i="14"/>
  <c r="DP180" i="14"/>
  <c r="DB232" i="14"/>
  <c r="DB205" i="14"/>
  <c r="DO260" i="14"/>
  <c r="CW244" i="14"/>
  <c r="CR248" i="14"/>
  <c r="DR232" i="14"/>
  <c r="DT232" i="14"/>
  <c r="DP228" i="14"/>
  <c r="CR224" i="14"/>
  <c r="DP219" i="14"/>
  <c r="CR215" i="14"/>
  <c r="CR211" i="14"/>
  <c r="CR207" i="14"/>
  <c r="CR193" i="14"/>
  <c r="DP190" i="14"/>
  <c r="DU260" i="14"/>
  <c r="DU262" i="14" s="1"/>
  <c r="DU264" i="14" s="1"/>
  <c r="DT22" i="14"/>
  <c r="DP253" i="14"/>
  <c r="DP242" i="14"/>
  <c r="DP231" i="14"/>
  <c r="CR227" i="14"/>
  <c r="DP226" i="14"/>
  <c r="DP209" i="14"/>
  <c r="DS205" i="14"/>
  <c r="CR206" i="14"/>
  <c r="BQ260" i="14"/>
  <c r="BQ262" i="14" s="1"/>
  <c r="BQ264" i="14" s="1"/>
  <c r="DM260" i="14"/>
  <c r="DM262" i="14" s="1"/>
  <c r="DM264" i="14" s="1"/>
  <c r="DS116" i="14"/>
  <c r="DP150" i="14"/>
  <c r="CR149" i="14"/>
  <c r="DP145" i="14"/>
  <c r="DP144" i="14"/>
  <c r="DP141" i="14"/>
  <c r="DP138" i="14"/>
  <c r="CW130" i="14"/>
  <c r="CR128" i="14"/>
  <c r="CR119" i="14"/>
  <c r="CR118" i="14"/>
  <c r="DP114" i="14"/>
  <c r="CR113" i="14"/>
  <c r="CR112" i="14"/>
  <c r="DP111" i="14"/>
  <c r="DP110" i="14"/>
  <c r="CR108" i="14"/>
  <c r="DP105" i="14"/>
  <c r="CR105" i="14"/>
  <c r="CR104" i="14"/>
  <c r="DP103" i="14"/>
  <c r="DP101" i="14"/>
  <c r="DR96" i="14"/>
  <c r="CR99" i="14"/>
  <c r="DP98" i="14"/>
  <c r="DP95" i="14"/>
  <c r="DP94" i="14"/>
  <c r="CR93" i="14"/>
  <c r="DP91" i="14"/>
  <c r="DP89" i="14"/>
  <c r="DP88" i="14"/>
  <c r="DP87" i="14"/>
  <c r="DP85" i="14"/>
  <c r="DP83" i="14"/>
  <c r="CR69" i="14"/>
  <c r="DP66" i="14"/>
  <c r="DP65" i="14"/>
  <c r="DP64" i="14"/>
  <c r="CR63" i="14"/>
  <c r="DS59" i="14"/>
  <c r="DP56" i="14"/>
  <c r="CR54" i="14"/>
  <c r="CR52" i="14"/>
  <c r="CR44" i="14"/>
  <c r="CR43" i="14"/>
  <c r="DP42" i="14"/>
  <c r="CR40" i="14"/>
  <c r="DP38" i="14"/>
  <c r="CR33" i="14"/>
  <c r="CR32" i="14"/>
  <c r="CR30" i="14"/>
  <c r="DP28" i="14"/>
  <c r="CR28" i="14"/>
  <c r="DP25" i="14"/>
  <c r="DP24" i="14"/>
  <c r="DP19" i="14"/>
  <c r="DP18" i="14"/>
  <c r="DP17" i="14"/>
  <c r="CR16" i="14"/>
  <c r="DP13" i="14"/>
  <c r="DP189" i="14"/>
  <c r="DP185" i="14"/>
  <c r="CR183" i="14"/>
  <c r="DP175" i="14"/>
  <c r="DP174" i="14"/>
  <c r="DP173" i="14"/>
  <c r="CR167" i="14"/>
  <c r="DP160" i="14"/>
  <c r="DP157" i="14"/>
  <c r="CR157" i="14"/>
  <c r="CR155" i="14"/>
  <c r="CR152" i="14"/>
  <c r="DP151" i="14"/>
  <c r="DP148" i="14"/>
  <c r="DP146" i="14"/>
  <c r="CR144" i="14"/>
  <c r="DP143" i="14"/>
  <c r="CR135" i="14"/>
  <c r="CR134" i="14"/>
  <c r="CR132" i="14"/>
  <c r="DP129" i="14"/>
  <c r="CR127" i="14"/>
  <c r="DP124" i="14"/>
  <c r="CR123" i="14"/>
  <c r="CR114" i="14"/>
  <c r="CR107" i="14"/>
  <c r="CR106" i="14"/>
  <c r="DP100" i="14"/>
  <c r="DP97" i="14"/>
  <c r="CR95" i="14"/>
  <c r="DP90" i="14"/>
  <c r="CR86" i="14"/>
  <c r="DB81" i="14"/>
  <c r="DP80" i="14"/>
  <c r="DP78" i="14"/>
  <c r="CR77" i="14"/>
  <c r="DP76" i="14"/>
  <c r="CR72" i="14"/>
  <c r="CR71" i="14"/>
  <c r="CR64" i="14"/>
  <c r="CR57" i="14"/>
  <c r="DP49" i="14"/>
  <c r="CR48" i="14"/>
  <c r="DP46" i="14"/>
  <c r="DP44" i="14"/>
  <c r="CR39" i="14"/>
  <c r="DP37" i="14"/>
  <c r="CR35" i="14"/>
  <c r="DP31" i="14"/>
  <c r="CR29" i="14"/>
  <c r="CR26" i="14"/>
  <c r="DP20" i="14"/>
  <c r="DP15" i="14"/>
  <c r="DP14" i="14"/>
  <c r="CW10" i="14"/>
  <c r="AJ260" i="14"/>
  <c r="AJ262" i="14" s="1"/>
  <c r="AJ296" i="14" s="1"/>
  <c r="DB197" i="14"/>
  <c r="CR201" i="14"/>
  <c r="CR200" i="14"/>
  <c r="DP194" i="14"/>
  <c r="CR187" i="14"/>
  <c r="DP184" i="14"/>
  <c r="AT260" i="14"/>
  <c r="AT262" i="14" s="1"/>
  <c r="AT264" i="14" s="1"/>
  <c r="CR178" i="14"/>
  <c r="CR176" i="14"/>
  <c r="CR173" i="14"/>
  <c r="CR166" i="14"/>
  <c r="CR164" i="14"/>
  <c r="CR163" i="14"/>
  <c r="DR153" i="14"/>
  <c r="DT139" i="14"/>
  <c r="CR151" i="14"/>
  <c r="CR142" i="14"/>
  <c r="DP137" i="14"/>
  <c r="DP133" i="14"/>
  <c r="DP132" i="14"/>
  <c r="DP127" i="14"/>
  <c r="DP126" i="14"/>
  <c r="CR124" i="14"/>
  <c r="CR120" i="14"/>
  <c r="DP115" i="14"/>
  <c r="CR109" i="14"/>
  <c r="DP107" i="14"/>
  <c r="DP106" i="14"/>
  <c r="CR100" i="14"/>
  <c r="DP92" i="14"/>
  <c r="DP79" i="14"/>
  <c r="DP77" i="14"/>
  <c r="CR76" i="14"/>
  <c r="CR74" i="14"/>
  <c r="DP71" i="14"/>
  <c r="CR67" i="14"/>
  <c r="DT59" i="14"/>
  <c r="CR61" i="14"/>
  <c r="DP58" i="14"/>
  <c r="DP55" i="14"/>
  <c r="DP53" i="14"/>
  <c r="DP51" i="14"/>
  <c r="DP48" i="14"/>
  <c r="DP39" i="14"/>
  <c r="CR37" i="14"/>
  <c r="DP35" i="14"/>
  <c r="DP34" i="14"/>
  <c r="CR31" i="14"/>
  <c r="DP26" i="14"/>
  <c r="CR15" i="14"/>
  <c r="DP12" i="14"/>
  <c r="CR103" i="14"/>
  <c r="CR214" i="14"/>
  <c r="CR195" i="14"/>
  <c r="EA112" i="14"/>
  <c r="EA195" i="14"/>
  <c r="CR220" i="14"/>
  <c r="EA220" i="14"/>
  <c r="CR230" i="14"/>
  <c r="CR242" i="14"/>
  <c r="CR170" i="14"/>
  <c r="CR184" i="14"/>
  <c r="EA184" i="14"/>
  <c r="EA114" i="14"/>
  <c r="CR58" i="14"/>
  <c r="CR102" i="14"/>
  <c r="CR91" i="14"/>
  <c r="CR79" i="14"/>
  <c r="CR194" i="14"/>
  <c r="CR111" i="14"/>
  <c r="CR115" i="14"/>
  <c r="CR145" i="14"/>
  <c r="CR129" i="14"/>
  <c r="EA175" i="14"/>
  <c r="EA49" i="14"/>
  <c r="EA13" i="14"/>
  <c r="CR165" i="14"/>
  <c r="EA8" i="14"/>
  <c r="U260" i="14"/>
  <c r="U332" i="14" s="1"/>
  <c r="CR174" i="14"/>
  <c r="CR225" i="14"/>
  <c r="CR87" i="14"/>
  <c r="CR250" i="14"/>
  <c r="AR333" i="14"/>
  <c r="AM333" i="14"/>
  <c r="CR273" i="14"/>
  <c r="CR274" i="14"/>
  <c r="CR288" i="14"/>
  <c r="AK333" i="14"/>
  <c r="CR329" i="14"/>
  <c r="CR330" i="14" s="1"/>
  <c r="BQ333" i="14"/>
  <c r="AK298" i="14"/>
  <c r="AS276" i="14"/>
  <c r="BG295" i="14"/>
  <c r="DB244" i="14"/>
  <c r="BW209" i="14"/>
  <c r="AI205" i="14"/>
  <c r="DK205" i="14"/>
  <c r="DP198" i="14"/>
  <c r="BO179" i="14"/>
  <c r="BM185" i="14"/>
  <c r="BS319" i="14"/>
  <c r="AU309" i="14"/>
  <c r="AU319" i="14" s="1"/>
  <c r="BF303" i="14"/>
  <c r="CR289" i="14"/>
  <c r="BR288" i="14"/>
  <c r="CR284" i="14"/>
  <c r="DK282" i="14"/>
  <c r="BW277" i="14"/>
  <c r="GK277" i="14" s="1"/>
  <c r="AI276" i="14"/>
  <c r="BN269" i="14"/>
  <c r="BN295" i="14" s="1"/>
  <c r="BM271" i="14"/>
  <c r="AS270" i="14"/>
  <c r="BR268" i="14"/>
  <c r="AT267" i="14"/>
  <c r="AI268" i="14"/>
  <c r="CR258" i="14"/>
  <c r="DQ232" i="14"/>
  <c r="DZ223" i="14"/>
  <c r="DT263" i="14"/>
  <c r="DG260" i="14"/>
  <c r="DG262" i="14" s="1"/>
  <c r="DG264" i="14" s="1"/>
  <c r="AY190" i="14"/>
  <c r="DR179" i="14"/>
  <c r="DK179" i="14"/>
  <c r="EA181" i="14"/>
  <c r="DS161" i="14"/>
  <c r="DP162" i="14"/>
  <c r="DI260" i="14"/>
  <c r="DI262" i="14" s="1"/>
  <c r="DI264" i="14" s="1"/>
  <c r="AB291" i="14"/>
  <c r="AN282" i="14"/>
  <c r="AS269" i="14"/>
  <c r="DK268" i="14"/>
  <c r="DK270" i="14"/>
  <c r="AN268" i="14"/>
  <c r="DF268" i="14"/>
  <c r="DZ253" i="14"/>
  <c r="AY244" i="14"/>
  <c r="DE206" i="14"/>
  <c r="DB333" i="14"/>
  <c r="BF312" i="14"/>
  <c r="DH309" i="14"/>
  <c r="AY291" i="14"/>
  <c r="CR285" i="14"/>
  <c r="BX282" i="14"/>
  <c r="CY282" i="14" s="1"/>
  <c r="BW283" i="14"/>
  <c r="GK283" i="14" s="1"/>
  <c r="AS268" i="14"/>
  <c r="DK232" i="14"/>
  <c r="CR218" i="14"/>
  <c r="CR189" i="14"/>
  <c r="DS179" i="14"/>
  <c r="DP181" i="14"/>
  <c r="DS263" i="14"/>
  <c r="CW333" i="14"/>
  <c r="BP333" i="14"/>
  <c r="DP319" i="14"/>
  <c r="BX295" i="14"/>
  <c r="CY295" i="14" s="1"/>
  <c r="CR277" i="14"/>
  <c r="DK269" i="14"/>
  <c r="CR271" i="14"/>
  <c r="AB263" i="14"/>
  <c r="V263" i="14" s="1"/>
  <c r="DP258" i="14"/>
  <c r="DR244" i="14"/>
  <c r="DS232" i="14"/>
  <c r="DP233" i="14"/>
  <c r="CW222" i="14"/>
  <c r="CR216" i="14"/>
  <c r="DK197" i="14"/>
  <c r="EA201" i="14"/>
  <c r="AH260" i="14"/>
  <c r="AH262" i="14" s="1"/>
  <c r="BO309" i="14"/>
  <c r="BO319" i="14" s="1"/>
  <c r="BF300" i="14"/>
  <c r="BX291" i="14"/>
  <c r="CY291" i="14" s="1"/>
  <c r="BW292" i="14"/>
  <c r="GK292" i="14" s="1"/>
  <c r="AN291" i="14"/>
  <c r="AY282" i="14"/>
  <c r="AB282" i="14"/>
  <c r="BW279" i="14"/>
  <c r="GK279" i="14" s="1"/>
  <c r="CR272" i="14"/>
  <c r="BR269" i="14"/>
  <c r="AI269" i="14"/>
  <c r="BN268" i="14"/>
  <c r="CR257" i="14"/>
  <c r="EA257" i="14"/>
  <c r="CR256" i="14"/>
  <c r="DZ250" i="14"/>
  <c r="DF244" i="14"/>
  <c r="BW242" i="14"/>
  <c r="DZ234" i="14"/>
  <c r="DF232" i="14"/>
  <c r="DD233" i="14"/>
  <c r="BM233" i="14"/>
  <c r="BO232" i="14"/>
  <c r="DQ222" i="14"/>
  <c r="AB205" i="14"/>
  <c r="AI179" i="14"/>
  <c r="AP260" i="14"/>
  <c r="AP262" i="14" s="1"/>
  <c r="BS260" i="14"/>
  <c r="BS262" i="14" s="1"/>
  <c r="BS264" i="14" s="1"/>
  <c r="AS263" i="14"/>
  <c r="CR261" i="14"/>
  <c r="CR249" i="14"/>
  <c r="DS244" i="14"/>
  <c r="BR244" i="14"/>
  <c r="AN244" i="14"/>
  <c r="DP243" i="14"/>
  <c r="DP241" i="14"/>
  <c r="DP240" i="14"/>
  <c r="DP239" i="14"/>
  <c r="DP238" i="14"/>
  <c r="DP237" i="14"/>
  <c r="DP236" i="14"/>
  <c r="DP235" i="14"/>
  <c r="DD242" i="14"/>
  <c r="AS232" i="14"/>
  <c r="BW231" i="14"/>
  <c r="GK231" i="14" s="1"/>
  <c r="DP230" i="14"/>
  <c r="AY230" i="14"/>
  <c r="BW225" i="14"/>
  <c r="DF222" i="14"/>
  <c r="DP221" i="14"/>
  <c r="EA221" i="14"/>
  <c r="CR221" i="14"/>
  <c r="EA217" i="14"/>
  <c r="CR217" i="14"/>
  <c r="DZ206" i="14"/>
  <c r="DQ205" i="14"/>
  <c r="BR205" i="14"/>
  <c r="AN205" i="14"/>
  <c r="AQ260" i="14"/>
  <c r="AQ262" i="14" s="1"/>
  <c r="CR202" i="14"/>
  <c r="DR197" i="14"/>
  <c r="BW197" i="14"/>
  <c r="AS197" i="14"/>
  <c r="BA179" i="14"/>
  <c r="AY189" i="14"/>
  <c r="DP187" i="14"/>
  <c r="CR186" i="14"/>
  <c r="CR185" i="14"/>
  <c r="BW184" i="14"/>
  <c r="DZ182" i="14"/>
  <c r="DF179" i="14"/>
  <c r="CR181" i="14"/>
  <c r="DT179" i="14"/>
  <c r="DB179" i="14"/>
  <c r="BX260" i="14"/>
  <c r="CY260" i="14" s="1"/>
  <c r="DP172" i="14"/>
  <c r="DR161" i="14"/>
  <c r="DT161" i="14"/>
  <c r="DK161" i="14"/>
  <c r="AZ260" i="14"/>
  <c r="BG260" i="14" s="1"/>
  <c r="DT130" i="14"/>
  <c r="DP134" i="14"/>
  <c r="DP120" i="14"/>
  <c r="DQ116" i="14"/>
  <c r="BR263" i="14"/>
  <c r="DP257" i="14"/>
  <c r="CR252" i="14"/>
  <c r="DK244" i="14"/>
  <c r="CR235" i="14"/>
  <c r="AY214" i="14"/>
  <c r="AY205" i="14" s="1"/>
  <c r="BO205" i="14"/>
  <c r="DP210" i="14"/>
  <c r="DQ197" i="14"/>
  <c r="DP199" i="14"/>
  <c r="DP195" i="14"/>
  <c r="BD179" i="14"/>
  <c r="BK179" i="14" s="1"/>
  <c r="BF179" i="14" s="1"/>
  <c r="AY195" i="14"/>
  <c r="DP186" i="14"/>
  <c r="DP178" i="14"/>
  <c r="DP169" i="14"/>
  <c r="AY161" i="14"/>
  <c r="AB161" i="14"/>
  <c r="AS153" i="14"/>
  <c r="DP152" i="14"/>
  <c r="BO116" i="14"/>
  <c r="BM117" i="14"/>
  <c r="CW96" i="14"/>
  <c r="CR251" i="14"/>
  <c r="DP249" i="14"/>
  <c r="EA241" i="14"/>
  <c r="BR232" i="14"/>
  <c r="DP225" i="14"/>
  <c r="CB244" i="14"/>
  <c r="DA244" i="14" s="1"/>
  <c r="DP252" i="14"/>
  <c r="DP251" i="14"/>
  <c r="DP250" i="14"/>
  <c r="DT244" i="14"/>
  <c r="DP247" i="14"/>
  <c r="CR247" i="14"/>
  <c r="CR246" i="14"/>
  <c r="EA245" i="14"/>
  <c r="AS244" i="14"/>
  <c r="BO244" i="14"/>
  <c r="CR243" i="14"/>
  <c r="CR240" i="14"/>
  <c r="CR239" i="14"/>
  <c r="CR238" i="14"/>
  <c r="CR237" i="14"/>
  <c r="CR236" i="14"/>
  <c r="DP234" i="14"/>
  <c r="DP229" i="14"/>
  <c r="DT222" i="14"/>
  <c r="BR222" i="14"/>
  <c r="DK222" i="14"/>
  <c r="EA223" i="14"/>
  <c r="DP215" i="14"/>
  <c r="BM212" i="14"/>
  <c r="BM205" i="14" s="1"/>
  <c r="DR205" i="14"/>
  <c r="AS205" i="14"/>
  <c r="DP204" i="14"/>
  <c r="DZ201" i="14"/>
  <c r="AI197" i="14"/>
  <c r="DP200" i="14"/>
  <c r="CR199" i="14"/>
  <c r="AB197" i="14"/>
  <c r="DP183" i="14"/>
  <c r="DW179" i="14"/>
  <c r="DW260" i="14" s="1"/>
  <c r="DW262" i="14" s="1"/>
  <c r="DW264" i="14" s="1"/>
  <c r="DQ179" i="14"/>
  <c r="AS179" i="14"/>
  <c r="AM260" i="14"/>
  <c r="AM262" i="14" s="1"/>
  <c r="BM167" i="14"/>
  <c r="BM161" i="14" s="1"/>
  <c r="BO161" i="14"/>
  <c r="DF161" i="14"/>
  <c r="EA162" i="14"/>
  <c r="DD162" i="14"/>
  <c r="AI153" i="14"/>
  <c r="CW153" i="14"/>
  <c r="AU260" i="14"/>
  <c r="AU262" i="14" s="1"/>
  <c r="DQ139" i="14"/>
  <c r="DP142" i="14"/>
  <c r="DD142" i="14"/>
  <c r="DQ130" i="14"/>
  <c r="CR136" i="14"/>
  <c r="AB130" i="14"/>
  <c r="DD131" i="14"/>
  <c r="BT260" i="14"/>
  <c r="BT262" i="14" s="1"/>
  <c r="BT264" i="14" s="1"/>
  <c r="AY93" i="14"/>
  <c r="AY81" i="14" s="1"/>
  <c r="DZ82" i="14"/>
  <c r="DE82" i="14"/>
  <c r="DL260" i="14"/>
  <c r="DL262" i="14" s="1"/>
  <c r="DL264" i="14" s="1"/>
  <c r="BM249" i="14"/>
  <c r="DD247" i="14" s="1"/>
  <c r="AY242" i="14"/>
  <c r="AY232" i="14" s="1"/>
  <c r="DS222" i="14"/>
  <c r="BM225" i="14"/>
  <c r="BM222" i="14" s="1"/>
  <c r="DD230" i="14" s="1"/>
  <c r="BA222" i="14"/>
  <c r="AY223" i="14"/>
  <c r="DP218" i="14"/>
  <c r="CB205" i="14"/>
  <c r="DA205" i="14" s="1"/>
  <c r="BW217" i="14"/>
  <c r="GK217" i="14" s="1"/>
  <c r="CR213" i="14"/>
  <c r="CR210" i="14"/>
  <c r="DT205" i="14"/>
  <c r="DP206" i="14"/>
  <c r="DP203" i="14"/>
  <c r="DP201" i="14"/>
  <c r="DP196" i="14"/>
  <c r="BW194" i="14"/>
  <c r="CR192" i="14"/>
  <c r="DP188" i="14"/>
  <c r="DZ186" i="14"/>
  <c r="DP182" i="14"/>
  <c r="CR172" i="14"/>
  <c r="CR169" i="14"/>
  <c r="DP167" i="14"/>
  <c r="AN161" i="14"/>
  <c r="BW161" i="14"/>
  <c r="DQ153" i="14"/>
  <c r="DP154" i="14"/>
  <c r="DD154" i="14"/>
  <c r="BR139" i="14"/>
  <c r="AS139" i="14"/>
  <c r="DS130" i="14"/>
  <c r="DP131" i="14"/>
  <c r="AN130" i="14"/>
  <c r="BR116" i="14"/>
  <c r="DP211" i="14"/>
  <c r="DD211" i="14"/>
  <c r="DE211" i="14" s="1"/>
  <c r="CR203" i="14"/>
  <c r="CR196" i="14"/>
  <c r="DP193" i="14"/>
  <c r="EA189" i="14"/>
  <c r="CR188" i="14"/>
  <c r="BW185" i="14"/>
  <c r="CR182" i="14"/>
  <c r="BR179" i="14"/>
  <c r="AN179" i="14"/>
  <c r="CR177" i="14"/>
  <c r="CR168" i="14"/>
  <c r="AI161" i="14"/>
  <c r="DP165" i="14"/>
  <c r="DB161" i="14"/>
  <c r="BR161" i="14"/>
  <c r="AS161" i="14"/>
  <c r="DQ161" i="14"/>
  <c r="AY159" i="14"/>
  <c r="BR153" i="14"/>
  <c r="AN153" i="14"/>
  <c r="EA148" i="14"/>
  <c r="CW139" i="14"/>
  <c r="CR143" i="14"/>
  <c r="BM137" i="14"/>
  <c r="BM130" i="14" s="1"/>
  <c r="BO130" i="14"/>
  <c r="DK130" i="14"/>
  <c r="EA131" i="14"/>
  <c r="AY123" i="14"/>
  <c r="EA121" i="14"/>
  <c r="AB116" i="14"/>
  <c r="DF96" i="14"/>
  <c r="AB81" i="14"/>
  <c r="BW156" i="14"/>
  <c r="GK156" i="14" s="1"/>
  <c r="BA153" i="14"/>
  <c r="DR139" i="14"/>
  <c r="DF139" i="14"/>
  <c r="DS139" i="14"/>
  <c r="DK139" i="14"/>
  <c r="EA133" i="14"/>
  <c r="DB130" i="14"/>
  <c r="BW130" i="14"/>
  <c r="CW116" i="14"/>
  <c r="AS116" i="14"/>
  <c r="DP99" i="14"/>
  <c r="DQ96" i="14"/>
  <c r="BR96" i="14"/>
  <c r="AN96" i="14"/>
  <c r="BO96" i="14"/>
  <c r="BW95" i="14"/>
  <c r="DQ59" i="14"/>
  <c r="AB151" i="14"/>
  <c r="AB139" i="14" s="1"/>
  <c r="DP147" i="14"/>
  <c r="EA140" i="14"/>
  <c r="BM139" i="14"/>
  <c r="AI139" i="14"/>
  <c r="CR137" i="14"/>
  <c r="DF130" i="14"/>
  <c r="CR133" i="14"/>
  <c r="AI130" i="14"/>
  <c r="DP128" i="14"/>
  <c r="DK116" i="14"/>
  <c r="BA116" i="14"/>
  <c r="AI116" i="14"/>
  <c r="CB96" i="14"/>
  <c r="DA96" i="14" s="1"/>
  <c r="BW114" i="14"/>
  <c r="EA113" i="14"/>
  <c r="DZ102" i="14"/>
  <c r="DK96" i="14"/>
  <c r="EA97" i="14"/>
  <c r="DB96" i="14"/>
  <c r="DR81" i="14"/>
  <c r="CR65" i="14"/>
  <c r="BO59" i="14"/>
  <c r="CR53" i="14"/>
  <c r="DS153" i="14"/>
  <c r="DK153" i="14"/>
  <c r="AY148" i="14"/>
  <c r="CR146" i="14"/>
  <c r="DP140" i="14"/>
  <c r="DB139" i="14"/>
  <c r="BA139" i="14"/>
  <c r="AY140" i="14"/>
  <c r="BW139" i="14"/>
  <c r="BO139" i="14"/>
  <c r="DR130" i="14"/>
  <c r="DP135" i="14"/>
  <c r="BW122" i="14"/>
  <c r="GK122" i="14" s="1"/>
  <c r="DT116" i="14"/>
  <c r="DP117" i="14"/>
  <c r="CB116" i="14"/>
  <c r="DA116" i="14" s="1"/>
  <c r="DZ105" i="14"/>
  <c r="AY103" i="14"/>
  <c r="AS96" i="14"/>
  <c r="BW92" i="14"/>
  <c r="GK92" i="14" s="1"/>
  <c r="CW81" i="14"/>
  <c r="CR85" i="14"/>
  <c r="AS59" i="14"/>
  <c r="DP62" i="14"/>
  <c r="DP29" i="14"/>
  <c r="DQ22" i="14"/>
  <c r="AB22" i="14"/>
  <c r="DB116" i="14"/>
  <c r="DP109" i="14"/>
  <c r="DP102" i="14"/>
  <c r="DT96" i="14"/>
  <c r="DS96" i="14"/>
  <c r="DD97" i="14"/>
  <c r="CR94" i="14"/>
  <c r="DP86" i="14"/>
  <c r="BM84" i="14"/>
  <c r="DP82" i="14"/>
  <c r="DQ81" i="14"/>
  <c r="AN81" i="14"/>
  <c r="DT81" i="14"/>
  <c r="BR59" i="14"/>
  <c r="BM59" i="14"/>
  <c r="AN59" i="14"/>
  <c r="AY13" i="14"/>
  <c r="AY10" i="14" s="1"/>
  <c r="BA10" i="14"/>
  <c r="FL10" i="14" s="1"/>
  <c r="FK10" i="14" s="1"/>
  <c r="EA12" i="14"/>
  <c r="DR116" i="14"/>
  <c r="DF116" i="14"/>
  <c r="AY111" i="14"/>
  <c r="BW103" i="14"/>
  <c r="GK103" i="14" s="1"/>
  <c r="CR98" i="14"/>
  <c r="BA96" i="14"/>
  <c r="CB81" i="14"/>
  <c r="DA81" i="14" s="1"/>
  <c r="BW84" i="14"/>
  <c r="CR80" i="14"/>
  <c r="EA60" i="14"/>
  <c r="AI59" i="14"/>
  <c r="DK22" i="14"/>
  <c r="EA23" i="14"/>
  <c r="EA110" i="14"/>
  <c r="BM103" i="14"/>
  <c r="DD102" i="14" s="1"/>
  <c r="DE102" i="14" s="1"/>
  <c r="AY97" i="14"/>
  <c r="EA92" i="14"/>
  <c r="BA81" i="14"/>
  <c r="CR84" i="14"/>
  <c r="DS81" i="14"/>
  <c r="DK81" i="14"/>
  <c r="AS81" i="14"/>
  <c r="AY80" i="14"/>
  <c r="CR78" i="14"/>
  <c r="EA78" i="14"/>
  <c r="AY78" i="14"/>
  <c r="DP75" i="14"/>
  <c r="CR73" i="14"/>
  <c r="DP70" i="14"/>
  <c r="DZ65" i="14"/>
  <c r="BA59" i="14"/>
  <c r="CW59" i="14"/>
  <c r="CR62" i="14"/>
  <c r="DF59" i="14"/>
  <c r="DT41" i="14"/>
  <c r="EA42" i="14"/>
  <c r="AI41" i="14"/>
  <c r="DB22" i="14"/>
  <c r="CW22" i="14"/>
  <c r="BR22" i="14"/>
  <c r="CR75" i="14"/>
  <c r="DP74" i="14"/>
  <c r="CR68" i="14"/>
  <c r="BW66" i="14"/>
  <c r="GK66" i="14" s="1"/>
  <c r="DR59" i="14"/>
  <c r="DK59" i="14"/>
  <c r="BD59" i="14"/>
  <c r="BK59" i="14" s="1"/>
  <c r="BF59" i="14" s="1"/>
  <c r="CR56" i="14"/>
  <c r="CR50" i="14"/>
  <c r="DD46" i="14"/>
  <c r="DE46" i="14" s="1"/>
  <c r="AS41" i="14"/>
  <c r="DP72" i="14"/>
  <c r="CR70" i="14"/>
  <c r="DP68" i="14"/>
  <c r="DB59" i="14"/>
  <c r="BW58" i="14"/>
  <c r="CR55" i="14"/>
  <c r="EA55" i="14"/>
  <c r="BW51" i="14"/>
  <c r="CR46" i="14"/>
  <c r="BW45" i="14"/>
  <c r="DQ41" i="14"/>
  <c r="AN41" i="14"/>
  <c r="CW41" i="14"/>
  <c r="BN41" i="14"/>
  <c r="CR36" i="14"/>
  <c r="EA36" i="14"/>
  <c r="BW22" i="14"/>
  <c r="EA51" i="14"/>
  <c r="CR51" i="14"/>
  <c r="CR49" i="14"/>
  <c r="DP45" i="14"/>
  <c r="BO41" i="14"/>
  <c r="DE42" i="14"/>
  <c r="CR34" i="14"/>
  <c r="BO22" i="14"/>
  <c r="BM25" i="14"/>
  <c r="BM22" i="14" s="1"/>
  <c r="BO10" i="14"/>
  <c r="BM16" i="14"/>
  <c r="DD13" i="14" s="1"/>
  <c r="DS10" i="14"/>
  <c r="DF10" i="14"/>
  <c r="EA53" i="14"/>
  <c r="DP50" i="14"/>
  <c r="CR47" i="14"/>
  <c r="DR41" i="14"/>
  <c r="DF41" i="14"/>
  <c r="BW44" i="14"/>
  <c r="GK44" i="14" s="1"/>
  <c r="BA41" i="14"/>
  <c r="DB41" i="14"/>
  <c r="AY36" i="14"/>
  <c r="AY33" i="14"/>
  <c r="DP27" i="14"/>
  <c r="DS22" i="14"/>
  <c r="DR10" i="14"/>
  <c r="AB10" i="14"/>
  <c r="BP41" i="14"/>
  <c r="DP47" i="14"/>
  <c r="AB41" i="14"/>
  <c r="DS41" i="14"/>
  <c r="DK41" i="14"/>
  <c r="CR27" i="14"/>
  <c r="AI22" i="14"/>
  <c r="DB10" i="14"/>
  <c r="DQ10" i="14"/>
  <c r="DP11" i="14"/>
  <c r="BW10" i="14"/>
  <c r="DZ11" i="14"/>
  <c r="DP8" i="14"/>
  <c r="DR8" i="14"/>
  <c r="DP23" i="14"/>
  <c r="AS22" i="14"/>
  <c r="CR20" i="14"/>
  <c r="CR12" i="14"/>
  <c r="BR10" i="14"/>
  <c r="BA22" i="14"/>
  <c r="AN22" i="14"/>
  <c r="DR22" i="14"/>
  <c r="DT10" i="14"/>
  <c r="DK10" i="14"/>
  <c r="BO8" i="14"/>
  <c r="BY319" i="14" l="1"/>
  <c r="CZ309" i="14"/>
  <c r="CB319" i="14"/>
  <c r="DA309" i="14"/>
  <c r="BF10" i="14"/>
  <c r="GK10" i="14"/>
  <c r="GK130" i="14"/>
  <c r="GK269" i="14"/>
  <c r="GK161" i="14"/>
  <c r="GK22" i="14"/>
  <c r="DF309" i="14"/>
  <c r="GK263" i="14"/>
  <c r="GK288" i="14"/>
  <c r="GK51" i="14"/>
  <c r="P51" i="14"/>
  <c r="DO262" i="14"/>
  <c r="DO264" i="14" s="1"/>
  <c r="GK125" i="14"/>
  <c r="P125" i="14"/>
  <c r="GK273" i="14"/>
  <c r="CN264" i="14"/>
  <c r="CN266" i="14"/>
  <c r="CN294" i="14" s="1"/>
  <c r="DH266" i="14"/>
  <c r="DH294" i="14" s="1"/>
  <c r="DH308" i="14" s="1"/>
  <c r="DH320" i="14" s="1"/>
  <c r="DH333" i="14" s="1"/>
  <c r="DH264" i="14"/>
  <c r="GK257" i="14"/>
  <c r="P257" i="14"/>
  <c r="GK160" i="14"/>
  <c r="P160" i="14"/>
  <c r="GK45" i="14"/>
  <c r="P45" i="14"/>
  <c r="GK194" i="14"/>
  <c r="P194" i="14"/>
  <c r="GK184" i="14"/>
  <c r="P184" i="14"/>
  <c r="CC266" i="14"/>
  <c r="CC294" i="14" s="1"/>
  <c r="CC308" i="14" s="1"/>
  <c r="CC322" i="14" s="1"/>
  <c r="CC264" i="14"/>
  <c r="GK270" i="14"/>
  <c r="GK298" i="14"/>
  <c r="GK316" i="14"/>
  <c r="P114" i="14"/>
  <c r="GK114" i="14"/>
  <c r="GK95" i="14"/>
  <c r="P95" i="14"/>
  <c r="GK242" i="14"/>
  <c r="P242" i="14"/>
  <c r="GK139" i="14"/>
  <c r="GK225" i="14"/>
  <c r="P225" i="14"/>
  <c r="DN266" i="14"/>
  <c r="DN294" i="14" s="1"/>
  <c r="DN296" i="14" s="1"/>
  <c r="DN310" i="14" s="1"/>
  <c r="DN264" i="14"/>
  <c r="DJ266" i="14"/>
  <c r="DJ294" i="14" s="1"/>
  <c r="DJ318" i="14" s="1"/>
  <c r="DJ264" i="14"/>
  <c r="GK151" i="14"/>
  <c r="GK330" i="14"/>
  <c r="GK58" i="14"/>
  <c r="P58" i="14"/>
  <c r="P185" i="14"/>
  <c r="GK185" i="14"/>
  <c r="BU266" i="14"/>
  <c r="BU294" i="14" s="1"/>
  <c r="BU308" i="14" s="1"/>
  <c r="BU264" i="14"/>
  <c r="BE266" i="14"/>
  <c r="BE294" i="14" s="1"/>
  <c r="BE308" i="14" s="1"/>
  <c r="BE264" i="14"/>
  <c r="CO264" i="14"/>
  <c r="CO266" i="14"/>
  <c r="CO294" i="14" s="1"/>
  <c r="GK84" i="14"/>
  <c r="GK197" i="14"/>
  <c r="GK209" i="14"/>
  <c r="GK285" i="14"/>
  <c r="V267" i="14"/>
  <c r="V330" i="14"/>
  <c r="P103" i="14"/>
  <c r="P122" i="14"/>
  <c r="P92" i="14"/>
  <c r="P8" i="14"/>
  <c r="P231" i="14"/>
  <c r="DZ78" i="14"/>
  <c r="P78" i="14"/>
  <c r="P22" i="14"/>
  <c r="P209" i="14"/>
  <c r="P130" i="14"/>
  <c r="P217" i="14"/>
  <c r="P84" i="14"/>
  <c r="P44" i="14"/>
  <c r="P197" i="14"/>
  <c r="P156" i="14"/>
  <c r="P139" i="14"/>
  <c r="P66" i="14"/>
  <c r="P10" i="14"/>
  <c r="P161" i="14"/>
  <c r="DZ92" i="14"/>
  <c r="DZ125" i="14"/>
  <c r="DZ114" i="14"/>
  <c r="DZ257" i="14"/>
  <c r="DZ244" i="14" s="1"/>
  <c r="DZ231" i="14"/>
  <c r="DZ45" i="14"/>
  <c r="DZ58" i="14"/>
  <c r="DZ51" i="14"/>
  <c r="DZ160" i="14"/>
  <c r="DZ217" i="14"/>
  <c r="DZ185" i="14"/>
  <c r="DZ225" i="14"/>
  <c r="DZ222" i="14" s="1"/>
  <c r="BM232" i="14"/>
  <c r="BN260" i="14"/>
  <c r="BN262" i="14" s="1"/>
  <c r="BN266" i="14" s="1"/>
  <c r="DD29" i="14"/>
  <c r="DE29" i="14" s="1"/>
  <c r="DE22" i="14" s="1"/>
  <c r="AY130" i="14"/>
  <c r="AT296" i="14"/>
  <c r="AT310" i="14" s="1"/>
  <c r="AR264" i="14"/>
  <c r="BM41" i="14"/>
  <c r="AL296" i="14"/>
  <c r="AL310" i="14" s="1"/>
  <c r="AL320" i="14" s="1"/>
  <c r="AL334" i="14" s="1"/>
  <c r="AD310" i="14"/>
  <c r="AD320" i="14"/>
  <c r="AD334" i="14" s="1"/>
  <c r="BM10" i="14"/>
  <c r="DD134" i="14"/>
  <c r="DE134" i="14" s="1"/>
  <c r="DD148" i="14"/>
  <c r="DE148" i="14" s="1"/>
  <c r="DZ95" i="14"/>
  <c r="BW282" i="14"/>
  <c r="GK282" i="14" s="1"/>
  <c r="AY116" i="14"/>
  <c r="DZ194" i="14"/>
  <c r="BW276" i="14"/>
  <c r="GK276" i="14" s="1"/>
  <c r="CR13" i="14"/>
  <c r="AI309" i="14"/>
  <c r="AN295" i="14"/>
  <c r="BF299" i="14"/>
  <c r="BM179" i="14"/>
  <c r="CQ266" i="14"/>
  <c r="DD84" i="14"/>
  <c r="DE84" i="14" s="1"/>
  <c r="DE81" i="14" s="1"/>
  <c r="CQ319" i="14"/>
  <c r="CK309" i="14"/>
  <c r="BM153" i="14"/>
  <c r="DD166" i="14"/>
  <c r="DE166" i="14" s="1"/>
  <c r="BF316" i="14"/>
  <c r="AI319" i="14"/>
  <c r="AI333" i="14" s="1"/>
  <c r="CR291" i="14"/>
  <c r="AB319" i="14"/>
  <c r="DZ209" i="14"/>
  <c r="DZ103" i="14"/>
  <c r="CR45" i="14"/>
  <c r="BX262" i="14"/>
  <c r="CY262" i="14" s="1"/>
  <c r="DZ161" i="14"/>
  <c r="CR122" i="14"/>
  <c r="CR125" i="14"/>
  <c r="CR110" i="14"/>
  <c r="DZ22" i="14"/>
  <c r="BW291" i="14"/>
  <c r="GK291" i="14" s="1"/>
  <c r="BW268" i="14"/>
  <c r="AB309" i="14"/>
  <c r="V309" i="14" s="1"/>
  <c r="BW244" i="14"/>
  <c r="DZ197" i="14"/>
  <c r="DZ130" i="14"/>
  <c r="AV318" i="14"/>
  <c r="AV332" i="14" s="1"/>
  <c r="AJ266" i="14"/>
  <c r="AJ294" i="14" s="1"/>
  <c r="AD264" i="14"/>
  <c r="AK264" i="14"/>
  <c r="DD41" i="14"/>
  <c r="DC41" i="14" s="1"/>
  <c r="AL264" i="14"/>
  <c r="AN267" i="14"/>
  <c r="BM81" i="14"/>
  <c r="DD212" i="14"/>
  <c r="DE212" i="14" s="1"/>
  <c r="DE205" i="14" s="1"/>
  <c r="AY267" i="14"/>
  <c r="AR318" i="14"/>
  <c r="AR332" i="14" s="1"/>
  <c r="EA197" i="14"/>
  <c r="AZ309" i="14"/>
  <c r="AY295" i="14"/>
  <c r="BP260" i="14"/>
  <c r="BP262" i="14" s="1"/>
  <c r="AY153" i="14"/>
  <c r="EA153" i="14"/>
  <c r="DZ139" i="14"/>
  <c r="DZ263" i="14"/>
  <c r="DK309" i="14"/>
  <c r="CR295" i="14"/>
  <c r="CR309" i="14"/>
  <c r="AY139" i="14"/>
  <c r="EA81" i="14"/>
  <c r="AB267" i="14"/>
  <c r="AW266" i="14"/>
  <c r="AW294" i="14" s="1"/>
  <c r="AW308" i="14" s="1"/>
  <c r="BV266" i="14"/>
  <c r="BV294" i="14" s="1"/>
  <c r="BV296" i="14" s="1"/>
  <c r="BV310" i="14" s="1"/>
  <c r="BV320" i="14" s="1"/>
  <c r="DZ10" i="14"/>
  <c r="AY22" i="14"/>
  <c r="DD65" i="14"/>
  <c r="DE65" i="14" s="1"/>
  <c r="DE59" i="14" s="1"/>
  <c r="AY222" i="14"/>
  <c r="DD201" i="14"/>
  <c r="DE201" i="14" s="1"/>
  <c r="DE197" i="14" s="1"/>
  <c r="DF267" i="14"/>
  <c r="DV266" i="14"/>
  <c r="AW296" i="14"/>
  <c r="AW310" i="14" s="1"/>
  <c r="AW320" i="14" s="1"/>
  <c r="CR156" i="14"/>
  <c r="EA116" i="14"/>
  <c r="EA161" i="14"/>
  <c r="EA232" i="14"/>
  <c r="AY59" i="14"/>
  <c r="AY96" i="14"/>
  <c r="EA139" i="14"/>
  <c r="EA222" i="14"/>
  <c r="EA244" i="14"/>
  <c r="DD187" i="14"/>
  <c r="DD179" i="14" s="1"/>
  <c r="DC179" i="14" s="1"/>
  <c r="DE242" i="14"/>
  <c r="BN267" i="14"/>
  <c r="AR266" i="14"/>
  <c r="AR294" i="14" s="1"/>
  <c r="AR308" i="14" s="1"/>
  <c r="BR309" i="14"/>
  <c r="BR319" i="14" s="1"/>
  <c r="BR333" i="14" s="1"/>
  <c r="AN309" i="14"/>
  <c r="AO319" i="14"/>
  <c r="BQ266" i="14"/>
  <c r="BQ294" i="14" s="1"/>
  <c r="BQ308" i="14" s="1"/>
  <c r="AV266" i="14"/>
  <c r="AV294" i="14" s="1"/>
  <c r="AV308" i="14" s="1"/>
  <c r="AK296" i="14"/>
  <c r="AK310" i="14" s="1"/>
  <c r="AK320" i="14" s="1"/>
  <c r="CR263" i="14"/>
  <c r="AV264" i="14"/>
  <c r="AN260" i="14"/>
  <c r="AS260" i="14"/>
  <c r="DP10" i="14"/>
  <c r="DP41" i="14"/>
  <c r="AJ264" i="14"/>
  <c r="AO266" i="14"/>
  <c r="AO294" i="14" s="1"/>
  <c r="AO308" i="14" s="1"/>
  <c r="AI260" i="14"/>
  <c r="AS262" i="14"/>
  <c r="AT266" i="14"/>
  <c r="AT294" i="14" s="1"/>
  <c r="AD266" i="14"/>
  <c r="AD294" i="14" s="1"/>
  <c r="AD308" i="14" s="1"/>
  <c r="AO264" i="14"/>
  <c r="AK308" i="14"/>
  <c r="DQ260" i="14"/>
  <c r="CW260" i="14"/>
  <c r="CW262" i="14" s="1"/>
  <c r="CW264" i="14" s="1"/>
  <c r="CR121" i="14"/>
  <c r="DP222" i="14"/>
  <c r="DU266" i="14"/>
  <c r="DP205" i="14"/>
  <c r="DP244" i="14"/>
  <c r="DP22" i="14"/>
  <c r="DP153" i="14"/>
  <c r="DP263" i="14"/>
  <c r="DM266" i="14"/>
  <c r="DM294" i="14" s="1"/>
  <c r="EA179" i="14"/>
  <c r="EA96" i="14"/>
  <c r="EA41" i="14"/>
  <c r="DE230" i="14"/>
  <c r="DE222" i="14" s="1"/>
  <c r="DD222" i="14"/>
  <c r="DC222" i="14" s="1"/>
  <c r="DE247" i="14"/>
  <c r="BM8" i="14"/>
  <c r="DZ66" i="14"/>
  <c r="BW59" i="14"/>
  <c r="GK59" i="14" s="1"/>
  <c r="CR8" i="14"/>
  <c r="BA260" i="14"/>
  <c r="CR140" i="14"/>
  <c r="CR139" i="14" s="1"/>
  <c r="DP96" i="14"/>
  <c r="DE131" i="14"/>
  <c r="AP296" i="14"/>
  <c r="AP264" i="14"/>
  <c r="AP266" i="14"/>
  <c r="DZ242" i="14"/>
  <c r="DZ232" i="14" s="1"/>
  <c r="BW232" i="14"/>
  <c r="GK232" i="14" s="1"/>
  <c r="BX267" i="14"/>
  <c r="CY267" i="14" s="1"/>
  <c r="AY179" i="14"/>
  <c r="AU333" i="14"/>
  <c r="AO320" i="14"/>
  <c r="DP116" i="14"/>
  <c r="CR11" i="14"/>
  <c r="BW96" i="14"/>
  <c r="GK96" i="14" s="1"/>
  <c r="EA130" i="14"/>
  <c r="DW266" i="14"/>
  <c r="CR245" i="14"/>
  <c r="CR244" i="14" s="1"/>
  <c r="BW179" i="14"/>
  <c r="GK179" i="14" s="1"/>
  <c r="DZ184" i="14"/>
  <c r="BR262" i="14"/>
  <c r="BR264" i="14" s="1"/>
  <c r="BS296" i="14"/>
  <c r="BS266" i="14"/>
  <c r="BW205" i="14"/>
  <c r="DP179" i="14"/>
  <c r="CR312" i="14"/>
  <c r="CR316" i="14" s="1"/>
  <c r="DI266" i="14"/>
  <c r="DI294" i="14" s="1"/>
  <c r="BW222" i="14"/>
  <c r="GK222" i="14" s="1"/>
  <c r="AI267" i="14"/>
  <c r="BM268" i="14"/>
  <c r="BM267" i="14" s="1"/>
  <c r="BM270" i="14"/>
  <c r="BS333" i="14"/>
  <c r="DP197" i="14"/>
  <c r="AJ310" i="14"/>
  <c r="DK260" i="14"/>
  <c r="DT260" i="14"/>
  <c r="DT262" i="14" s="1"/>
  <c r="DT264" i="14" s="1"/>
  <c r="DD10" i="14"/>
  <c r="DC10" i="14" s="1"/>
  <c r="DE13" i="14"/>
  <c r="DE10" i="14" s="1"/>
  <c r="DE41" i="14"/>
  <c r="CR82" i="14"/>
  <c r="CR81" i="14" s="1"/>
  <c r="EA22" i="14"/>
  <c r="EA59" i="14"/>
  <c r="DZ84" i="14"/>
  <c r="DZ81" i="14" s="1"/>
  <c r="BW81" i="14"/>
  <c r="EA10" i="14"/>
  <c r="EA263" i="14"/>
  <c r="DD81" i="14"/>
  <c r="DC81" i="14" s="1"/>
  <c r="DE97" i="14"/>
  <c r="DP139" i="14"/>
  <c r="CR154" i="14"/>
  <c r="CR97" i="14"/>
  <c r="DP130" i="14"/>
  <c r="DD153" i="14"/>
  <c r="DC153" i="14" s="1"/>
  <c r="DE154" i="14"/>
  <c r="DE153" i="14" s="1"/>
  <c r="DL266" i="14"/>
  <c r="DL296" i="14"/>
  <c r="DE142" i="14"/>
  <c r="AM266" i="14"/>
  <c r="AM294" i="14" s="1"/>
  <c r="AM308" i="14" s="1"/>
  <c r="AM264" i="14"/>
  <c r="AM296" i="14"/>
  <c r="AM310" i="14" s="1"/>
  <c r="AM320" i="14" s="1"/>
  <c r="AH296" i="14"/>
  <c r="AH310" i="14" s="1"/>
  <c r="AH320" i="14" s="1"/>
  <c r="AH264" i="14"/>
  <c r="AH266" i="14"/>
  <c r="AH294" i="14" s="1"/>
  <c r="AH308" i="14" s="1"/>
  <c r="AS267" i="14"/>
  <c r="AT333" i="14"/>
  <c r="AS319" i="14"/>
  <c r="AS333" i="14" s="1"/>
  <c r="AN262" i="14"/>
  <c r="BN309" i="14"/>
  <c r="BM295" i="14"/>
  <c r="BF295" i="14"/>
  <c r="BG309" i="14"/>
  <c r="CR60" i="14"/>
  <c r="CR59" i="14" s="1"/>
  <c r="DP59" i="14"/>
  <c r="CR131" i="14"/>
  <c r="CR130" i="14" s="1"/>
  <c r="BT266" i="14"/>
  <c r="BT294" i="14" s="1"/>
  <c r="BO260" i="14"/>
  <c r="BO262" i="14" s="1"/>
  <c r="BO264" i="14" s="1"/>
  <c r="BR260" i="14"/>
  <c r="DZ44" i="14"/>
  <c r="BW41" i="14"/>
  <c r="DS260" i="14"/>
  <c r="DS262" i="14" s="1"/>
  <c r="DS264" i="14" s="1"/>
  <c r="DP81" i="14"/>
  <c r="DZ122" i="14"/>
  <c r="DZ116" i="14" s="1"/>
  <c r="BW116" i="14"/>
  <c r="GK116" i="14" s="1"/>
  <c r="CR117" i="14"/>
  <c r="AU266" i="14"/>
  <c r="AU294" i="14" s="1"/>
  <c r="AU308" i="14" s="1"/>
  <c r="AU264" i="14"/>
  <c r="AU296" i="14"/>
  <c r="AU310" i="14" s="1"/>
  <c r="AU320" i="14" s="1"/>
  <c r="AU334" i="14" s="1"/>
  <c r="CR180" i="14"/>
  <c r="CR179" i="14" s="1"/>
  <c r="DD117" i="14"/>
  <c r="BM116" i="14"/>
  <c r="AQ264" i="14"/>
  <c r="AQ266" i="14"/>
  <c r="AQ294" i="14" s="1"/>
  <c r="AQ308" i="14" s="1"/>
  <c r="AQ296" i="14"/>
  <c r="AQ310" i="14" s="1"/>
  <c r="AQ320" i="14" s="1"/>
  <c r="CR233" i="14"/>
  <c r="CR232" i="14" s="1"/>
  <c r="DD232" i="14"/>
  <c r="DC232" i="14" s="1"/>
  <c r="DE233" i="14"/>
  <c r="BM244" i="14"/>
  <c r="DD248" i="14" s="1"/>
  <c r="DE248" i="14" s="1"/>
  <c r="DR260" i="14"/>
  <c r="DR262" i="14" s="1"/>
  <c r="DR264" i="14" s="1"/>
  <c r="DB260" i="14"/>
  <c r="DB262" i="14" s="1"/>
  <c r="DB264" i="14" s="1"/>
  <c r="CR42" i="14"/>
  <c r="DF260" i="14"/>
  <c r="BD260" i="14"/>
  <c r="BK260" i="14" s="1"/>
  <c r="BF260" i="14" s="1"/>
  <c r="CR23" i="14"/>
  <c r="CR22" i="14" s="1"/>
  <c r="CB260" i="14"/>
  <c r="DA260" i="14" s="1"/>
  <c r="BM96" i="14"/>
  <c r="DD105" i="14" s="1"/>
  <c r="DE105" i="14" s="1"/>
  <c r="DZ156" i="14"/>
  <c r="DZ153" i="14" s="1"/>
  <c r="BW153" i="14"/>
  <c r="GK153" i="14" s="1"/>
  <c r="EA209" i="14"/>
  <c r="EA205" i="14" s="1"/>
  <c r="DE162" i="14"/>
  <c r="AZ262" i="14"/>
  <c r="CR269" i="14"/>
  <c r="CR280" i="14"/>
  <c r="CR279" i="14"/>
  <c r="CR282" i="14"/>
  <c r="CR283" i="14"/>
  <c r="BO333" i="14"/>
  <c r="DP232" i="14"/>
  <c r="EA267" i="14"/>
  <c r="BW295" i="14"/>
  <c r="GK295" i="14" s="1"/>
  <c r="BX309" i="14"/>
  <c r="CY309" i="14" s="1"/>
  <c r="CR223" i="14"/>
  <c r="CR222" i="14" s="1"/>
  <c r="AS309" i="14"/>
  <c r="DK267" i="14"/>
  <c r="DP161" i="14"/>
  <c r="DF262" i="14"/>
  <c r="DF264" i="14" s="1"/>
  <c r="DG266" i="14"/>
  <c r="DG296" i="14"/>
  <c r="BR267" i="14"/>
  <c r="CR198" i="14"/>
  <c r="CR197" i="14" s="1"/>
  <c r="AI262" i="14"/>
  <c r="EY96" i="14"/>
  <c r="DA319" i="14" l="1"/>
  <c r="DA333" i="14" s="1"/>
  <c r="CB333" i="14"/>
  <c r="BY333" i="14"/>
  <c r="CZ319" i="14"/>
  <c r="CZ333" i="14" s="1"/>
  <c r="DH296" i="14"/>
  <c r="DH310" i="14" s="1"/>
  <c r="BU296" i="14"/>
  <c r="BU310" i="14" s="1"/>
  <c r="BU320" i="14" s="1"/>
  <c r="BU334" i="14" s="1"/>
  <c r="CC296" i="14"/>
  <c r="CC310" i="14" s="1"/>
  <c r="CC320" i="14" s="1"/>
  <c r="CC318" i="14" s="1"/>
  <c r="CC332" i="14" s="1"/>
  <c r="AZ264" i="14"/>
  <c r="BG264" i="14" s="1"/>
  <c r="BG262" i="14"/>
  <c r="BG296" i="14" s="1"/>
  <c r="DJ296" i="14"/>
  <c r="DJ310" i="14" s="1"/>
  <c r="DJ308" i="14"/>
  <c r="DH318" i="14"/>
  <c r="BE296" i="14"/>
  <c r="BE310" i="14" s="1"/>
  <c r="BE320" i="14" s="1"/>
  <c r="BE318" i="14" s="1"/>
  <c r="BE332" i="14" s="1"/>
  <c r="CF336" i="14"/>
  <c r="BN296" i="14"/>
  <c r="BN310" i="14" s="1"/>
  <c r="BN264" i="14"/>
  <c r="DN308" i="14"/>
  <c r="DN320" i="14" s="1"/>
  <c r="DN333" i="14" s="1"/>
  <c r="DN332" i="14" s="1"/>
  <c r="CH336" i="14"/>
  <c r="BP266" i="14"/>
  <c r="BP294" i="14" s="1"/>
  <c r="BP296" i="14" s="1"/>
  <c r="BP310" i="14" s="1"/>
  <c r="BP320" i="14" s="1"/>
  <c r="BP264" i="14"/>
  <c r="DQ262" i="14"/>
  <c r="DQ264" i="14" s="1"/>
  <c r="DZ41" i="14"/>
  <c r="DK262" i="14"/>
  <c r="DK264" i="14" s="1"/>
  <c r="DZ59" i="14"/>
  <c r="DO266" i="14"/>
  <c r="DO294" i="14" s="1"/>
  <c r="DO296" i="14" s="1"/>
  <c r="DO310" i="14" s="1"/>
  <c r="GK81" i="14"/>
  <c r="GK205" i="14"/>
  <c r="GK244" i="14"/>
  <c r="GK41" i="14"/>
  <c r="GK268" i="14"/>
  <c r="AB333" i="14"/>
  <c r="V319" i="14"/>
  <c r="P232" i="14"/>
  <c r="P116" i="14"/>
  <c r="P222" i="14"/>
  <c r="P153" i="14"/>
  <c r="P244" i="14"/>
  <c r="P59" i="14"/>
  <c r="P41" i="14"/>
  <c r="P179" i="14"/>
  <c r="P96" i="14"/>
  <c r="P81" i="14"/>
  <c r="P205" i="14"/>
  <c r="BA262" i="14"/>
  <c r="BA264" i="14" s="1"/>
  <c r="BY336" i="14"/>
  <c r="DZ96" i="14"/>
  <c r="DZ205" i="14"/>
  <c r="BX266" i="14"/>
  <c r="BX264" i="14"/>
  <c r="CY264" i="14" s="1"/>
  <c r="DD22" i="14"/>
  <c r="DC22" i="14" s="1"/>
  <c r="DD130" i="14"/>
  <c r="DC130" i="14" s="1"/>
  <c r="DD161" i="14"/>
  <c r="DC161" i="14" s="1"/>
  <c r="DE139" i="14"/>
  <c r="DE130" i="14"/>
  <c r="CR41" i="14"/>
  <c r="DD59" i="14"/>
  <c r="DC59" i="14" s="1"/>
  <c r="DZ179" i="14"/>
  <c r="CR153" i="14"/>
  <c r="AD318" i="14"/>
  <c r="AD332" i="14" s="1"/>
  <c r="AL318" i="14"/>
  <c r="AL332" i="14" s="1"/>
  <c r="DD139" i="14"/>
  <c r="DC139" i="14" s="1"/>
  <c r="CR10" i="14"/>
  <c r="DD197" i="14"/>
  <c r="DC197" i="14" s="1"/>
  <c r="BD262" i="14"/>
  <c r="BK262" i="14" s="1"/>
  <c r="BK296" i="14" s="1"/>
  <c r="BK310" i="14" s="1"/>
  <c r="BK320" i="14" s="1"/>
  <c r="BK318" i="14" s="1"/>
  <c r="BK332" i="14" s="1"/>
  <c r="BW267" i="14"/>
  <c r="CR268" i="14"/>
  <c r="DE161" i="14"/>
  <c r="DD123" i="14"/>
  <c r="DE123" i="14" s="1"/>
  <c r="BX296" i="14"/>
  <c r="DD205" i="14"/>
  <c r="DC205" i="14" s="1"/>
  <c r="CK319" i="14"/>
  <c r="CK333" i="14" s="1"/>
  <c r="CQ333" i="14"/>
  <c r="CQ294" i="14"/>
  <c r="CB262" i="14"/>
  <c r="DA262" i="14" s="1"/>
  <c r="BY262" i="14"/>
  <c r="CZ262" i="14" s="1"/>
  <c r="CR267" i="14"/>
  <c r="CR96" i="14"/>
  <c r="AB296" i="14"/>
  <c r="BE327" i="14"/>
  <c r="AB264" i="14"/>
  <c r="DQ266" i="14"/>
  <c r="DQ294" i="14" s="1"/>
  <c r="BM262" i="14"/>
  <c r="BM264" i="14" s="1"/>
  <c r="AZ319" i="14"/>
  <c r="AY309" i="14"/>
  <c r="CR116" i="14"/>
  <c r="DE232" i="14"/>
  <c r="BQ296" i="14"/>
  <c r="BQ310" i="14" s="1"/>
  <c r="BQ320" i="14" s="1"/>
  <c r="BQ318" i="14" s="1"/>
  <c r="BQ332" i="14" s="1"/>
  <c r="BV308" i="14"/>
  <c r="BQ322" i="14" s="1"/>
  <c r="DE187" i="14"/>
  <c r="DE179" i="14" s="1"/>
  <c r="AW334" i="14"/>
  <c r="AW318" i="14"/>
  <c r="AW332" i="14" s="1"/>
  <c r="AN319" i="14"/>
  <c r="AN333" i="14" s="1"/>
  <c r="AO333" i="14"/>
  <c r="AN264" i="14"/>
  <c r="AS264" i="14"/>
  <c r="AI266" i="14"/>
  <c r="AS296" i="14"/>
  <c r="AK334" i="14"/>
  <c r="AK318" i="14"/>
  <c r="AK332" i="14" s="1"/>
  <c r="CW266" i="14"/>
  <c r="CW294" i="14" s="1"/>
  <c r="CW296" i="14" s="1"/>
  <c r="CW310" i="14" s="1"/>
  <c r="CW320" i="14" s="1"/>
  <c r="AI264" i="14"/>
  <c r="DM296" i="14"/>
  <c r="DM310" i="14" s="1"/>
  <c r="DM308" i="14"/>
  <c r="DM320" i="14" s="1"/>
  <c r="BV334" i="14"/>
  <c r="BV318" i="14"/>
  <c r="BV332" i="14" s="1"/>
  <c r="DP260" i="14"/>
  <c r="AI296" i="14"/>
  <c r="BW260" i="14"/>
  <c r="GK260" i="14" s="1"/>
  <c r="AQ334" i="14"/>
  <c r="AQ318" i="14"/>
  <c r="AQ332" i="14" s="1"/>
  <c r="BT296" i="14"/>
  <c r="BT310" i="14" s="1"/>
  <c r="BT320" i="14" s="1"/>
  <c r="BT308" i="14"/>
  <c r="BN319" i="14"/>
  <c r="BM309" i="14"/>
  <c r="DI296" i="14"/>
  <c r="DI310" i="14" s="1"/>
  <c r="DI308" i="14"/>
  <c r="DI318" i="14"/>
  <c r="AT308" i="14"/>
  <c r="AS294" i="14"/>
  <c r="AS308" i="14" s="1"/>
  <c r="AO334" i="14"/>
  <c r="AO318" i="14"/>
  <c r="BM260" i="14"/>
  <c r="DE244" i="14"/>
  <c r="DG310" i="14"/>
  <c r="BG319" i="14"/>
  <c r="BF309" i="14"/>
  <c r="BF319" i="14" s="1"/>
  <c r="BF333" i="14" s="1"/>
  <c r="EA260" i="14"/>
  <c r="EA262" i="14" s="1"/>
  <c r="EA264" i="14" s="1"/>
  <c r="BS294" i="14"/>
  <c r="BR266" i="14"/>
  <c r="AP294" i="14"/>
  <c r="AN266" i="14"/>
  <c r="DD8" i="14"/>
  <c r="DE8" i="14"/>
  <c r="DD244" i="14"/>
  <c r="DC244" i="14" s="1"/>
  <c r="BX319" i="14"/>
  <c r="CY319" i="14" s="1"/>
  <c r="BW309" i="14"/>
  <c r="GK309" i="14" s="1"/>
  <c r="AY260" i="14"/>
  <c r="BN294" i="14"/>
  <c r="DS266" i="14"/>
  <c r="DS294" i="14" s="1"/>
  <c r="DL310" i="14"/>
  <c r="DE96" i="14"/>
  <c r="DT266" i="14"/>
  <c r="DT294" i="14" s="1"/>
  <c r="AI310" i="14"/>
  <c r="AJ320" i="14"/>
  <c r="DR266" i="14"/>
  <c r="DR294" i="14" s="1"/>
  <c r="BO266" i="14"/>
  <c r="BO294" i="14" s="1"/>
  <c r="AH334" i="14"/>
  <c r="AH318" i="14"/>
  <c r="AH332" i="14" s="1"/>
  <c r="CR209" i="14"/>
  <c r="CR205" i="14" s="1"/>
  <c r="DE117" i="14"/>
  <c r="DF266" i="14"/>
  <c r="DG294" i="14"/>
  <c r="AT320" i="14"/>
  <c r="AS310" i="14"/>
  <c r="AZ266" i="14"/>
  <c r="BG266" i="14" s="1"/>
  <c r="AZ296" i="14"/>
  <c r="AZ325" i="14"/>
  <c r="DB266" i="14"/>
  <c r="DB294" i="14" s="1"/>
  <c r="BH308" i="14"/>
  <c r="BA327" i="14" s="1"/>
  <c r="BH296" i="14"/>
  <c r="BH310" i="14" s="1"/>
  <c r="BH320" i="14" s="1"/>
  <c r="AJ308" i="14"/>
  <c r="AI294" i="14"/>
  <c r="AI308" i="14" s="1"/>
  <c r="AM334" i="14"/>
  <c r="AM318" i="14"/>
  <c r="AM332" i="14" s="1"/>
  <c r="DL294" i="14"/>
  <c r="DD96" i="14"/>
  <c r="DC96" i="14" s="1"/>
  <c r="AS266" i="14"/>
  <c r="BS310" i="14"/>
  <c r="AU318" i="14"/>
  <c r="AU332" i="14" s="1"/>
  <c r="AP310" i="14"/>
  <c r="AN296" i="14"/>
  <c r="FZ179" i="14"/>
  <c r="DP262" i="14" l="1"/>
  <c r="DP264" i="14" s="1"/>
  <c r="DN318" i="14"/>
  <c r="DK266" i="14"/>
  <c r="BU318" i="14"/>
  <c r="BU332" i="14" s="1"/>
  <c r="CC334" i="14"/>
  <c r="BX310" i="14"/>
  <c r="CY310" i="14" s="1"/>
  <c r="CY296" i="14"/>
  <c r="BX294" i="14"/>
  <c r="CY294" i="14" s="1"/>
  <c r="CY266" i="14"/>
  <c r="BF262" i="14"/>
  <c r="BE334" i="14"/>
  <c r="DQ296" i="14"/>
  <c r="DP296" i="14" s="1"/>
  <c r="BP308" i="14"/>
  <c r="BP322" i="14" s="1"/>
  <c r="DO308" i="14"/>
  <c r="DO320" i="14" s="1"/>
  <c r="DO333" i="14" s="1"/>
  <c r="DO332" i="14" s="1"/>
  <c r="GK267" i="14"/>
  <c r="V333" i="14"/>
  <c r="BA266" i="14"/>
  <c r="BA294" i="14" s="1"/>
  <c r="BA296" i="14" s="1"/>
  <c r="BA325" i="14"/>
  <c r="P260" i="14"/>
  <c r="BK334" i="14"/>
  <c r="BD325" i="14"/>
  <c r="BD264" i="14"/>
  <c r="BK264" i="14" s="1"/>
  <c r="CG336" i="14" s="1"/>
  <c r="DZ260" i="14"/>
  <c r="DZ262" i="14" s="1"/>
  <c r="DZ264" i="14" s="1"/>
  <c r="CB266" i="14"/>
  <c r="CB264" i="14"/>
  <c r="DA264" i="14" s="1"/>
  <c r="BY266" i="14"/>
  <c r="BY264" i="14"/>
  <c r="CZ264" i="14" s="1"/>
  <c r="DE116" i="14"/>
  <c r="DE260" i="14" s="1"/>
  <c r="DE262" i="14" s="1"/>
  <c r="DE264" i="14" s="1"/>
  <c r="BQ334" i="14"/>
  <c r="BD266" i="14"/>
  <c r="AY262" i="14"/>
  <c r="DZ267" i="14"/>
  <c r="DX267" i="14" s="1"/>
  <c r="DD116" i="14"/>
  <c r="DC116" i="14" s="1"/>
  <c r="CQ296" i="14"/>
  <c r="CQ308" i="14"/>
  <c r="BW262" i="14"/>
  <c r="GK262" i="14" s="1"/>
  <c r="AB310" i="14"/>
  <c r="V310" i="14" s="1"/>
  <c r="AB266" i="14"/>
  <c r="AZ333" i="14"/>
  <c r="AY319" i="14"/>
  <c r="AY333" i="14" s="1"/>
  <c r="CW308" i="14"/>
  <c r="DK296" i="14"/>
  <c r="BR296" i="14"/>
  <c r="DK310" i="14"/>
  <c r="DM333" i="14"/>
  <c r="DM332" i="14" s="1"/>
  <c r="DM318" i="14"/>
  <c r="DF296" i="14"/>
  <c r="BN320" i="14"/>
  <c r="BN318" i="14" s="1"/>
  <c r="AZ310" i="14"/>
  <c r="AZ324" i="14"/>
  <c r="AI320" i="14"/>
  <c r="AI334" i="14" s="1"/>
  <c r="AJ334" i="14"/>
  <c r="AJ318" i="14"/>
  <c r="DS308" i="14"/>
  <c r="DS318" i="14" s="1"/>
  <c r="DS295" i="14"/>
  <c r="DS309" i="14" s="1"/>
  <c r="AP320" i="14"/>
  <c r="AN310" i="14"/>
  <c r="DP294" i="14"/>
  <c r="DP308" i="14" s="1"/>
  <c r="DP318" i="14" s="1"/>
  <c r="DQ308" i="14"/>
  <c r="AZ294" i="14"/>
  <c r="BG294" i="14" s="1"/>
  <c r="DG318" i="14"/>
  <c r="DG308" i="14"/>
  <c r="DG320" i="14" s="1"/>
  <c r="DF294" i="14"/>
  <c r="DR295" i="14"/>
  <c r="DR308" i="14"/>
  <c r="BW319" i="14"/>
  <c r="BX333" i="14"/>
  <c r="BS308" i="14"/>
  <c r="BR294" i="14"/>
  <c r="BR308" i="14" s="1"/>
  <c r="BT334" i="14"/>
  <c r="BT318" i="14"/>
  <c r="BT332" i="14" s="1"/>
  <c r="DL308" i="14"/>
  <c r="DL320" i="14" s="1"/>
  <c r="DK294" i="14"/>
  <c r="DK308" i="14" s="1"/>
  <c r="DP266" i="14"/>
  <c r="BG310" i="14"/>
  <c r="BF296" i="14"/>
  <c r="DT308" i="14"/>
  <c r="DT318" i="14" s="1"/>
  <c r="DT295" i="14"/>
  <c r="DT309" i="14" s="1"/>
  <c r="CW334" i="14"/>
  <c r="CW318" i="14"/>
  <c r="CW332" i="14" s="1"/>
  <c r="BN308" i="14"/>
  <c r="BM294" i="14"/>
  <c r="BM308" i="14" s="1"/>
  <c r="DC8" i="14"/>
  <c r="DF310" i="14"/>
  <c r="AO332" i="14"/>
  <c r="DB296" i="14"/>
  <c r="DB310" i="14" s="1"/>
  <c r="DB320" i="14" s="1"/>
  <c r="DB308" i="14"/>
  <c r="AS320" i="14"/>
  <c r="AS334" i="14" s="1"/>
  <c r="AT334" i="14"/>
  <c r="AT318" i="14"/>
  <c r="BS320" i="14"/>
  <c r="BR310" i="14"/>
  <c r="BR320" i="14" s="1"/>
  <c r="BR334" i="14" s="1"/>
  <c r="BH334" i="14"/>
  <c r="BH318" i="14"/>
  <c r="BH332" i="14" s="1"/>
  <c r="BP334" i="14"/>
  <c r="BP318" i="14"/>
  <c r="BP332" i="14" s="1"/>
  <c r="BO296" i="14"/>
  <c r="BO308" i="14"/>
  <c r="BO322" i="14" s="1"/>
  <c r="AB294" i="14"/>
  <c r="AB308" i="14" s="1"/>
  <c r="BM266" i="14"/>
  <c r="AP308" i="14"/>
  <c r="AN294" i="14"/>
  <c r="AN308" i="14" s="1"/>
  <c r="EA318" i="14"/>
  <c r="BG333" i="14"/>
  <c r="BM319" i="14"/>
  <c r="BM333" i="14" s="1"/>
  <c r="BN333" i="14"/>
  <c r="FM244" i="14"/>
  <c r="BX320" i="14" l="1"/>
  <c r="DQ310" i="14"/>
  <c r="DP310" i="14" s="1"/>
  <c r="BX308" i="14"/>
  <c r="CY308" i="14" s="1"/>
  <c r="BX318" i="14"/>
  <c r="CY318" i="14" s="1"/>
  <c r="CY320" i="14"/>
  <c r="BD294" i="14"/>
  <c r="AY294" i="14" s="1"/>
  <c r="BK266" i="14"/>
  <c r="BF266" i="14" s="1"/>
  <c r="BY294" i="14"/>
  <c r="CZ266" i="14"/>
  <c r="BF264" i="14"/>
  <c r="CB294" i="14"/>
  <c r="CB296" i="14" s="1"/>
  <c r="DA266" i="14"/>
  <c r="DO318" i="14"/>
  <c r="BW333" i="14"/>
  <c r="GK333" i="14" s="1"/>
  <c r="GK319" i="14"/>
  <c r="BA323" i="14"/>
  <c r="AY325" i="14"/>
  <c r="BA308" i="14"/>
  <c r="DZ318" i="14"/>
  <c r="DX318" i="14" s="1"/>
  <c r="BW264" i="14"/>
  <c r="BW266" i="14"/>
  <c r="GK266" i="14" s="1"/>
  <c r="DD260" i="14"/>
  <c r="DD262" i="14" s="1"/>
  <c r="AY266" i="14"/>
  <c r="BN322" i="14"/>
  <c r="CQ310" i="14"/>
  <c r="BM322" i="14"/>
  <c r="BN332" i="14"/>
  <c r="DF318" i="14"/>
  <c r="DF308" i="14"/>
  <c r="BA310" i="14"/>
  <c r="BA320" i="14" s="1"/>
  <c r="BA324" i="14"/>
  <c r="AJ332" i="14"/>
  <c r="AI318" i="14"/>
  <c r="AI332" i="14" s="1"/>
  <c r="AZ320" i="14"/>
  <c r="BG308" i="14"/>
  <c r="AZ327" i="14" s="1"/>
  <c r="CR319" i="14"/>
  <c r="CR333" i="14" s="1"/>
  <c r="BG320" i="14"/>
  <c r="BF310" i="14"/>
  <c r="BF320" i="14" s="1"/>
  <c r="BF334" i="14" s="1"/>
  <c r="DR318" i="14"/>
  <c r="DR320" i="14"/>
  <c r="DR333" i="14" s="1"/>
  <c r="DG333" i="14"/>
  <c r="DF333" i="14" s="1"/>
  <c r="DF320" i="14"/>
  <c r="DQ320" i="14"/>
  <c r="DQ318" i="14"/>
  <c r="BS334" i="14"/>
  <c r="BS318" i="14"/>
  <c r="AS318" i="14"/>
  <c r="AS332" i="14" s="1"/>
  <c r="AT332" i="14"/>
  <c r="DB334" i="14"/>
  <c r="DB318" i="14"/>
  <c r="DB332" i="14" s="1"/>
  <c r="BX334" i="14"/>
  <c r="CY333" i="14"/>
  <c r="DP295" i="14"/>
  <c r="DR309" i="14"/>
  <c r="DP309" i="14" s="1"/>
  <c r="AP318" i="14"/>
  <c r="AP334" i="14"/>
  <c r="AN320" i="14"/>
  <c r="AN334" i="14" s="1"/>
  <c r="BN334" i="14"/>
  <c r="BO310" i="14"/>
  <c r="BM296" i="14"/>
  <c r="DK320" i="14"/>
  <c r="DL318" i="14"/>
  <c r="DL333" i="14"/>
  <c r="DE270" i="14"/>
  <c r="AZ308" i="14"/>
  <c r="AZ323" i="14"/>
  <c r="EW291" i="14"/>
  <c r="EZ291" i="14" s="1"/>
  <c r="EX288" i="14"/>
  <c r="EW288" i="14" s="1"/>
  <c r="FA288" i="14" s="1"/>
  <c r="EX285" i="14"/>
  <c r="EW285" i="14" s="1"/>
  <c r="EZ285" i="14" s="1"/>
  <c r="EX282" i="14"/>
  <c r="EW282" i="14" s="1"/>
  <c r="FA282" i="14" s="1"/>
  <c r="EX279" i="14"/>
  <c r="EW279" i="14" s="1"/>
  <c r="EX276" i="14"/>
  <c r="EX273" i="14"/>
  <c r="EW273" i="14" s="1"/>
  <c r="EZ273" i="14" s="1"/>
  <c r="EX270" i="14"/>
  <c r="EW270" i="14" s="1"/>
  <c r="EZ270" i="14" s="1"/>
  <c r="BX322" i="14" l="1"/>
  <c r="CY322" i="14" s="1"/>
  <c r="DK318" i="14"/>
  <c r="BD308" i="14"/>
  <c r="BD323" i="14"/>
  <c r="GK294" i="14"/>
  <c r="BY308" i="14"/>
  <c r="BD296" i="14"/>
  <c r="BK294" i="14"/>
  <c r="BX332" i="14"/>
  <c r="CY332" i="14" s="1"/>
  <c r="CB310" i="14"/>
  <c r="DA296" i="14"/>
  <c r="CB308" i="14"/>
  <c r="DA294" i="14"/>
  <c r="BY296" i="14"/>
  <c r="BW296" i="14" s="1"/>
  <c r="CZ294" i="14"/>
  <c r="GK264" i="14"/>
  <c r="DE266" i="14"/>
  <c r="DE267" i="14" s="1"/>
  <c r="DD264" i="14"/>
  <c r="DD270" i="14"/>
  <c r="CQ320" i="14"/>
  <c r="EW276" i="14"/>
  <c r="FA276" i="14" s="1"/>
  <c r="EX266" i="14"/>
  <c r="AB320" i="14"/>
  <c r="AB334" i="14" s="1"/>
  <c r="BO320" i="14"/>
  <c r="BM310" i="14"/>
  <c r="AY308" i="14"/>
  <c r="AY323" i="14"/>
  <c r="AP332" i="14"/>
  <c r="AN318" i="14"/>
  <c r="AN332" i="14" s="1"/>
  <c r="AZ334" i="14"/>
  <c r="AZ318" i="14"/>
  <c r="BA334" i="14"/>
  <c r="BA318" i="14"/>
  <c r="BA332" i="14" s="1"/>
  <c r="BR318" i="14"/>
  <c r="BR332" i="14" s="1"/>
  <c r="BS332" i="14"/>
  <c r="DP320" i="14"/>
  <c r="DQ333" i="14"/>
  <c r="DP333" i="14" s="1"/>
  <c r="DK333" i="14"/>
  <c r="DL332" i="14"/>
  <c r="DK332" i="14" s="1"/>
  <c r="AB318" i="14"/>
  <c r="AB332" i="14" s="1"/>
  <c r="BG334" i="14"/>
  <c r="BG318" i="14"/>
  <c r="FA270" i="14"/>
  <c r="EZ288" i="14"/>
  <c r="FA291" i="14"/>
  <c r="FA285" i="14"/>
  <c r="EZ282" i="14"/>
  <c r="FA273" i="14"/>
  <c r="FL259" i="14"/>
  <c r="FL258" i="14"/>
  <c r="FL257" i="14"/>
  <c r="FL256" i="14"/>
  <c r="FL255" i="14"/>
  <c r="FL254" i="14"/>
  <c r="FL252" i="14"/>
  <c r="FL250" i="14"/>
  <c r="FL247" i="14"/>
  <c r="FL243" i="14"/>
  <c r="FL241" i="14"/>
  <c r="FL236" i="14"/>
  <c r="FL235" i="14"/>
  <c r="FL233" i="14"/>
  <c r="FL231" i="14"/>
  <c r="FL229" i="14"/>
  <c r="FL228" i="14"/>
  <c r="FL227" i="14"/>
  <c r="FL225" i="14"/>
  <c r="FL221" i="14"/>
  <c r="FL220" i="14"/>
  <c r="FL219" i="14"/>
  <c r="FL218" i="14"/>
  <c r="FL217" i="14"/>
  <c r="FL216" i="14"/>
  <c r="FL215" i="14"/>
  <c r="FL213" i="14"/>
  <c r="FL212" i="14"/>
  <c r="FL211" i="14"/>
  <c r="FL210" i="14"/>
  <c r="FL209" i="14"/>
  <c r="FL208" i="14"/>
  <c r="FL204" i="14"/>
  <c r="FL203" i="14"/>
  <c r="FL202" i="14"/>
  <c r="FL201" i="14"/>
  <c r="FL200" i="14"/>
  <c r="FL196" i="14"/>
  <c r="FL195" i="14"/>
  <c r="FL194" i="14"/>
  <c r="FL192" i="14"/>
  <c r="FL191" i="14"/>
  <c r="FL188" i="14"/>
  <c r="FL187" i="14"/>
  <c r="FL186" i="14"/>
  <c r="FL185" i="14"/>
  <c r="FL184" i="14"/>
  <c r="FL182" i="14"/>
  <c r="FL180" i="14"/>
  <c r="FL177" i="14"/>
  <c r="FL176" i="14"/>
  <c r="FL175" i="14"/>
  <c r="FL174" i="14"/>
  <c r="FL171" i="14"/>
  <c r="FL169" i="14"/>
  <c r="FL168" i="14"/>
  <c r="FL167" i="14"/>
  <c r="FL166" i="14"/>
  <c r="FL165" i="14"/>
  <c r="FL164" i="14"/>
  <c r="FL162" i="14"/>
  <c r="FL157" i="14"/>
  <c r="FL152" i="14"/>
  <c r="FL151" i="14"/>
  <c r="FL150" i="14"/>
  <c r="FL146" i="14"/>
  <c r="FL145" i="14"/>
  <c r="FL144" i="14"/>
  <c r="FL143" i="14"/>
  <c r="FL142" i="14"/>
  <c r="FL129" i="14"/>
  <c r="FL128" i="14"/>
  <c r="FL127" i="14"/>
  <c r="FL125" i="14"/>
  <c r="FL122" i="14"/>
  <c r="FL121" i="14"/>
  <c r="FL119" i="14"/>
  <c r="FL115" i="14"/>
  <c r="FL114" i="14"/>
  <c r="FL112" i="14"/>
  <c r="FL111" i="14"/>
  <c r="FL108" i="14"/>
  <c r="FL106" i="14"/>
  <c r="FL105" i="14"/>
  <c r="FL104" i="14"/>
  <c r="FL103" i="14"/>
  <c r="FL102" i="14"/>
  <c r="FL101" i="14"/>
  <c r="FL100" i="14"/>
  <c r="FL99" i="14"/>
  <c r="FL94" i="14"/>
  <c r="FL91" i="14"/>
  <c r="FL90" i="14"/>
  <c r="FL89" i="14"/>
  <c r="FL88" i="14"/>
  <c r="FL87" i="14"/>
  <c r="FL86" i="14"/>
  <c r="FL84" i="14"/>
  <c r="FL79" i="14"/>
  <c r="FL78" i="14"/>
  <c r="FL77" i="14"/>
  <c r="FL76" i="14"/>
  <c r="FL75" i="14"/>
  <c r="FL74" i="14"/>
  <c r="FL73" i="14"/>
  <c r="FL71" i="14"/>
  <c r="FL68" i="14"/>
  <c r="FL66" i="14"/>
  <c r="FL65" i="14"/>
  <c r="FL63" i="14"/>
  <c r="FL62" i="14"/>
  <c r="FL56" i="14"/>
  <c r="FL55" i="14"/>
  <c r="FL54" i="14"/>
  <c r="FL53" i="14"/>
  <c r="FL52" i="14"/>
  <c r="FL50" i="14"/>
  <c r="FL49" i="14"/>
  <c r="FL48" i="14"/>
  <c r="FL47" i="14"/>
  <c r="FL46" i="14"/>
  <c r="FL45" i="14"/>
  <c r="FL40" i="14"/>
  <c r="FL39" i="14"/>
  <c r="FL38" i="14"/>
  <c r="FL37" i="14"/>
  <c r="FL35" i="14"/>
  <c r="FL34" i="14"/>
  <c r="FL31" i="14"/>
  <c r="FL30" i="14"/>
  <c r="FL29" i="14"/>
  <c r="FL28" i="14"/>
  <c r="FL27" i="14"/>
  <c r="FL26" i="14"/>
  <c r="FL25" i="14"/>
  <c r="FL23" i="14"/>
  <c r="FL21" i="14"/>
  <c r="FL20" i="14"/>
  <c r="FL19" i="14"/>
  <c r="FL18" i="14"/>
  <c r="FL17" i="14"/>
  <c r="FL16" i="14"/>
  <c r="FL14" i="14"/>
  <c r="BW308" i="14" l="1"/>
  <c r="GK308" i="14" s="1"/>
  <c r="BK308" i="14"/>
  <c r="BD327" i="14" s="1"/>
  <c r="BF294" i="14"/>
  <c r="BF308" i="14" s="1"/>
  <c r="AY327" i="14" s="1"/>
  <c r="BD310" i="14"/>
  <c r="BD324" i="14"/>
  <c r="AY296" i="14"/>
  <c r="AY324" i="14" s="1"/>
  <c r="CB322" i="14"/>
  <c r="DA322" i="14" s="1"/>
  <c r="DA308" i="14"/>
  <c r="BY310" i="14"/>
  <c r="CZ296" i="14"/>
  <c r="CB320" i="14"/>
  <c r="DA310" i="14"/>
  <c r="BY322" i="14"/>
  <c r="CZ308" i="14"/>
  <c r="GK296" i="14"/>
  <c r="CQ318" i="14"/>
  <c r="CQ334" i="14"/>
  <c r="EZ276" i="14"/>
  <c r="BF318" i="14"/>
  <c r="BF332" i="14" s="1"/>
  <c r="BG332" i="14"/>
  <c r="AZ332" i="14"/>
  <c r="CY334" i="14"/>
  <c r="BO334" i="14"/>
  <c r="BO318" i="14"/>
  <c r="BM320" i="14"/>
  <c r="BM334" i="14" s="1"/>
  <c r="GE257" i="14"/>
  <c r="GD257" i="14"/>
  <c r="GE241" i="14"/>
  <c r="GD241" i="14"/>
  <c r="GE229" i="14"/>
  <c r="GD229" i="14"/>
  <c r="GE217" i="14"/>
  <c r="GE195" i="14"/>
  <c r="GD195" i="14"/>
  <c r="GE180" i="14"/>
  <c r="GD180" i="14"/>
  <c r="GE162" i="14"/>
  <c r="GD162" i="14"/>
  <c r="GE158" i="14"/>
  <c r="GD158" i="14"/>
  <c r="GE152" i="14"/>
  <c r="GD152" i="14"/>
  <c r="GE148" i="14"/>
  <c r="GD148" i="14"/>
  <c r="GE145" i="14"/>
  <c r="GD145" i="14"/>
  <c r="GE143" i="14"/>
  <c r="GD143" i="14"/>
  <c r="GE142" i="14"/>
  <c r="GD142" i="14"/>
  <c r="GE135" i="14"/>
  <c r="GD135" i="14"/>
  <c r="GE129" i="14"/>
  <c r="GD129" i="14"/>
  <c r="GE122" i="14"/>
  <c r="GD122" i="14"/>
  <c r="GE114" i="14"/>
  <c r="GE112" i="14"/>
  <c r="GD112" i="14"/>
  <c r="GE105" i="14"/>
  <c r="GD105" i="14"/>
  <c r="GE93" i="14"/>
  <c r="GD93" i="14"/>
  <c r="GE79" i="14"/>
  <c r="GD79" i="14"/>
  <c r="GE68" i="14"/>
  <c r="GD68" i="14"/>
  <c r="GE64" i="14"/>
  <c r="GD64" i="14"/>
  <c r="GE63" i="14"/>
  <c r="GD63" i="14"/>
  <c r="GE56" i="14"/>
  <c r="GD56" i="14"/>
  <c r="GE40" i="14"/>
  <c r="GD40" i="14"/>
  <c r="GE28" i="14"/>
  <c r="GD28" i="14"/>
  <c r="GE23" i="14"/>
  <c r="GD23" i="14"/>
  <c r="GE19" i="14"/>
  <c r="GD19" i="14"/>
  <c r="GD13" i="14"/>
  <c r="GD8" i="14"/>
  <c r="FY257" i="14"/>
  <c r="FX257" i="14" s="1"/>
  <c r="GB257" i="14" s="1"/>
  <c r="FY241" i="14"/>
  <c r="FX241" i="14" s="1"/>
  <c r="GB241" i="14" s="1"/>
  <c r="FY229" i="14"/>
  <c r="FX229" i="14" s="1"/>
  <c r="GB229" i="14" s="1"/>
  <c r="FY217" i="14"/>
  <c r="FX217" i="14" s="1"/>
  <c r="FY180" i="14"/>
  <c r="FX180" i="14" s="1"/>
  <c r="GA180" i="14" s="1"/>
  <c r="FY162" i="14"/>
  <c r="FX162" i="14" s="1"/>
  <c r="GB162" i="14" s="1"/>
  <c r="FY158" i="14"/>
  <c r="FY152" i="14"/>
  <c r="FX152" i="14" s="1"/>
  <c r="FY148" i="14"/>
  <c r="FX148" i="14" s="1"/>
  <c r="FY145" i="14"/>
  <c r="FX145" i="14" s="1"/>
  <c r="GB145" i="14" s="1"/>
  <c r="FY143" i="14"/>
  <c r="FX143" i="14" s="1"/>
  <c r="FY142" i="14"/>
  <c r="FY135" i="14"/>
  <c r="FX135" i="14" s="1"/>
  <c r="GB135" i="14" s="1"/>
  <c r="FY129" i="14"/>
  <c r="FX129" i="14" s="1"/>
  <c r="GB129" i="14" s="1"/>
  <c r="FY122" i="14"/>
  <c r="FX122" i="14" s="1"/>
  <c r="FY121" i="14"/>
  <c r="FX121" i="14" s="1"/>
  <c r="GB121" i="14" s="1"/>
  <c r="FY112" i="14"/>
  <c r="FX112" i="14" s="1"/>
  <c r="FY105" i="14"/>
  <c r="FX105" i="14" s="1"/>
  <c r="FY93" i="14"/>
  <c r="FX93" i="14" s="1"/>
  <c r="GB93" i="14" s="1"/>
  <c r="FY86" i="14"/>
  <c r="FX86" i="14" s="1"/>
  <c r="GB86" i="14" s="1"/>
  <c r="FY84" i="14"/>
  <c r="FX84" i="14" s="1"/>
  <c r="GB84" i="14" s="1"/>
  <c r="FY79" i="14"/>
  <c r="FX79" i="14" s="1"/>
  <c r="FY68" i="14"/>
  <c r="FX68" i="14" s="1"/>
  <c r="FY64" i="14"/>
  <c r="FX64" i="14" s="1"/>
  <c r="FY63" i="14"/>
  <c r="FX63" i="14" s="1"/>
  <c r="GA63" i="14" s="1"/>
  <c r="FY56" i="14"/>
  <c r="FX56" i="14" s="1"/>
  <c r="FY45" i="14"/>
  <c r="FX45" i="14" s="1"/>
  <c r="GB45" i="14" s="1"/>
  <c r="FY40" i="14"/>
  <c r="FX40" i="14" s="1"/>
  <c r="FY28" i="14"/>
  <c r="FX28" i="14" s="1"/>
  <c r="GA28" i="14" s="1"/>
  <c r="FY8" i="14"/>
  <c r="FR259" i="14"/>
  <c r="FQ259" i="14"/>
  <c r="FR258" i="14"/>
  <c r="FQ258" i="14"/>
  <c r="FR256" i="14"/>
  <c r="FQ256" i="14"/>
  <c r="FR255" i="14"/>
  <c r="FQ255" i="14"/>
  <c r="FR254" i="14"/>
  <c r="FQ254" i="14"/>
  <c r="FR252" i="14"/>
  <c r="FQ252" i="14"/>
  <c r="FR250" i="14"/>
  <c r="FQ250" i="14"/>
  <c r="FR247" i="14"/>
  <c r="FQ247" i="14"/>
  <c r="FR243" i="14"/>
  <c r="FQ243" i="14"/>
  <c r="FR242" i="14"/>
  <c r="FR241" i="14"/>
  <c r="FQ241" i="14"/>
  <c r="FR236" i="14"/>
  <c r="FQ236" i="14"/>
  <c r="FR235" i="14"/>
  <c r="FQ235" i="14"/>
  <c r="FR233" i="14"/>
  <c r="FQ233" i="14"/>
  <c r="FR230" i="14"/>
  <c r="FR229" i="14"/>
  <c r="FQ229" i="14"/>
  <c r="FR228" i="14"/>
  <c r="FQ228" i="14"/>
  <c r="FR227" i="14"/>
  <c r="FQ227" i="14"/>
  <c r="FR225" i="14"/>
  <c r="FQ225" i="14"/>
  <c r="FR223" i="14"/>
  <c r="FQ223" i="14"/>
  <c r="FQ221" i="14"/>
  <c r="FR220" i="14"/>
  <c r="FQ220" i="14"/>
  <c r="FR219" i="14"/>
  <c r="FQ219" i="14"/>
  <c r="FR218" i="14"/>
  <c r="FQ218" i="14"/>
  <c r="FR217" i="14"/>
  <c r="FQ217" i="14"/>
  <c r="FR216" i="14"/>
  <c r="FQ216" i="14"/>
  <c r="FR215" i="14"/>
  <c r="FQ215" i="14"/>
  <c r="FR214" i="14"/>
  <c r="FR213" i="14"/>
  <c r="FQ213" i="14"/>
  <c r="FR212" i="14"/>
  <c r="FQ212" i="14"/>
  <c r="FR211" i="14"/>
  <c r="FQ211" i="14"/>
  <c r="FR210" i="14"/>
  <c r="FQ210" i="14"/>
  <c r="FR208" i="14"/>
  <c r="FQ208" i="14"/>
  <c r="FR204" i="14"/>
  <c r="FQ204" i="14"/>
  <c r="FR203" i="14"/>
  <c r="FQ203" i="14"/>
  <c r="FR202" i="14"/>
  <c r="FQ202" i="14"/>
  <c r="FR201" i="14"/>
  <c r="FQ201" i="14"/>
  <c r="FR200" i="14"/>
  <c r="FQ200" i="14"/>
  <c r="FR196" i="14"/>
  <c r="FQ196" i="14"/>
  <c r="FR192" i="14"/>
  <c r="FQ192" i="14"/>
  <c r="FR191" i="14"/>
  <c r="FQ191" i="14"/>
  <c r="FR190" i="14"/>
  <c r="FQ190" i="14"/>
  <c r="FR188" i="14"/>
  <c r="FQ188" i="14"/>
  <c r="FR187" i="14"/>
  <c r="FQ187" i="14"/>
  <c r="FR186" i="14"/>
  <c r="FQ186" i="14"/>
  <c r="FR180" i="14"/>
  <c r="FQ180" i="14"/>
  <c r="FR177" i="14"/>
  <c r="FQ177" i="14"/>
  <c r="FR176" i="14"/>
  <c r="FQ176" i="14"/>
  <c r="FR175" i="14"/>
  <c r="FQ175" i="14"/>
  <c r="FR174" i="14"/>
  <c r="FQ174" i="14"/>
  <c r="FR173" i="14"/>
  <c r="FQ173" i="14"/>
  <c r="FR171" i="14"/>
  <c r="FQ171" i="14"/>
  <c r="FR170" i="14"/>
  <c r="FQ170" i="14"/>
  <c r="FR169" i="14"/>
  <c r="FQ169" i="14"/>
  <c r="FR168" i="14"/>
  <c r="FQ168" i="14"/>
  <c r="FR167" i="14"/>
  <c r="FQ167" i="14"/>
  <c r="FR166" i="14"/>
  <c r="FQ166" i="14"/>
  <c r="FR165" i="14"/>
  <c r="FQ165" i="14"/>
  <c r="FR164" i="14"/>
  <c r="FQ164" i="14"/>
  <c r="FR162" i="14"/>
  <c r="FQ162" i="14"/>
  <c r="FQ159" i="14"/>
  <c r="FR157" i="14"/>
  <c r="FQ157" i="14"/>
  <c r="FR156" i="14"/>
  <c r="FQ156" i="14"/>
  <c r="FR152" i="14"/>
  <c r="FQ152" i="14"/>
  <c r="FR151" i="14"/>
  <c r="FQ151" i="14"/>
  <c r="FR150" i="14"/>
  <c r="FQ150" i="14"/>
  <c r="FR148" i="14"/>
  <c r="FQ148" i="14"/>
  <c r="FR146" i="14"/>
  <c r="FQ146" i="14"/>
  <c r="FR145" i="14"/>
  <c r="FQ145" i="14"/>
  <c r="FR144" i="14"/>
  <c r="FQ144" i="14"/>
  <c r="FR143" i="14"/>
  <c r="FQ143" i="14"/>
  <c r="FR142" i="14"/>
  <c r="FQ142" i="14"/>
  <c r="FR138" i="14"/>
  <c r="FQ138" i="14"/>
  <c r="FR137" i="14"/>
  <c r="FQ137" i="14"/>
  <c r="FR136" i="14"/>
  <c r="FQ136" i="14"/>
  <c r="FR135" i="14"/>
  <c r="FQ135" i="14"/>
  <c r="FR134" i="14"/>
  <c r="FQ134" i="14"/>
  <c r="FR133" i="14"/>
  <c r="FQ133" i="14"/>
  <c r="FR129" i="14"/>
  <c r="FQ129" i="14"/>
  <c r="FR128" i="14"/>
  <c r="FQ128" i="14"/>
  <c r="FR127" i="14"/>
  <c r="FQ127" i="14"/>
  <c r="FR123" i="14"/>
  <c r="FQ123" i="14"/>
  <c r="FR121" i="14"/>
  <c r="FQ121" i="14"/>
  <c r="FR119" i="14"/>
  <c r="FQ119" i="14"/>
  <c r="FR117" i="14"/>
  <c r="FQ117" i="14"/>
  <c r="FR115" i="14"/>
  <c r="FQ115" i="14"/>
  <c r="FR114" i="14"/>
  <c r="FQ114" i="14"/>
  <c r="FR113" i="14"/>
  <c r="FQ113" i="14"/>
  <c r="FR112" i="14"/>
  <c r="FQ112" i="14"/>
  <c r="FR111" i="14"/>
  <c r="FQ111" i="14"/>
  <c r="FR110" i="14"/>
  <c r="FR109" i="14"/>
  <c r="FQ109" i="14"/>
  <c r="FR108" i="14"/>
  <c r="FQ108" i="14"/>
  <c r="FR106" i="14"/>
  <c r="FQ106" i="14"/>
  <c r="FR105" i="14"/>
  <c r="FQ105" i="14"/>
  <c r="FR104" i="14"/>
  <c r="FQ104" i="14"/>
  <c r="FR103" i="14"/>
  <c r="FQ103" i="14"/>
  <c r="FR102" i="14"/>
  <c r="FQ102" i="14"/>
  <c r="FR101" i="14"/>
  <c r="FQ101" i="14"/>
  <c r="FR100" i="14"/>
  <c r="FQ100" i="14"/>
  <c r="FR99" i="14"/>
  <c r="FQ99" i="14"/>
  <c r="FR97" i="14"/>
  <c r="FQ97" i="14"/>
  <c r="FR94" i="14"/>
  <c r="FQ94" i="14"/>
  <c r="FR93" i="14"/>
  <c r="FQ93" i="14"/>
  <c r="FR91" i="14"/>
  <c r="FQ91" i="14"/>
  <c r="FR90" i="14"/>
  <c r="FQ90" i="14"/>
  <c r="FR89" i="14"/>
  <c r="FQ89" i="14"/>
  <c r="FR88" i="14"/>
  <c r="FQ88" i="14"/>
  <c r="FR87" i="14"/>
  <c r="FQ87" i="14"/>
  <c r="FR86" i="14"/>
  <c r="FQ86" i="14"/>
  <c r="FR79" i="14"/>
  <c r="FQ79" i="14"/>
  <c r="FR78" i="14"/>
  <c r="FQ78" i="14"/>
  <c r="FR77" i="14"/>
  <c r="FQ77" i="14"/>
  <c r="FR76" i="14"/>
  <c r="FQ76" i="14"/>
  <c r="FR75" i="14"/>
  <c r="FQ75" i="14"/>
  <c r="FR74" i="14"/>
  <c r="FQ74" i="14"/>
  <c r="FR73" i="14"/>
  <c r="FQ73" i="14"/>
  <c r="FR71" i="14"/>
  <c r="FQ71" i="14"/>
  <c r="FR68" i="14"/>
  <c r="FQ68" i="14"/>
  <c r="FR66" i="14"/>
  <c r="FR65" i="14"/>
  <c r="FQ65" i="14"/>
  <c r="FR64" i="14"/>
  <c r="FQ64" i="14"/>
  <c r="FR63" i="14"/>
  <c r="FQ63" i="14"/>
  <c r="FR62" i="14"/>
  <c r="FQ62" i="14"/>
  <c r="FR58" i="14"/>
  <c r="FQ58" i="14"/>
  <c r="FR57" i="14"/>
  <c r="FQ57" i="14"/>
  <c r="FR54" i="14"/>
  <c r="FQ54" i="14"/>
  <c r="FQ53" i="14"/>
  <c r="FR52" i="14"/>
  <c r="FQ52" i="14"/>
  <c r="FR50" i="14"/>
  <c r="FQ50" i="14"/>
  <c r="FR48" i="14"/>
  <c r="FQ48" i="14"/>
  <c r="FR47" i="14"/>
  <c r="FQ47" i="14"/>
  <c r="FR46" i="14"/>
  <c r="FQ46" i="14"/>
  <c r="FR44" i="14"/>
  <c r="FR40" i="14"/>
  <c r="FQ40" i="14"/>
  <c r="FR39" i="14"/>
  <c r="FQ39" i="14"/>
  <c r="FR38" i="14"/>
  <c r="FQ38" i="14"/>
  <c r="FR37" i="14"/>
  <c r="FQ37" i="14"/>
  <c r="FR35" i="14"/>
  <c r="FQ35" i="14"/>
  <c r="FR34" i="14"/>
  <c r="FQ34" i="14"/>
  <c r="FR33" i="14"/>
  <c r="FQ33" i="14"/>
  <c r="FR32" i="14"/>
  <c r="FQ32" i="14"/>
  <c r="FR31" i="14"/>
  <c r="FQ31" i="14"/>
  <c r="FR30" i="14"/>
  <c r="FQ30" i="14"/>
  <c r="FR29" i="14"/>
  <c r="FQ29" i="14"/>
  <c r="FR28" i="14"/>
  <c r="FQ28" i="14"/>
  <c r="FR26" i="14"/>
  <c r="FQ26" i="14"/>
  <c r="FR25" i="14"/>
  <c r="FQ25" i="14"/>
  <c r="FR23" i="14"/>
  <c r="FQ23" i="14"/>
  <c r="FR20" i="14"/>
  <c r="FQ20" i="14"/>
  <c r="FR19" i="14"/>
  <c r="FQ19" i="14"/>
  <c r="FR18" i="14"/>
  <c r="FQ18" i="14"/>
  <c r="FR16" i="14"/>
  <c r="FQ16" i="14"/>
  <c r="FR14" i="14"/>
  <c r="FQ14" i="14"/>
  <c r="FQ8" i="14"/>
  <c r="FK259" i="14"/>
  <c r="FO259" i="14" s="1"/>
  <c r="FK256" i="14"/>
  <c r="FO256" i="14" s="1"/>
  <c r="FK255" i="14"/>
  <c r="FO255" i="14" s="1"/>
  <c r="FK247" i="14"/>
  <c r="FO247" i="14" s="1"/>
  <c r="FK241" i="14"/>
  <c r="FO241" i="14" s="1"/>
  <c r="FK236" i="14"/>
  <c r="FO236" i="14" s="1"/>
  <c r="FK231" i="14"/>
  <c r="FO231" i="14" s="1"/>
  <c r="FK227" i="14"/>
  <c r="FO227" i="14" s="1"/>
  <c r="FK216" i="14"/>
  <c r="FO216" i="14" s="1"/>
  <c r="FK208" i="14"/>
  <c r="FO208" i="14" s="1"/>
  <c r="FK204" i="14"/>
  <c r="FO204" i="14" s="1"/>
  <c r="FK200" i="14"/>
  <c r="FO200" i="14" s="1"/>
  <c r="FK194" i="14"/>
  <c r="FK192" i="14"/>
  <c r="FO192" i="14" s="1"/>
  <c r="FK188" i="14"/>
  <c r="FO188" i="14" s="1"/>
  <c r="FK185" i="14"/>
  <c r="FK184" i="14"/>
  <c r="FO184" i="14" s="1"/>
  <c r="FK177" i="14"/>
  <c r="FN177" i="14" s="1"/>
  <c r="FK168" i="14"/>
  <c r="FN168" i="14" s="1"/>
  <c r="FK167" i="14"/>
  <c r="FO167" i="14" s="1"/>
  <c r="FK164" i="14"/>
  <c r="FK157" i="14"/>
  <c r="FO157" i="14" s="1"/>
  <c r="FK151" i="14"/>
  <c r="FK150" i="14"/>
  <c r="FO150" i="14" s="1"/>
  <c r="FK144" i="14"/>
  <c r="FO144" i="14" s="1"/>
  <c r="FK128" i="14"/>
  <c r="FO128" i="14" s="1"/>
  <c r="FK122" i="14"/>
  <c r="FO122" i="14" s="1"/>
  <c r="FK115" i="14"/>
  <c r="FO115" i="14" s="1"/>
  <c r="FK106" i="14"/>
  <c r="FO106" i="14" s="1"/>
  <c r="FK101" i="14"/>
  <c r="FK91" i="14"/>
  <c r="FO91" i="14" s="1"/>
  <c r="FK88" i="14"/>
  <c r="FO88" i="14" s="1"/>
  <c r="FK87" i="14"/>
  <c r="FO87" i="14" s="1"/>
  <c r="FK79" i="14"/>
  <c r="FO79" i="14" s="1"/>
  <c r="FK76" i="14"/>
  <c r="FO76" i="14" s="1"/>
  <c r="FK75" i="14"/>
  <c r="FO75" i="14" s="1"/>
  <c r="FK71" i="14"/>
  <c r="FO71" i="14" s="1"/>
  <c r="FK68" i="14"/>
  <c r="FO68" i="14" s="1"/>
  <c r="FK65" i="14"/>
  <c r="FO65" i="14" s="1"/>
  <c r="FK54" i="14"/>
  <c r="FN54" i="14" s="1"/>
  <c r="FK50" i="14"/>
  <c r="FN50" i="14" s="1"/>
  <c r="FK46" i="14"/>
  <c r="FO46" i="14" s="1"/>
  <c r="FK35" i="14"/>
  <c r="FO35" i="14" s="1"/>
  <c r="FK30" i="14"/>
  <c r="FN30" i="14" s="1"/>
  <c r="FK20" i="14"/>
  <c r="FK17" i="14"/>
  <c r="FN17" i="14" s="1"/>
  <c r="FK16" i="14"/>
  <c r="FN16" i="14" s="1"/>
  <c r="FK257" i="14"/>
  <c r="FO257" i="14" s="1"/>
  <c r="FK252" i="14"/>
  <c r="FO252" i="14" s="1"/>
  <c r="FK233" i="14"/>
  <c r="FO233" i="14" s="1"/>
  <c r="FK228" i="14"/>
  <c r="FO228" i="14" s="1"/>
  <c r="FK225" i="14"/>
  <c r="FO225" i="14" s="1"/>
  <c r="FK221" i="14"/>
  <c r="FO221" i="14" s="1"/>
  <c r="FK219" i="14"/>
  <c r="FO219" i="14" s="1"/>
  <c r="FK217" i="14"/>
  <c r="FO217" i="14" s="1"/>
  <c r="FK215" i="14"/>
  <c r="FO215" i="14" s="1"/>
  <c r="FK213" i="14"/>
  <c r="FO213" i="14" s="1"/>
  <c r="FK209" i="14"/>
  <c r="FO209" i="14" s="1"/>
  <c r="FK202" i="14"/>
  <c r="FO202" i="14" s="1"/>
  <c r="FK201" i="14"/>
  <c r="FK196" i="14"/>
  <c r="FN196" i="14" s="1"/>
  <c r="FK191" i="14"/>
  <c r="FO191" i="14" s="1"/>
  <c r="FK187" i="14"/>
  <c r="FO187" i="14" s="1"/>
  <c r="FK182" i="14"/>
  <c r="FO182" i="14" s="1"/>
  <c r="FK180" i="14"/>
  <c r="FO180" i="14" s="1"/>
  <c r="FK176" i="14"/>
  <c r="FO176" i="14" s="1"/>
  <c r="FK175" i="14"/>
  <c r="FN175" i="14" s="1"/>
  <c r="FK171" i="14"/>
  <c r="FO171" i="14" s="1"/>
  <c r="FK169" i="14"/>
  <c r="FO169" i="14" s="1"/>
  <c r="FK166" i="14"/>
  <c r="FN166" i="14" s="1"/>
  <c r="FK162" i="14"/>
  <c r="FO162" i="14" s="1"/>
  <c r="FK146" i="14"/>
  <c r="FO146" i="14" s="1"/>
  <c r="FK145" i="14"/>
  <c r="FK143" i="14"/>
  <c r="FN143" i="14" s="1"/>
  <c r="FK129" i="14"/>
  <c r="FO129" i="14" s="1"/>
  <c r="FK127" i="14"/>
  <c r="FN127" i="14" s="1"/>
  <c r="FK125" i="14"/>
  <c r="FN125" i="14" s="1"/>
  <c r="FK119" i="14"/>
  <c r="FN119" i="14" s="1"/>
  <c r="FK114" i="14"/>
  <c r="FK113" i="14"/>
  <c r="FK112" i="14"/>
  <c r="FK111" i="14"/>
  <c r="FO111" i="14" s="1"/>
  <c r="FK108" i="14"/>
  <c r="FK105" i="14"/>
  <c r="FK104" i="14"/>
  <c r="FO104" i="14" s="1"/>
  <c r="FK103" i="14"/>
  <c r="FO103" i="14" s="1"/>
  <c r="FK102" i="14"/>
  <c r="FN102" i="14" s="1"/>
  <c r="FK100" i="14"/>
  <c r="FK99" i="14"/>
  <c r="FO99" i="14" s="1"/>
  <c r="FK86" i="14"/>
  <c r="FO86" i="14" s="1"/>
  <c r="FK78" i="14"/>
  <c r="FO78" i="14" s="1"/>
  <c r="FK77" i="14"/>
  <c r="FO77" i="14" s="1"/>
  <c r="FK74" i="14"/>
  <c r="FN74" i="14" s="1"/>
  <c r="FK73" i="14"/>
  <c r="FO73" i="14" s="1"/>
  <c r="FK63" i="14"/>
  <c r="FO63" i="14" s="1"/>
  <c r="FK56" i="14"/>
  <c r="FO56" i="14" s="1"/>
  <c r="FK55" i="14"/>
  <c r="FO55" i="14" s="1"/>
  <c r="FK53" i="14"/>
  <c r="FO53" i="14" s="1"/>
  <c r="FK52" i="14"/>
  <c r="FN52" i="14" s="1"/>
  <c r="FK51" i="14"/>
  <c r="FO51" i="14" s="1"/>
  <c r="FK49" i="14"/>
  <c r="FO49" i="14" s="1"/>
  <c r="FK48" i="14"/>
  <c r="FK47" i="14"/>
  <c r="FO47" i="14" s="1"/>
  <c r="FK40" i="14"/>
  <c r="FN40" i="14" s="1"/>
  <c r="FK38" i="14"/>
  <c r="FN38" i="14" s="1"/>
  <c r="FK37" i="14"/>
  <c r="FO37" i="14" s="1"/>
  <c r="FK34" i="14"/>
  <c r="FN34" i="14" s="1"/>
  <c r="FK31" i="14"/>
  <c r="FO31" i="14" s="1"/>
  <c r="FK29" i="14"/>
  <c r="FO29" i="14" s="1"/>
  <c r="FK28" i="14"/>
  <c r="FO28" i="14" s="1"/>
  <c r="FK27" i="14"/>
  <c r="FO27" i="14" s="1"/>
  <c r="FK26" i="14"/>
  <c r="FK25" i="14"/>
  <c r="FO25" i="14" s="1"/>
  <c r="FK21" i="14"/>
  <c r="FK19" i="14"/>
  <c r="FK14" i="14"/>
  <c r="FN14" i="14" s="1"/>
  <c r="FZ244" i="14"/>
  <c r="FZ232" i="14"/>
  <c r="FZ222" i="14"/>
  <c r="FZ205" i="14"/>
  <c r="FZ197" i="14"/>
  <c r="FZ161" i="14"/>
  <c r="FZ153" i="14"/>
  <c r="FZ139" i="14"/>
  <c r="FZ130" i="14"/>
  <c r="FZ116" i="14"/>
  <c r="FZ96" i="14"/>
  <c r="FZ81" i="14"/>
  <c r="FZ59" i="14"/>
  <c r="FZ41" i="14"/>
  <c r="FZ22" i="14"/>
  <c r="FX19" i="14"/>
  <c r="GA19" i="14" s="1"/>
  <c r="FZ8" i="14"/>
  <c r="FM232" i="14"/>
  <c r="FM222" i="14"/>
  <c r="FM205" i="14"/>
  <c r="FM197" i="14"/>
  <c r="FM179" i="14"/>
  <c r="FM161" i="14"/>
  <c r="FM153" i="14"/>
  <c r="FM130" i="14"/>
  <c r="FM116" i="14"/>
  <c r="FM96" i="14"/>
  <c r="FM81" i="14"/>
  <c r="FM59" i="14"/>
  <c r="FM41" i="14"/>
  <c r="FM22" i="14"/>
  <c r="FL8" i="14"/>
  <c r="FM8" i="14"/>
  <c r="FJ330" i="14"/>
  <c r="FJ316" i="14"/>
  <c r="FJ320" i="14" s="1"/>
  <c r="FJ262" i="14"/>
  <c r="FJ266" i="14" s="1"/>
  <c r="FJ294" i="14" s="1"/>
  <c r="FD241" i="14"/>
  <c r="FC241" i="14"/>
  <c r="FD151" i="14"/>
  <c r="FC151" i="14"/>
  <c r="FD111" i="14"/>
  <c r="FC111" i="14"/>
  <c r="FD84" i="14"/>
  <c r="FC84" i="14"/>
  <c r="FD64" i="14"/>
  <c r="FC64" i="14"/>
  <c r="FD63" i="14"/>
  <c r="FC63" i="14"/>
  <c r="FD38" i="14"/>
  <c r="FC38" i="14"/>
  <c r="FD8" i="14"/>
  <c r="FF294" i="14"/>
  <c r="FE294" i="14"/>
  <c r="EX241" i="14"/>
  <c r="EW241" i="14" s="1"/>
  <c r="FA241" i="14" s="1"/>
  <c r="EX151" i="14"/>
  <c r="EW151" i="14" s="1"/>
  <c r="EX64" i="14"/>
  <c r="EX63" i="14"/>
  <c r="EW63" i="14" s="1"/>
  <c r="EZ63" i="14" s="1"/>
  <c r="EX41" i="14"/>
  <c r="EX38" i="14"/>
  <c r="EY244" i="14"/>
  <c r="EY232" i="14"/>
  <c r="EY205" i="14"/>
  <c r="EY197" i="14"/>
  <c r="EY161" i="14"/>
  <c r="EY153" i="14"/>
  <c r="EY139" i="14"/>
  <c r="EY130" i="14"/>
  <c r="EY116" i="14"/>
  <c r="EY81" i="14"/>
  <c r="EY41" i="14"/>
  <c r="EW41" i="14" s="1"/>
  <c r="EY22" i="14"/>
  <c r="EY8" i="14"/>
  <c r="BW322" i="14" l="1"/>
  <c r="BD320" i="14"/>
  <c r="AY310" i="14"/>
  <c r="CB334" i="14"/>
  <c r="DA320" i="14"/>
  <c r="DA334" i="14" s="1"/>
  <c r="CB318" i="14"/>
  <c r="BY320" i="14"/>
  <c r="CZ310" i="14"/>
  <c r="BW310" i="14"/>
  <c r="GK310" i="14" s="1"/>
  <c r="GK322" i="14"/>
  <c r="FP54" i="14"/>
  <c r="FS54" i="14" s="1"/>
  <c r="FP196" i="14"/>
  <c r="FS196" i="14" s="1"/>
  <c r="FP243" i="14"/>
  <c r="FS243" i="14" s="1"/>
  <c r="CQ332" i="14"/>
  <c r="GD10" i="14"/>
  <c r="FN259" i="14"/>
  <c r="FN87" i="14"/>
  <c r="FP93" i="14"/>
  <c r="FS93" i="14" s="1"/>
  <c r="FN71" i="14"/>
  <c r="FP259" i="14"/>
  <c r="FT259" i="14" s="1"/>
  <c r="FN106" i="14"/>
  <c r="FP227" i="14"/>
  <c r="FS227" i="14" s="1"/>
  <c r="FP34" i="14"/>
  <c r="FV34" i="14" s="1"/>
  <c r="FW34" i="14" s="1"/>
  <c r="FP117" i="14"/>
  <c r="FS117" i="14" s="1"/>
  <c r="FP192" i="14"/>
  <c r="FS192" i="14" s="1"/>
  <c r="FP247" i="14"/>
  <c r="FS247" i="14" s="1"/>
  <c r="FP26" i="14"/>
  <c r="FS26" i="14" s="1"/>
  <c r="FP152" i="14"/>
  <c r="FS152" i="14" s="1"/>
  <c r="BO332" i="14"/>
  <c r="BM318" i="14"/>
  <c r="BM332" i="14" s="1"/>
  <c r="EZ151" i="14"/>
  <c r="FA151" i="14"/>
  <c r="EW64" i="14"/>
  <c r="FA64" i="14" s="1"/>
  <c r="FN202" i="14"/>
  <c r="FN252" i="14"/>
  <c r="FO50" i="14"/>
  <c r="FN217" i="14"/>
  <c r="FN88" i="14"/>
  <c r="FN78" i="14"/>
  <c r="FN209" i="14"/>
  <c r="FN228" i="14"/>
  <c r="FO125" i="14"/>
  <c r="FN221" i="14"/>
  <c r="FN122" i="14"/>
  <c r="FN231" i="14"/>
  <c r="FN213" i="14"/>
  <c r="FN233" i="14"/>
  <c r="FN28" i="14"/>
  <c r="FO16" i="14"/>
  <c r="FN180" i="14"/>
  <c r="FO168" i="14"/>
  <c r="FN26" i="14"/>
  <c r="FO26" i="14"/>
  <c r="FN201" i="14"/>
  <c r="FO201" i="14"/>
  <c r="FN21" i="14"/>
  <c r="FO21" i="14"/>
  <c r="FN145" i="14"/>
  <c r="FO145" i="14"/>
  <c r="FO105" i="14"/>
  <c r="FN105" i="14"/>
  <c r="GB217" i="14"/>
  <c r="GA217" i="14"/>
  <c r="FK66" i="14"/>
  <c r="FO66" i="14" s="1"/>
  <c r="FK89" i="14"/>
  <c r="FO89" i="14" s="1"/>
  <c r="FN194" i="14"/>
  <c r="FO194" i="14"/>
  <c r="GB19" i="14"/>
  <c r="EX8" i="14"/>
  <c r="FH8" i="14"/>
  <c r="EZ241" i="14"/>
  <c r="FZ260" i="14"/>
  <c r="FZ262" i="14" s="1"/>
  <c r="FZ266" i="14" s="1"/>
  <c r="FN19" i="14"/>
  <c r="FO19" i="14"/>
  <c r="FK62" i="14"/>
  <c r="FO62" i="14" s="1"/>
  <c r="FK121" i="14"/>
  <c r="FO121" i="14" s="1"/>
  <c r="FK211" i="14"/>
  <c r="FO211" i="14" s="1"/>
  <c r="FA63" i="14"/>
  <c r="FP38" i="14"/>
  <c r="FT38" i="14" s="1"/>
  <c r="FN79" i="14"/>
  <c r="FK152" i="14"/>
  <c r="FO152" i="14" s="1"/>
  <c r="FK195" i="14"/>
  <c r="FO195" i="14" s="1"/>
  <c r="FN208" i="14"/>
  <c r="FK39" i="14"/>
  <c r="FO39" i="14" s="1"/>
  <c r="FK212" i="14"/>
  <c r="FO212" i="14" s="1"/>
  <c r="FK220" i="14"/>
  <c r="FO220" i="14" s="1"/>
  <c r="FK250" i="14"/>
  <c r="FO250" i="14" s="1"/>
  <c r="FO54" i="14"/>
  <c r="FN68" i="14"/>
  <c r="FN146" i="14"/>
  <c r="FN169" i="14"/>
  <c r="FN204" i="14"/>
  <c r="FN215" i="14"/>
  <c r="FN219" i="14"/>
  <c r="FN225" i="14"/>
  <c r="FN236" i="14"/>
  <c r="FN247" i="14"/>
  <c r="FN255" i="14"/>
  <c r="GB180" i="14"/>
  <c r="FK18" i="14"/>
  <c r="FO18" i="14" s="1"/>
  <c r="FK84" i="14"/>
  <c r="FO84" i="14" s="1"/>
  <c r="FN151" i="14"/>
  <c r="FO151" i="14"/>
  <c r="FN164" i="14"/>
  <c r="FO164" i="14"/>
  <c r="FN185" i="14"/>
  <c r="FO185" i="14"/>
  <c r="FN216" i="14"/>
  <c r="FN227" i="14"/>
  <c r="FN241" i="14"/>
  <c r="FN256" i="14"/>
  <c r="FN91" i="14"/>
  <c r="EW38" i="14"/>
  <c r="FA38" i="14" s="1"/>
  <c r="FN48" i="14"/>
  <c r="FO48" i="14"/>
  <c r="FK142" i="14"/>
  <c r="FO142" i="14" s="1"/>
  <c r="FK186" i="14"/>
  <c r="FO186" i="14" s="1"/>
  <c r="FK229" i="14"/>
  <c r="FO229" i="14" s="1"/>
  <c r="FK235" i="14"/>
  <c r="FO235" i="14" s="1"/>
  <c r="FK243" i="14"/>
  <c r="FO243" i="14" s="1"/>
  <c r="FK45" i="14"/>
  <c r="FO45" i="14" s="1"/>
  <c r="FO40" i="14"/>
  <c r="FN63" i="14"/>
  <c r="FO74" i="14"/>
  <c r="FO119" i="14"/>
  <c r="FO177" i="14"/>
  <c r="FN257" i="14"/>
  <c r="FK23" i="14"/>
  <c r="FO23" i="14" s="1"/>
  <c r="FK165" i="14"/>
  <c r="FO165" i="14" s="1"/>
  <c r="FK174" i="14"/>
  <c r="FO174" i="14" s="1"/>
  <c r="FN29" i="14"/>
  <c r="FN37" i="14"/>
  <c r="FN104" i="14"/>
  <c r="FK90" i="14"/>
  <c r="FO90" i="14" s="1"/>
  <c r="FK94" i="14"/>
  <c r="FO94" i="14" s="1"/>
  <c r="FK203" i="14"/>
  <c r="FO203" i="14" s="1"/>
  <c r="FK210" i="14"/>
  <c r="FO210" i="14" s="1"/>
  <c r="FK218" i="14"/>
  <c r="FO218" i="14" s="1"/>
  <c r="FK254" i="14"/>
  <c r="FO254" i="14" s="1"/>
  <c r="FK258" i="14"/>
  <c r="FO258" i="14" s="1"/>
  <c r="GA86" i="14"/>
  <c r="GA162" i="14"/>
  <c r="FX8" i="14"/>
  <c r="GA45" i="14"/>
  <c r="FO143" i="14"/>
  <c r="FO166" i="14"/>
  <c r="FO175" i="14"/>
  <c r="FO196" i="14"/>
  <c r="FN157" i="14"/>
  <c r="FN167" i="14"/>
  <c r="FN176" i="14"/>
  <c r="FN184" i="14"/>
  <c r="FN192" i="14"/>
  <c r="FN200" i="14"/>
  <c r="FN182" i="14"/>
  <c r="FN187" i="14"/>
  <c r="FN191" i="14"/>
  <c r="FN144" i="14"/>
  <c r="FN150" i="14"/>
  <c r="FN162" i="14"/>
  <c r="FN171" i="14"/>
  <c r="FN188" i="14"/>
  <c r="FN129" i="14"/>
  <c r="FO127" i="14"/>
  <c r="FN128" i="14"/>
  <c r="FN111" i="14"/>
  <c r="FN115" i="14"/>
  <c r="FN103" i="14"/>
  <c r="FO102" i="14"/>
  <c r="FN99" i="14"/>
  <c r="FN86" i="14"/>
  <c r="FN77" i="14"/>
  <c r="FN76" i="14"/>
  <c r="FN75" i="14"/>
  <c r="FN73" i="14"/>
  <c r="FN65" i="14"/>
  <c r="FN56" i="14"/>
  <c r="FN55" i="14"/>
  <c r="FN53" i="14"/>
  <c r="FO52" i="14"/>
  <c r="FN51" i="14"/>
  <c r="FN49" i="14"/>
  <c r="FN47" i="14"/>
  <c r="FN46" i="14"/>
  <c r="FO38" i="14"/>
  <c r="FN35" i="14"/>
  <c r="FO34" i="14"/>
  <c r="FN31" i="14"/>
  <c r="FO30" i="14"/>
  <c r="FN27" i="14"/>
  <c r="FN25" i="14"/>
  <c r="FO17" i="14"/>
  <c r="FO14" i="14"/>
  <c r="GA241" i="14"/>
  <c r="GB105" i="14"/>
  <c r="GA105" i="14"/>
  <c r="GB28" i="14"/>
  <c r="GB122" i="14"/>
  <c r="GA122" i="14"/>
  <c r="GA40" i="14"/>
  <c r="GB40" i="14"/>
  <c r="GB79" i="14"/>
  <c r="GA79" i="14"/>
  <c r="GB152" i="14"/>
  <c r="GA152" i="14"/>
  <c r="GB63" i="14"/>
  <c r="GA56" i="14"/>
  <c r="GB56" i="14"/>
  <c r="GA143" i="14"/>
  <c r="GB143" i="14"/>
  <c r="GB148" i="14"/>
  <c r="GA148" i="14"/>
  <c r="GA64" i="14"/>
  <c r="GB64" i="14"/>
  <c r="GA68" i="14"/>
  <c r="GB68" i="14"/>
  <c r="GA84" i="14"/>
  <c r="GA112" i="14"/>
  <c r="GB112" i="14"/>
  <c r="FX142" i="14"/>
  <c r="GB142" i="14" s="1"/>
  <c r="FX158" i="14"/>
  <c r="GB158" i="14" s="1"/>
  <c r="GA135" i="14"/>
  <c r="GA93" i="14"/>
  <c r="GA121" i="14"/>
  <c r="GA129" i="14"/>
  <c r="GA145" i="14"/>
  <c r="GA229" i="14"/>
  <c r="GA257" i="14"/>
  <c r="FP254" i="14"/>
  <c r="FT254" i="14" s="1"/>
  <c r="FP216" i="14"/>
  <c r="FT216" i="14" s="1"/>
  <c r="FP211" i="14"/>
  <c r="FP219" i="14"/>
  <c r="FT219" i="14" s="1"/>
  <c r="FP212" i="14"/>
  <c r="FP165" i="14"/>
  <c r="FS165" i="14" s="1"/>
  <c r="FP157" i="14"/>
  <c r="FS157" i="14" s="1"/>
  <c r="FP104" i="14"/>
  <c r="FS104" i="14" s="1"/>
  <c r="FP88" i="14"/>
  <c r="FT88" i="14" s="1"/>
  <c r="FP35" i="14"/>
  <c r="FS35" i="14" s="1"/>
  <c r="FP39" i="14"/>
  <c r="FT39" i="14" s="1"/>
  <c r="FM260" i="14"/>
  <c r="FB64" i="14"/>
  <c r="FK8" i="14"/>
  <c r="FD41" i="14"/>
  <c r="FP134" i="14"/>
  <c r="FJ93" i="14"/>
  <c r="FD130" i="14"/>
  <c r="FJ334" i="14"/>
  <c r="FD116" i="14"/>
  <c r="FP73" i="14"/>
  <c r="FS73" i="14" s="1"/>
  <c r="FP76" i="14"/>
  <c r="FS76" i="14" s="1"/>
  <c r="FB111" i="14"/>
  <c r="FE111" i="14" s="1"/>
  <c r="FP111" i="14"/>
  <c r="FP127" i="14"/>
  <c r="FV127" i="14" s="1"/>
  <c r="FW127" i="14" s="1"/>
  <c r="FP148" i="14"/>
  <c r="FP168" i="14"/>
  <c r="FS168" i="14" s="1"/>
  <c r="FJ172" i="14"/>
  <c r="FP177" i="14"/>
  <c r="FV177" i="14" s="1"/>
  <c r="FW177" i="14" s="1"/>
  <c r="FP204" i="14"/>
  <c r="FP50" i="14"/>
  <c r="FS50" i="14" s="1"/>
  <c r="FP28" i="14"/>
  <c r="FP30" i="14"/>
  <c r="FV30" i="14" s="1"/>
  <c r="FW30" i="14" s="1"/>
  <c r="FJ52" i="14"/>
  <c r="FD161" i="14"/>
  <c r="FP188" i="14"/>
  <c r="FP190" i="14"/>
  <c r="FP215" i="14"/>
  <c r="FD59" i="14"/>
  <c r="FP71" i="14"/>
  <c r="FP143" i="14"/>
  <c r="FV143" i="14" s="1"/>
  <c r="FW143" i="14" s="1"/>
  <c r="FP208" i="14"/>
  <c r="FD222" i="14"/>
  <c r="FD244" i="14"/>
  <c r="FP19" i="14"/>
  <c r="FJ48" i="14"/>
  <c r="FD81" i="14"/>
  <c r="FP100" i="14"/>
  <c r="FV100" i="14" s="1"/>
  <c r="FW100" i="14" s="1"/>
  <c r="FP109" i="14"/>
  <c r="FJ159" i="14"/>
  <c r="FJ207" i="14"/>
  <c r="FP236" i="14"/>
  <c r="FC22" i="14"/>
  <c r="FP64" i="14"/>
  <c r="FB84" i="14"/>
  <c r="FP133" i="14"/>
  <c r="FJ140" i="14"/>
  <c r="FD205" i="14"/>
  <c r="FP220" i="14"/>
  <c r="FP46" i="14"/>
  <c r="FS46" i="14" s="1"/>
  <c r="FP14" i="14"/>
  <c r="FV14" i="14" s="1"/>
  <c r="FW14" i="14" s="1"/>
  <c r="FP25" i="14"/>
  <c r="FP129" i="14"/>
  <c r="FP137" i="14"/>
  <c r="FP167" i="14"/>
  <c r="FC179" i="14"/>
  <c r="FP201" i="14"/>
  <c r="FP223" i="14"/>
  <c r="FC222" i="14"/>
  <c r="FP233" i="14"/>
  <c r="FC232" i="14"/>
  <c r="FC116" i="14"/>
  <c r="FD197" i="14"/>
  <c r="FP62" i="14"/>
  <c r="FT62" i="14" s="1"/>
  <c r="FP29" i="14"/>
  <c r="FP31" i="14"/>
  <c r="FP33" i="14"/>
  <c r="FB38" i="14"/>
  <c r="FP47" i="14"/>
  <c r="FB63" i="14"/>
  <c r="FE63" i="14" s="1"/>
  <c r="FH63" i="14" s="1"/>
  <c r="FI63" i="14" s="1"/>
  <c r="FP77" i="14"/>
  <c r="FP79" i="14"/>
  <c r="FP90" i="14"/>
  <c r="FP101" i="14"/>
  <c r="FP103" i="14"/>
  <c r="FC139" i="14"/>
  <c r="FD153" i="14"/>
  <c r="FC161" i="14"/>
  <c r="FP162" i="14"/>
  <c r="FT162" i="14" s="1"/>
  <c r="FP169" i="14"/>
  <c r="FD179" i="14"/>
  <c r="FC197" i="14"/>
  <c r="FP225" i="14"/>
  <c r="FD232" i="14"/>
  <c r="FP255" i="14"/>
  <c r="FC153" i="14"/>
  <c r="FP78" i="14"/>
  <c r="FT78" i="14" s="1"/>
  <c r="FP121" i="14"/>
  <c r="FD22" i="14"/>
  <c r="FP97" i="14"/>
  <c r="FP106" i="14"/>
  <c r="FP217" i="14"/>
  <c r="FP235" i="14"/>
  <c r="FC59" i="14"/>
  <c r="FP65" i="14"/>
  <c r="FC81" i="14"/>
  <c r="FP87" i="14"/>
  <c r="FP105" i="14"/>
  <c r="FP114" i="14"/>
  <c r="FV114" i="14" s="1"/>
  <c r="FW114" i="14" s="1"/>
  <c r="FC130" i="14"/>
  <c r="FP138" i="14"/>
  <c r="FT138" i="14" s="1"/>
  <c r="FD139" i="14"/>
  <c r="FB151" i="14"/>
  <c r="FP151" i="14"/>
  <c r="FS151" i="14" s="1"/>
  <c r="FP175" i="14"/>
  <c r="FV175" i="14" s="1"/>
  <c r="FW175" i="14" s="1"/>
  <c r="FP191" i="14"/>
  <c r="FP200" i="14"/>
  <c r="FT200" i="14" s="1"/>
  <c r="FP202" i="14"/>
  <c r="FC205" i="14"/>
  <c r="FP218" i="14"/>
  <c r="FT218" i="14" s="1"/>
  <c r="FB241" i="14"/>
  <c r="FP241" i="14"/>
  <c r="FC244" i="14"/>
  <c r="FC41" i="14"/>
  <c r="FP18" i="14"/>
  <c r="FP32" i="14"/>
  <c r="FP136" i="14"/>
  <c r="FP156" i="14"/>
  <c r="FP164" i="14"/>
  <c r="FP186" i="14"/>
  <c r="FP86" i="14"/>
  <c r="FT86" i="14" s="1"/>
  <c r="FP68" i="14"/>
  <c r="FS68" i="14" s="1"/>
  <c r="FP170" i="14"/>
  <c r="FT170" i="14" s="1"/>
  <c r="FP94" i="14"/>
  <c r="FP102" i="14"/>
  <c r="FT102" i="14" s="1"/>
  <c r="FP112" i="14"/>
  <c r="FP150" i="14"/>
  <c r="FT150" i="14" s="1"/>
  <c r="FP187" i="14"/>
  <c r="FP250" i="14"/>
  <c r="FP258" i="14"/>
  <c r="FP52" i="14"/>
  <c r="FT52" i="14" s="1"/>
  <c r="FP115" i="14"/>
  <c r="FP142" i="14"/>
  <c r="FP128" i="14"/>
  <c r="FQ130" i="14"/>
  <c r="FP20" i="14"/>
  <c r="FR8" i="14"/>
  <c r="FP8" i="14" s="1"/>
  <c r="FP91" i="14"/>
  <c r="FQ161" i="14"/>
  <c r="FP16" i="14"/>
  <c r="FT16" i="14" s="1"/>
  <c r="FP48" i="14"/>
  <c r="FP99" i="14"/>
  <c r="FS99" i="14" s="1"/>
  <c r="FP58" i="14"/>
  <c r="FT58" i="14" s="1"/>
  <c r="FP123" i="14"/>
  <c r="FP176" i="14"/>
  <c r="FP229" i="14"/>
  <c r="FT196" i="14"/>
  <c r="FP203" i="14"/>
  <c r="FP75" i="14"/>
  <c r="FP108" i="14"/>
  <c r="FP144" i="14"/>
  <c r="FP166" i="14"/>
  <c r="FT166" i="14" s="1"/>
  <c r="FP171" i="14"/>
  <c r="FP174" i="14"/>
  <c r="FQ197" i="14"/>
  <c r="FP210" i="14"/>
  <c r="FP252" i="14"/>
  <c r="FP228" i="14"/>
  <c r="FP256" i="14"/>
  <c r="FJ295" i="14"/>
  <c r="FJ308" i="14"/>
  <c r="FC8" i="14"/>
  <c r="FA294" i="14"/>
  <c r="EY179" i="14"/>
  <c r="EY222" i="14"/>
  <c r="EY59" i="14"/>
  <c r="BY334" i="14" l="1"/>
  <c r="CZ320" i="14"/>
  <c r="CZ334" i="14" s="1"/>
  <c r="BY318" i="14"/>
  <c r="BW320" i="14"/>
  <c r="CB332" i="14"/>
  <c r="DA332" i="14" s="1"/>
  <c r="DA318" i="14"/>
  <c r="BD334" i="14"/>
  <c r="AY320" i="14"/>
  <c r="AY334" i="14" s="1"/>
  <c r="BD318" i="14"/>
  <c r="FV54" i="14"/>
  <c r="FW54" i="14" s="1"/>
  <c r="FT54" i="14"/>
  <c r="FT243" i="14"/>
  <c r="FT227" i="14"/>
  <c r="FV196" i="14"/>
  <c r="FW196" i="14" s="1"/>
  <c r="FV87" i="14"/>
  <c r="FW87" i="14" s="1"/>
  <c r="FT34" i="14"/>
  <c r="FT93" i="14"/>
  <c r="FT165" i="14"/>
  <c r="FV259" i="14"/>
  <c r="FW259" i="14" s="1"/>
  <c r="FS216" i="14"/>
  <c r="FT117" i="14"/>
  <c r="FV106" i="14"/>
  <c r="FW106" i="14" s="1"/>
  <c r="FS259" i="14"/>
  <c r="FT104" i="14"/>
  <c r="FS254" i="14"/>
  <c r="FT152" i="14"/>
  <c r="FV86" i="14"/>
  <c r="FW86" i="14" s="1"/>
  <c r="FT26" i="14"/>
  <c r="FV26" i="14"/>
  <c r="FW26" i="14" s="1"/>
  <c r="FS34" i="14"/>
  <c r="FV71" i="14"/>
  <c r="FW71" i="14" s="1"/>
  <c r="FT192" i="14"/>
  <c r="FV217" i="14"/>
  <c r="FW217" i="14" s="1"/>
  <c r="FV227" i="14"/>
  <c r="FW227" i="14" s="1"/>
  <c r="EZ64" i="14"/>
  <c r="FH64" i="14" s="1"/>
  <c r="FI64" i="14" s="1"/>
  <c r="FS218" i="14"/>
  <c r="FV102" i="14"/>
  <c r="FW102" i="14" s="1"/>
  <c r="FT157" i="14"/>
  <c r="FT247" i="14"/>
  <c r="FV28" i="14"/>
  <c r="FW28" i="14" s="1"/>
  <c r="FV128" i="14"/>
  <c r="FW128" i="14" s="1"/>
  <c r="FV192" i="14"/>
  <c r="FW192" i="14" s="1"/>
  <c r="FV104" i="14"/>
  <c r="FW104" i="14" s="1"/>
  <c r="FV247" i="14"/>
  <c r="FW247" i="14" s="1"/>
  <c r="FV16" i="14"/>
  <c r="FW16" i="14" s="1"/>
  <c r="FF111" i="14"/>
  <c r="FI8" i="14"/>
  <c r="FV202" i="14"/>
  <c r="FW202" i="14" s="1"/>
  <c r="FV208" i="14"/>
  <c r="FW208" i="14" s="1"/>
  <c r="FV76" i="14"/>
  <c r="FW76" i="14" s="1"/>
  <c r="FV188" i="14"/>
  <c r="FW188" i="14" s="1"/>
  <c r="FV144" i="14"/>
  <c r="FW144" i="14" s="1"/>
  <c r="FV91" i="14"/>
  <c r="FW91" i="14" s="1"/>
  <c r="FV164" i="14"/>
  <c r="FW164" i="14" s="1"/>
  <c r="FV169" i="14"/>
  <c r="FW169" i="14" s="1"/>
  <c r="FV201" i="14"/>
  <c r="FW201" i="14" s="1"/>
  <c r="FV79" i="14"/>
  <c r="FW79" i="14" s="1"/>
  <c r="FV19" i="14"/>
  <c r="FW19" i="14" s="1"/>
  <c r="FV101" i="14"/>
  <c r="FW101" i="14" s="1"/>
  <c r="FV88" i="14"/>
  <c r="FW88" i="14" s="1"/>
  <c r="FV25" i="14"/>
  <c r="FW25" i="14" s="1"/>
  <c r="FV150" i="14"/>
  <c r="FW150" i="14" s="1"/>
  <c r="FV176" i="14"/>
  <c r="FW176" i="14" s="1"/>
  <c r="FV105" i="14"/>
  <c r="FW105" i="14" s="1"/>
  <c r="FN212" i="14"/>
  <c r="FV212" i="14" s="1"/>
  <c r="FW212" i="14" s="1"/>
  <c r="GA142" i="14"/>
  <c r="FV216" i="14"/>
  <c r="FW216" i="14" s="1"/>
  <c r="FV256" i="14"/>
  <c r="FW256" i="14" s="1"/>
  <c r="FN62" i="14"/>
  <c r="FV62" i="14" s="1"/>
  <c r="FN89" i="14"/>
  <c r="FV255" i="14"/>
  <c r="FW255" i="14" s="1"/>
  <c r="FV241" i="14"/>
  <c r="FW241" i="14" s="1"/>
  <c r="FV236" i="14"/>
  <c r="FW236" i="14" s="1"/>
  <c r="FV233" i="14"/>
  <c r="FW233" i="14" s="1"/>
  <c r="FN229" i="14"/>
  <c r="FN220" i="14"/>
  <c r="FN258" i="14"/>
  <c r="FV258" i="14" s="1"/>
  <c r="FW258" i="14" s="1"/>
  <c r="FN243" i="14"/>
  <c r="FV243" i="14" s="1"/>
  <c r="FW243" i="14" s="1"/>
  <c r="FN203" i="14"/>
  <c r="FV203" i="14" s="1"/>
  <c r="FW203" i="14" s="1"/>
  <c r="FN94" i="14"/>
  <c r="FV94" i="14" s="1"/>
  <c r="FW94" i="14" s="1"/>
  <c r="FN254" i="14"/>
  <c r="FV254" i="14" s="1"/>
  <c r="FW254" i="14" s="1"/>
  <c r="FV228" i="14"/>
  <c r="FW228" i="14" s="1"/>
  <c r="FV229" i="14"/>
  <c r="FW229" i="14" s="1"/>
  <c r="FV220" i="14"/>
  <c r="FW220" i="14" s="1"/>
  <c r="FV29" i="14"/>
  <c r="FW29" i="14" s="1"/>
  <c r="FN39" i="14"/>
  <c r="FV39" i="14" s="1"/>
  <c r="FW39" i="14" s="1"/>
  <c r="FN18" i="14"/>
  <c r="FV18" i="14" s="1"/>
  <c r="FW18" i="14" s="1"/>
  <c r="FN195" i="14"/>
  <c r="FN186" i="14"/>
  <c r="FV186" i="14" s="1"/>
  <c r="FW186" i="14" s="1"/>
  <c r="FN142" i="14"/>
  <c r="FV142" i="14" s="1"/>
  <c r="FW142" i="14" s="1"/>
  <c r="FT252" i="14"/>
  <c r="FV252" i="14"/>
  <c r="FW252" i="14" s="1"/>
  <c r="FF241" i="14"/>
  <c r="FH241" i="14"/>
  <c r="FI241" i="14" s="1"/>
  <c r="FF151" i="14"/>
  <c r="FH151" i="14"/>
  <c r="FF38" i="14"/>
  <c r="FS211" i="14"/>
  <c r="FV77" i="14"/>
  <c r="FW77" i="14" s="1"/>
  <c r="FV111" i="14"/>
  <c r="FW111" i="14" s="1"/>
  <c r="FV48" i="14"/>
  <c r="FW48" i="14" s="1"/>
  <c r="FV38" i="14"/>
  <c r="FW38" i="14" s="1"/>
  <c r="FT235" i="14"/>
  <c r="FT211" i="14"/>
  <c r="FV73" i="14"/>
  <c r="FW73" i="14" s="1"/>
  <c r="FV167" i="14"/>
  <c r="FW167" i="14" s="1"/>
  <c r="FN235" i="14"/>
  <c r="FV235" i="14" s="1"/>
  <c r="FW235" i="14" s="1"/>
  <c r="FN174" i="14"/>
  <c r="FV174" i="14" s="1"/>
  <c r="FW174" i="14" s="1"/>
  <c r="FN84" i="14"/>
  <c r="FV168" i="14"/>
  <c r="FW168" i="14" s="1"/>
  <c r="FN152" i="14"/>
  <c r="FV152" i="14" s="1"/>
  <c r="FW152" i="14" s="1"/>
  <c r="FV78" i="14"/>
  <c r="FW78" i="14" s="1"/>
  <c r="FS38" i="14"/>
  <c r="FT35" i="14"/>
  <c r="FV225" i="14"/>
  <c r="FW225" i="14" s="1"/>
  <c r="FV31" i="14"/>
  <c r="FW31" i="14" s="1"/>
  <c r="FF84" i="14"/>
  <c r="FV46" i="14"/>
  <c r="FW46" i="14" s="1"/>
  <c r="FV75" i="14"/>
  <c r="FW75" i="14" s="1"/>
  <c r="FV103" i="14"/>
  <c r="FW103" i="14" s="1"/>
  <c r="FV108" i="14"/>
  <c r="FW108" i="14" s="1"/>
  <c r="FV129" i="14"/>
  <c r="FW129" i="14" s="1"/>
  <c r="FV171" i="14"/>
  <c r="FW171" i="14" s="1"/>
  <c r="FV191" i="14"/>
  <c r="FW191" i="14" s="1"/>
  <c r="FV157" i="14"/>
  <c r="FW157" i="14" s="1"/>
  <c r="FV52" i="14"/>
  <c r="FW52" i="14" s="1"/>
  <c r="FV166" i="14"/>
  <c r="FW166" i="14" s="1"/>
  <c r="FN210" i="14"/>
  <c r="FV210" i="14" s="1"/>
  <c r="FW210" i="14" s="1"/>
  <c r="FN45" i="14"/>
  <c r="FV68" i="14"/>
  <c r="FW68" i="14" s="1"/>
  <c r="FV50" i="14"/>
  <c r="FW50" i="14" s="1"/>
  <c r="FN250" i="14"/>
  <c r="FV250" i="14" s="1"/>
  <c r="FW250" i="14" s="1"/>
  <c r="FN90" i="14"/>
  <c r="FV90" i="14" s="1"/>
  <c r="FW90" i="14" s="1"/>
  <c r="FN23" i="14"/>
  <c r="FN66" i="14"/>
  <c r="FN211" i="14"/>
  <c r="FV211" i="14" s="1"/>
  <c r="FW211" i="14" s="1"/>
  <c r="FN121" i="14"/>
  <c r="FV121" i="14" s="1"/>
  <c r="FW121" i="14" s="1"/>
  <c r="FS258" i="14"/>
  <c r="FF64" i="14"/>
  <c r="FV65" i="14"/>
  <c r="FW65" i="14" s="1"/>
  <c r="FN218" i="14"/>
  <c r="FV218" i="14" s="1"/>
  <c r="FW218" i="14" s="1"/>
  <c r="FT32" i="14"/>
  <c r="FS215" i="14"/>
  <c r="FV215" i="14"/>
  <c r="FW215" i="14" s="1"/>
  <c r="FS204" i="14"/>
  <c r="FV204" i="14"/>
  <c r="FW204" i="14" s="1"/>
  <c r="FV115" i="14"/>
  <c r="FW115" i="14" s="1"/>
  <c r="FV200" i="14"/>
  <c r="FW200" i="14" s="1"/>
  <c r="FV219" i="14"/>
  <c r="FW219" i="14" s="1"/>
  <c r="FV35" i="14"/>
  <c r="FW35" i="14" s="1"/>
  <c r="FV47" i="14"/>
  <c r="FW47" i="14" s="1"/>
  <c r="FV99" i="14"/>
  <c r="FW99" i="14" s="1"/>
  <c r="FV112" i="14"/>
  <c r="FW112" i="14" s="1"/>
  <c r="FV162" i="14"/>
  <c r="FW162" i="14" s="1"/>
  <c r="FV187" i="14"/>
  <c r="FW187" i="14" s="1"/>
  <c r="FV151" i="14"/>
  <c r="FW151" i="14" s="1"/>
  <c r="FN165" i="14"/>
  <c r="FV165" i="14" s="1"/>
  <c r="FW165" i="14" s="1"/>
  <c r="FV20" i="14"/>
  <c r="FW20" i="14" s="1"/>
  <c r="EZ38" i="14"/>
  <c r="FH38" i="14" s="1"/>
  <c r="FM262" i="14"/>
  <c r="FM266" i="14" s="1"/>
  <c r="GA158" i="14"/>
  <c r="FT212" i="14"/>
  <c r="FS219" i="14"/>
  <c r="FS212" i="14"/>
  <c r="FS88" i="14"/>
  <c r="FS39" i="14"/>
  <c r="FE241" i="14"/>
  <c r="FT50" i="14"/>
  <c r="FJ77" i="14"/>
  <c r="FT137" i="14"/>
  <c r="FB232" i="14"/>
  <c r="FB153" i="14"/>
  <c r="FE64" i="14"/>
  <c r="FH205" i="14"/>
  <c r="FI205" i="14" s="1"/>
  <c r="FS186" i="14"/>
  <c r="FB59" i="14"/>
  <c r="FJ144" i="14"/>
  <c r="FJ65" i="14"/>
  <c r="FE151" i="14"/>
  <c r="FJ194" i="14"/>
  <c r="FB244" i="14"/>
  <c r="FE38" i="14"/>
  <c r="FJ34" i="14"/>
  <c r="FT105" i="14"/>
  <c r="FB130" i="14"/>
  <c r="FJ228" i="14"/>
  <c r="FJ120" i="14"/>
  <c r="FJ114" i="14"/>
  <c r="FJ12" i="14"/>
  <c r="FS164" i="14"/>
  <c r="GC93" i="14"/>
  <c r="FJ80" i="14"/>
  <c r="FJ78" i="14"/>
  <c r="FS87" i="14"/>
  <c r="FJ245" i="14"/>
  <c r="FJ76" i="14"/>
  <c r="FH59" i="14"/>
  <c r="FI59" i="14" s="1"/>
  <c r="FJ37" i="14"/>
  <c r="FJ229" i="14"/>
  <c r="FJ246" i="14"/>
  <c r="FP37" i="14"/>
  <c r="FV37" i="14" s="1"/>
  <c r="FW37" i="14" s="1"/>
  <c r="FT79" i="14"/>
  <c r="FR130" i="14"/>
  <c r="FP130" i="14" s="1"/>
  <c r="FB81" i="14"/>
  <c r="FF63" i="14"/>
  <c r="FB116" i="14"/>
  <c r="FB222" i="14"/>
  <c r="FT71" i="14"/>
  <c r="FJ256" i="14"/>
  <c r="FJ193" i="14"/>
  <c r="FS190" i="14"/>
  <c r="FT87" i="14"/>
  <c r="FT19" i="14"/>
  <c r="FS79" i="14"/>
  <c r="FJ108" i="14"/>
  <c r="FS250" i="14"/>
  <c r="FJ92" i="14"/>
  <c r="FJ24" i="14"/>
  <c r="FJ243" i="14"/>
  <c r="FJ227" i="14"/>
  <c r="FP135" i="14"/>
  <c r="FT225" i="14"/>
  <c r="FP113" i="14"/>
  <c r="FH222" i="14"/>
  <c r="FI222" i="14" s="1"/>
  <c r="FJ154" i="14"/>
  <c r="FS142" i="14"/>
  <c r="FT142" i="14"/>
  <c r="FS156" i="14"/>
  <c r="FT156" i="14"/>
  <c r="FP173" i="14"/>
  <c r="FT173" i="14" s="1"/>
  <c r="FP74" i="14"/>
  <c r="FT18" i="14"/>
  <c r="FB161" i="14"/>
  <c r="FJ123" i="14"/>
  <c r="FJ158" i="14"/>
  <c r="FJ173" i="14"/>
  <c r="FP146" i="14"/>
  <c r="FV146" i="14" s="1"/>
  <c r="FW146" i="14" s="1"/>
  <c r="FS64" i="14"/>
  <c r="FT171" i="14"/>
  <c r="FB41" i="14"/>
  <c r="FT186" i="14"/>
  <c r="FR197" i="14"/>
  <c r="FP197" i="14" s="1"/>
  <c r="FT73" i="14"/>
  <c r="FJ143" i="14"/>
  <c r="FB179" i="14"/>
  <c r="FB139" i="14"/>
  <c r="FJ196" i="14"/>
  <c r="FJ160" i="14"/>
  <c r="FJ122" i="14"/>
  <c r="FJ238" i="14"/>
  <c r="FJ91" i="14"/>
  <c r="FS18" i="14"/>
  <c r="FT25" i="14"/>
  <c r="FP40" i="14"/>
  <c r="FT143" i="14"/>
  <c r="FT30" i="14"/>
  <c r="FJ251" i="14"/>
  <c r="FJ234" i="14"/>
  <c r="FS217" i="14"/>
  <c r="FT217" i="14"/>
  <c r="FS90" i="14"/>
  <c r="GC79" i="14"/>
  <c r="FJ79" i="14"/>
  <c r="FT201" i="14"/>
  <c r="FS201" i="14"/>
  <c r="FS167" i="14"/>
  <c r="FJ14" i="14"/>
  <c r="FJ220" i="14"/>
  <c r="FS188" i="14"/>
  <c r="FT188" i="14"/>
  <c r="FS241" i="14"/>
  <c r="FJ63" i="14"/>
  <c r="FT33" i="14"/>
  <c r="FS33" i="14"/>
  <c r="FT29" i="14"/>
  <c r="FS127" i="14"/>
  <c r="FT127" i="14"/>
  <c r="FJ83" i="14"/>
  <c r="FT14" i="14"/>
  <c r="FS14" i="14"/>
  <c r="FJ40" i="14"/>
  <c r="FJ177" i="14"/>
  <c r="FJ101" i="14"/>
  <c r="FJ33" i="14"/>
  <c r="FJ74" i="14"/>
  <c r="FJ19" i="14"/>
  <c r="FJ198" i="14"/>
  <c r="FH197" i="14"/>
  <c r="FI197" i="14" s="1"/>
  <c r="FJ118" i="14"/>
  <c r="FJ212" i="14"/>
  <c r="FJ221" i="14"/>
  <c r="FS236" i="14"/>
  <c r="FT202" i="14"/>
  <c r="FT175" i="14"/>
  <c r="FT203" i="14"/>
  <c r="FS71" i="14"/>
  <c r="FS94" i="14"/>
  <c r="FS97" i="14"/>
  <c r="FT121" i="14"/>
  <c r="FS121" i="14"/>
  <c r="FT255" i="14"/>
  <c r="FJ149" i="14"/>
  <c r="FT129" i="14"/>
  <c r="FS129" i="14"/>
  <c r="FJ56" i="14"/>
  <c r="FJ44" i="14"/>
  <c r="FP89" i="14"/>
  <c r="FT89" i="14" s="1"/>
  <c r="FJ176" i="14"/>
  <c r="FJ253" i="14"/>
  <c r="FJ132" i="14"/>
  <c r="FJ100" i="14"/>
  <c r="FJ72" i="14"/>
  <c r="FJ32" i="14"/>
  <c r="FJ129" i="14"/>
  <c r="FJ125" i="14"/>
  <c r="FJ113" i="14"/>
  <c r="FJ97" i="14"/>
  <c r="FJ29" i="14"/>
  <c r="FJ46" i="14"/>
  <c r="FT144" i="14"/>
  <c r="FS138" i="14"/>
  <c r="FT111" i="14"/>
  <c r="FR161" i="14"/>
  <c r="FP161" i="14" s="1"/>
  <c r="FP145" i="14"/>
  <c r="FT145" i="14" s="1"/>
  <c r="FS48" i="14"/>
  <c r="FP63" i="14"/>
  <c r="FS115" i="14"/>
  <c r="FT164" i="14"/>
  <c r="FT77" i="14"/>
  <c r="FS77" i="14"/>
  <c r="FP57" i="14"/>
  <c r="FS62" i="14"/>
  <c r="FT133" i="14"/>
  <c r="FS133" i="14"/>
  <c r="FP56" i="14"/>
  <c r="FV56" i="14" s="1"/>
  <c r="FW56" i="14" s="1"/>
  <c r="FJ199" i="14"/>
  <c r="FS162" i="14"/>
  <c r="FT177" i="14"/>
  <c r="FS177" i="14"/>
  <c r="FJ168" i="14"/>
  <c r="FJ156" i="14"/>
  <c r="FJ60" i="14"/>
  <c r="FJ157" i="14"/>
  <c r="FJ25" i="14"/>
  <c r="FJ252" i="14"/>
  <c r="FJ178" i="14"/>
  <c r="FJ98" i="14"/>
  <c r="FJ39" i="14"/>
  <c r="FS233" i="14"/>
  <c r="FS228" i="14"/>
  <c r="FS225" i="14"/>
  <c r="FP213" i="14"/>
  <c r="FR232" i="14"/>
  <c r="FS171" i="14"/>
  <c r="FS144" i="14"/>
  <c r="FT94" i="14"/>
  <c r="FT75" i="14"/>
  <c r="FT176" i="14"/>
  <c r="FT48" i="14"/>
  <c r="FS25" i="14"/>
  <c r="FS91" i="14"/>
  <c r="FS30" i="14"/>
  <c r="FP119" i="14"/>
  <c r="FV119" i="14" s="1"/>
  <c r="FW119" i="14" s="1"/>
  <c r="FS170" i="14"/>
  <c r="FS32" i="14"/>
  <c r="FB205" i="14"/>
  <c r="FS200" i="14"/>
  <c r="FT151" i="14"/>
  <c r="FT65" i="14"/>
  <c r="FS65" i="14"/>
  <c r="FJ49" i="14"/>
  <c r="FJ53" i="14"/>
  <c r="FJ216" i="14"/>
  <c r="FB197" i="14"/>
  <c r="FT223" i="14"/>
  <c r="FS223" i="14"/>
  <c r="FP180" i="14"/>
  <c r="FV180" i="14" s="1"/>
  <c r="FW180" i="14" s="1"/>
  <c r="FS137" i="14"/>
  <c r="FT64" i="14"/>
  <c r="FB22" i="14"/>
  <c r="FS19" i="14"/>
  <c r="FJ215" i="14"/>
  <c r="FT190" i="14"/>
  <c r="FT204" i="14"/>
  <c r="FJ242" i="14"/>
  <c r="FJ104" i="14"/>
  <c r="GC64" i="14"/>
  <c r="FJ191" i="14"/>
  <c r="FH116" i="14"/>
  <c r="FI116" i="14" s="1"/>
  <c r="FJ117" i="14"/>
  <c r="FJ69" i="14"/>
  <c r="FJ247" i="14"/>
  <c r="FJ219" i="14"/>
  <c r="FJ86" i="14"/>
  <c r="FJ54" i="14"/>
  <c r="FJ85" i="14"/>
  <c r="FS256" i="14"/>
  <c r="FS166" i="14"/>
  <c r="FS229" i="14"/>
  <c r="FT123" i="14"/>
  <c r="FT128" i="14"/>
  <c r="FS150" i="14"/>
  <c r="FJ15" i="14"/>
  <c r="FJ254" i="14"/>
  <c r="FJ214" i="14"/>
  <c r="FJ163" i="14"/>
  <c r="FJ51" i="14"/>
  <c r="FJ21" i="14"/>
  <c r="FJ210" i="14"/>
  <c r="FJ58" i="14"/>
  <c r="FS220" i="14"/>
  <c r="FS255" i="14"/>
  <c r="FT233" i="14"/>
  <c r="FS174" i="14"/>
  <c r="FT215" i="14"/>
  <c r="FS58" i="14"/>
  <c r="FS16" i="14"/>
  <c r="FS143" i="14"/>
  <c r="FT46" i="14"/>
  <c r="FH244" i="14"/>
  <c r="FI244" i="14" s="1"/>
  <c r="FH179" i="14"/>
  <c r="FI179" i="14" s="1"/>
  <c r="FJ180" i="14"/>
  <c r="FJ110" i="14"/>
  <c r="FJ62" i="14"/>
  <c r="FJ211" i="14"/>
  <c r="FJ187" i="14"/>
  <c r="FJ171" i="14"/>
  <c r="FJ155" i="14"/>
  <c r="FJ94" i="14"/>
  <c r="FS252" i="14"/>
  <c r="FS210" i="14"/>
  <c r="FT229" i="14"/>
  <c r="FT167" i="14"/>
  <c r="FS175" i="14"/>
  <c r="FT103" i="14"/>
  <c r="FS203" i="14"/>
  <c r="FS106" i="14"/>
  <c r="FT97" i="14"/>
  <c r="FT99" i="14"/>
  <c r="FT168" i="14"/>
  <c r="FR96" i="14"/>
  <c r="FS28" i="14"/>
  <c r="FS52" i="14"/>
  <c r="FT258" i="14"/>
  <c r="FT187" i="14"/>
  <c r="FS187" i="14"/>
  <c r="FS102" i="14"/>
  <c r="FT68" i="14"/>
  <c r="FS86" i="14"/>
  <c r="FT191" i="14"/>
  <c r="FS191" i="14"/>
  <c r="FS105" i="14"/>
  <c r="FJ82" i="14"/>
  <c r="FS235" i="14"/>
  <c r="FS78" i="14"/>
  <c r="FT250" i="14"/>
  <c r="FT169" i="14"/>
  <c r="FS169" i="14"/>
  <c r="FT47" i="14"/>
  <c r="FS47" i="14"/>
  <c r="FT31" i="14"/>
  <c r="FS31" i="14"/>
  <c r="FE84" i="14"/>
  <c r="FP23" i="14"/>
  <c r="FT208" i="14"/>
  <c r="FS208" i="14"/>
  <c r="FT148" i="14"/>
  <c r="FS148" i="14"/>
  <c r="FT76" i="14"/>
  <c r="FT241" i="14"/>
  <c r="FS202" i="14"/>
  <c r="FS103" i="14"/>
  <c r="FT91" i="14"/>
  <c r="FS176" i="14"/>
  <c r="FT106" i="14"/>
  <c r="FT90" i="14"/>
  <c r="FS29" i="14"/>
  <c r="FT228" i="14"/>
  <c r="FT174" i="14"/>
  <c r="FS111" i="14"/>
  <c r="FS75" i="14"/>
  <c r="FT236" i="14"/>
  <c r="FS123" i="14"/>
  <c r="FT115" i="14"/>
  <c r="FT210" i="14"/>
  <c r="FT28" i="14"/>
  <c r="FS128" i="14"/>
  <c r="FT220" i="14"/>
  <c r="FT256" i="14"/>
  <c r="FJ309" i="14"/>
  <c r="FJ319" i="14"/>
  <c r="FB8" i="14"/>
  <c r="EY260" i="14"/>
  <c r="GK320" i="14" l="1"/>
  <c r="BW334" i="14"/>
  <c r="GK334" i="14" s="1"/>
  <c r="BY332" i="14"/>
  <c r="CZ332" i="14" s="1"/>
  <c r="CZ318" i="14"/>
  <c r="BW318" i="14"/>
  <c r="BD332" i="14"/>
  <c r="AY318" i="14"/>
  <c r="AY332" i="14" s="1"/>
  <c r="FW62" i="14"/>
  <c r="FV145" i="14"/>
  <c r="FW145" i="14" s="1"/>
  <c r="FJ241" i="14"/>
  <c r="FJ151" i="14"/>
  <c r="FT180" i="14"/>
  <c r="FV23" i="14"/>
  <c r="FW23" i="14" s="1"/>
  <c r="FJ64" i="14"/>
  <c r="FV113" i="14"/>
  <c r="FW113" i="14" s="1"/>
  <c r="FV8" i="14"/>
  <c r="FI38" i="14"/>
  <c r="FJ38" i="14"/>
  <c r="GF79" i="14"/>
  <c r="GI79" i="14"/>
  <c r="GJ79" i="14" s="1"/>
  <c r="FT74" i="14"/>
  <c r="FV74" i="14"/>
  <c r="FW74" i="14" s="1"/>
  <c r="FT213" i="14"/>
  <c r="FV213" i="14"/>
  <c r="FW213" i="14" s="1"/>
  <c r="FT40" i="14"/>
  <c r="FV40" i="14"/>
  <c r="FW40" i="14" s="1"/>
  <c r="GG93" i="14"/>
  <c r="GI93" i="14"/>
  <c r="GJ93" i="14" s="1"/>
  <c r="FI151" i="14"/>
  <c r="FH139" i="14"/>
  <c r="FI139" i="14" s="1"/>
  <c r="GF64" i="14"/>
  <c r="GI64" i="14"/>
  <c r="GJ64" i="14" s="1"/>
  <c r="FS63" i="14"/>
  <c r="FV63" i="14"/>
  <c r="FW63" i="14" s="1"/>
  <c r="FV89" i="14"/>
  <c r="FW89" i="14" s="1"/>
  <c r="FW8" i="14"/>
  <c r="GE8" i="14"/>
  <c r="GC8" i="14" s="1"/>
  <c r="FJ124" i="14"/>
  <c r="FJ257" i="14"/>
  <c r="FJ204" i="14"/>
  <c r="FJ67" i="14"/>
  <c r="GF93" i="14"/>
  <c r="FJ136" i="14"/>
  <c r="FJ206" i="14"/>
  <c r="FJ138" i="14"/>
  <c r="FJ126" i="14"/>
  <c r="FS37" i="14"/>
  <c r="FJ231" i="14"/>
  <c r="FJ17" i="14"/>
  <c r="FJ36" i="14"/>
  <c r="FS173" i="14"/>
  <c r="FJ106" i="14"/>
  <c r="GC229" i="14"/>
  <c r="FJ127" i="14"/>
  <c r="FJ181" i="14"/>
  <c r="FJ209" i="14"/>
  <c r="FJ248" i="14"/>
  <c r="FJ133" i="14"/>
  <c r="FJ217" i="14"/>
  <c r="FS40" i="14"/>
  <c r="FJ28" i="14"/>
  <c r="FJ31" i="14"/>
  <c r="FJ137" i="14"/>
  <c r="FJ73" i="14"/>
  <c r="FJ189" i="14"/>
  <c r="FJ240" i="14"/>
  <c r="FJ225" i="14"/>
  <c r="FT37" i="14"/>
  <c r="GC129" i="14"/>
  <c r="FJ223" i="14"/>
  <c r="FJ128" i="14"/>
  <c r="FJ66" i="14"/>
  <c r="FJ183" i="14"/>
  <c r="FJ145" i="14"/>
  <c r="FH153" i="14"/>
  <c r="FI153" i="14" s="1"/>
  <c r="FT146" i="14"/>
  <c r="FJ224" i="14"/>
  <c r="GC40" i="14"/>
  <c r="FS146" i="14"/>
  <c r="GC122" i="14"/>
  <c r="GI122" i="14" s="1"/>
  <c r="GJ122" i="14" s="1"/>
  <c r="FJ88" i="14"/>
  <c r="FJ20" i="14"/>
  <c r="FJ152" i="14"/>
  <c r="FJ192" i="14"/>
  <c r="FS74" i="14"/>
  <c r="FJ226" i="14"/>
  <c r="FJ141" i="14"/>
  <c r="GC158" i="14"/>
  <c r="GC105" i="14"/>
  <c r="FJ105" i="14"/>
  <c r="FJ202" i="14"/>
  <c r="FJ235" i="14"/>
  <c r="GC112" i="14"/>
  <c r="FJ112" i="14"/>
  <c r="FJ169" i="14"/>
  <c r="GC19" i="14"/>
  <c r="GI19" i="14" s="1"/>
  <c r="FJ131" i="14"/>
  <c r="FH130" i="14"/>
  <c r="FI130" i="14" s="1"/>
  <c r="GC142" i="14"/>
  <c r="GI142" i="14" s="1"/>
  <c r="GJ142" i="14" s="1"/>
  <c r="FJ142" i="14"/>
  <c r="FJ99" i="14"/>
  <c r="FJ195" i="14"/>
  <c r="FJ43" i="14"/>
  <c r="FJ75" i="14"/>
  <c r="FJ71" i="14"/>
  <c r="FJ165" i="14"/>
  <c r="FJ258" i="14"/>
  <c r="FJ218" i="14"/>
  <c r="FJ190" i="14"/>
  <c r="FJ11" i="14"/>
  <c r="FJ237" i="14"/>
  <c r="FV197" i="14"/>
  <c r="FW197" i="14" s="1"/>
  <c r="GG64" i="14"/>
  <c r="FJ213" i="14"/>
  <c r="FT23" i="14"/>
  <c r="FS23" i="14"/>
  <c r="FJ16" i="14"/>
  <c r="FH41" i="14"/>
  <c r="FI41" i="14" s="1"/>
  <c r="FJ42" i="14"/>
  <c r="FJ35" i="14"/>
  <c r="FJ95" i="14"/>
  <c r="FJ70" i="14"/>
  <c r="FJ148" i="14"/>
  <c r="FJ208" i="14"/>
  <c r="FJ57" i="14"/>
  <c r="FJ175" i="14"/>
  <c r="GG79" i="14"/>
  <c r="FJ18" i="14"/>
  <c r="FJ147" i="14"/>
  <c r="FJ233" i="14"/>
  <c r="FH232" i="14"/>
  <c r="FI232" i="14" s="1"/>
  <c r="GC28" i="14"/>
  <c r="FJ55" i="14"/>
  <c r="FS145" i="14"/>
  <c r="GC145" i="14"/>
  <c r="FJ162" i="14"/>
  <c r="FH161" i="14"/>
  <c r="FI161" i="14" s="1"/>
  <c r="FJ230" i="14"/>
  <c r="FJ250" i="14"/>
  <c r="FJ174" i="14"/>
  <c r="FJ201" i="14"/>
  <c r="FJ134" i="14"/>
  <c r="GC86" i="14"/>
  <c r="FJ45" i="14"/>
  <c r="FS213" i="14"/>
  <c r="FJ61" i="14"/>
  <c r="GC56" i="14"/>
  <c r="FS56" i="14"/>
  <c r="FS57" i="14"/>
  <c r="FJ146" i="14"/>
  <c r="FH22" i="14"/>
  <c r="FI22" i="14" s="1"/>
  <c r="FJ23" i="14"/>
  <c r="FJ170" i="14"/>
  <c r="FJ150" i="14"/>
  <c r="FJ182" i="14"/>
  <c r="FJ89" i="14"/>
  <c r="FJ184" i="14"/>
  <c r="FJ26" i="14"/>
  <c r="FJ119" i="14"/>
  <c r="FJ239" i="14"/>
  <c r="GC241" i="14"/>
  <c r="FS180" i="14"/>
  <c r="FS119" i="14"/>
  <c r="FJ200" i="14"/>
  <c r="FT57" i="14"/>
  <c r="FJ90" i="14"/>
  <c r="FJ164" i="14"/>
  <c r="FT63" i="14"/>
  <c r="FJ87" i="14"/>
  <c r="FJ121" i="14"/>
  <c r="FJ188" i="14"/>
  <c r="FJ255" i="14"/>
  <c r="FJ135" i="14"/>
  <c r="FJ236" i="14"/>
  <c r="FJ107" i="14"/>
  <c r="FJ186" i="14"/>
  <c r="FJ50" i="14"/>
  <c r="FJ203" i="14"/>
  <c r="FJ27" i="14"/>
  <c r="FJ115" i="14"/>
  <c r="FJ259" i="14"/>
  <c r="FJ166" i="14"/>
  <c r="FJ13" i="14"/>
  <c r="FT119" i="14"/>
  <c r="FJ249" i="14"/>
  <c r="FJ102" i="14"/>
  <c r="FJ30" i="14"/>
  <c r="FJ109" i="14"/>
  <c r="FJ185" i="14"/>
  <c r="FT56" i="14"/>
  <c r="FJ167" i="14"/>
  <c r="GC257" i="14"/>
  <c r="FS89" i="14"/>
  <c r="FJ47" i="14"/>
  <c r="GC63" i="14"/>
  <c r="FJ318" i="14"/>
  <c r="FJ332" i="14" s="1"/>
  <c r="FJ333" i="14"/>
  <c r="EY262" i="14"/>
  <c r="FR80" i="14"/>
  <c r="FQ80" i="14"/>
  <c r="GK318" i="14" l="1"/>
  <c r="BW332" i="14"/>
  <c r="GK332" i="14" s="1"/>
  <c r="FV59" i="14"/>
  <c r="GG86" i="14"/>
  <c r="GF86" i="14"/>
  <c r="GF28" i="14"/>
  <c r="GI28" i="14"/>
  <c r="GJ28" i="14" s="1"/>
  <c r="GF112" i="14"/>
  <c r="GI112" i="14"/>
  <c r="GJ112" i="14" s="1"/>
  <c r="FP80" i="14"/>
  <c r="FT80" i="14" s="1"/>
  <c r="GF257" i="14"/>
  <c r="GI257" i="14"/>
  <c r="GJ257" i="14" s="1"/>
  <c r="GG158" i="14"/>
  <c r="GI158" i="14"/>
  <c r="GJ158" i="14" s="1"/>
  <c r="GG241" i="14"/>
  <c r="GI241" i="14"/>
  <c r="GJ241" i="14" s="1"/>
  <c r="GF40" i="14"/>
  <c r="GI40" i="14"/>
  <c r="GJ40" i="14" s="1"/>
  <c r="GG129" i="14"/>
  <c r="GI129" i="14"/>
  <c r="GJ129" i="14" s="1"/>
  <c r="GG229" i="14"/>
  <c r="GI229" i="14"/>
  <c r="GJ229" i="14" s="1"/>
  <c r="GI86" i="14"/>
  <c r="GJ86" i="14" s="1"/>
  <c r="GF105" i="14"/>
  <c r="GI105" i="14"/>
  <c r="GJ105" i="14" s="1"/>
  <c r="GF63" i="14"/>
  <c r="GI63" i="14"/>
  <c r="GJ63" i="14" s="1"/>
  <c r="GF56" i="14"/>
  <c r="GI56" i="14"/>
  <c r="GJ56" i="14" s="1"/>
  <c r="GF145" i="14"/>
  <c r="GI145" i="14"/>
  <c r="GJ145" i="14" s="1"/>
  <c r="GG19" i="14"/>
  <c r="GJ19" i="14"/>
  <c r="GG105" i="14"/>
  <c r="GI8" i="14"/>
  <c r="GJ8" i="14"/>
  <c r="GF129" i="14"/>
  <c r="GC68" i="14"/>
  <c r="GI68" i="14" s="1"/>
  <c r="GJ68" i="14" s="1"/>
  <c r="FJ68" i="14"/>
  <c r="GE22" i="14"/>
  <c r="GG112" i="14"/>
  <c r="GF122" i="14"/>
  <c r="GG122" i="14"/>
  <c r="GC152" i="14"/>
  <c r="GC143" i="14"/>
  <c r="GF158" i="14"/>
  <c r="GC180" i="14"/>
  <c r="GI180" i="14" s="1"/>
  <c r="GJ180" i="14" s="1"/>
  <c r="GF229" i="14"/>
  <c r="GG40" i="14"/>
  <c r="GF241" i="14"/>
  <c r="GG63" i="14"/>
  <c r="GC23" i="14"/>
  <c r="GD22" i="14"/>
  <c r="GG145" i="14"/>
  <c r="GG257" i="14"/>
  <c r="GC162" i="14"/>
  <c r="GI162" i="14" s="1"/>
  <c r="GJ162" i="14" s="1"/>
  <c r="GC195" i="14"/>
  <c r="GF142" i="14"/>
  <c r="GG142" i="14"/>
  <c r="GF19" i="14"/>
  <c r="GC135" i="14"/>
  <c r="GG56" i="14"/>
  <c r="GC148" i="14"/>
  <c r="GG28" i="14"/>
  <c r="FR13" i="14"/>
  <c r="FQ13" i="14"/>
  <c r="FR158" i="14"/>
  <c r="FQ158" i="14"/>
  <c r="FL170" i="14" l="1"/>
  <c r="FK170" i="14" s="1"/>
  <c r="FN170" i="14" s="1"/>
  <c r="FV170" i="14" s="1"/>
  <c r="FW170" i="14" s="1"/>
  <c r="GG23" i="14"/>
  <c r="FP158" i="14"/>
  <c r="FT158" i="14" s="1"/>
  <c r="GG195" i="14"/>
  <c r="GG148" i="14"/>
  <c r="GI148" i="14"/>
  <c r="GJ148" i="14" s="1"/>
  <c r="GG143" i="14"/>
  <c r="GI143" i="14"/>
  <c r="GJ143" i="14" s="1"/>
  <c r="FP13" i="14"/>
  <c r="FS13" i="14" s="1"/>
  <c r="GG135" i="14"/>
  <c r="GI135" i="14"/>
  <c r="GJ135" i="14" s="1"/>
  <c r="GG152" i="14"/>
  <c r="GI152" i="14"/>
  <c r="GJ152" i="14" s="1"/>
  <c r="FS80" i="14"/>
  <c r="GC22" i="14"/>
  <c r="GF195" i="14"/>
  <c r="GF135" i="14"/>
  <c r="GF68" i="14"/>
  <c r="GG68" i="14"/>
  <c r="GF152" i="14"/>
  <c r="GF23" i="14"/>
  <c r="GG180" i="14"/>
  <c r="GF180" i="14"/>
  <c r="GF143" i="14"/>
  <c r="GF148" i="14"/>
  <c r="GF162" i="14"/>
  <c r="GG162" i="14"/>
  <c r="EY294" i="14"/>
  <c r="FO170" i="14" l="1"/>
  <c r="FT13" i="14"/>
  <c r="FS158" i="14"/>
  <c r="FR194" i="14"/>
  <c r="FQ194" i="14"/>
  <c r="FR17" i="14"/>
  <c r="FQ17" i="14"/>
  <c r="EX103" i="14"/>
  <c r="EX84" i="14"/>
  <c r="EW84" i="14" s="1"/>
  <c r="FP194" i="14" l="1"/>
  <c r="FV194" i="14" s="1"/>
  <c r="FW194" i="14" s="1"/>
  <c r="EW103" i="14"/>
  <c r="FA103" i="14" s="1"/>
  <c r="EZ84" i="14"/>
  <c r="FH84" i="14" s="1"/>
  <c r="FA84" i="14"/>
  <c r="FP17" i="14"/>
  <c r="FV17" i="14" s="1"/>
  <c r="FW17" i="14" s="1"/>
  <c r="FY23" i="14"/>
  <c r="EZ103" i="14" l="1"/>
  <c r="FT194" i="14"/>
  <c r="FS194" i="14"/>
  <c r="FS17" i="14"/>
  <c r="FX23" i="14"/>
  <c r="GB23" i="14" s="1"/>
  <c r="FI84" i="14"/>
  <c r="FH81" i="14"/>
  <c r="FJ84" i="14"/>
  <c r="FT17" i="14"/>
  <c r="FR122" i="14"/>
  <c r="FQ122" i="14"/>
  <c r="FQ257" i="14"/>
  <c r="FR257" i="14"/>
  <c r="FL97" i="14" l="1"/>
  <c r="FK97" i="14" s="1"/>
  <c r="FN97" i="14" s="1"/>
  <c r="FV97" i="14" s="1"/>
  <c r="FW97" i="14" s="1"/>
  <c r="FP122" i="14"/>
  <c r="FV122" i="14" s="1"/>
  <c r="FW122" i="14" s="1"/>
  <c r="FR244" i="14"/>
  <c r="FI81" i="14"/>
  <c r="FQ244" i="14"/>
  <c r="FP257" i="14"/>
  <c r="FV257" i="14" s="1"/>
  <c r="FW257" i="14" s="1"/>
  <c r="GA23" i="14"/>
  <c r="GI23" i="14" s="1"/>
  <c r="FS122" i="14" l="1"/>
  <c r="FO97" i="14"/>
  <c r="FS257" i="14"/>
  <c r="FT122" i="14"/>
  <c r="FP244" i="14"/>
  <c r="FV244" i="14"/>
  <c r="FW244" i="14" s="1"/>
  <c r="GJ23" i="14"/>
  <c r="GI22" i="14"/>
  <c r="GJ22" i="14" s="1"/>
  <c r="FT257" i="14"/>
  <c r="FR45" i="14"/>
  <c r="FQ45" i="14"/>
  <c r="FP45" i="14" l="1"/>
  <c r="FV45" i="14" s="1"/>
  <c r="FW45" i="14" s="1"/>
  <c r="FT45" i="14" l="1"/>
  <c r="FS45" i="14"/>
  <c r="FD103" i="14" l="1"/>
  <c r="FD96" i="14" s="1"/>
  <c r="FC103" i="14"/>
  <c r="FC96" i="14" s="1"/>
  <c r="FB103" i="14" l="1"/>
  <c r="FH103" i="14" s="1"/>
  <c r="FD260" i="14"/>
  <c r="FR140" i="14"/>
  <c r="FQ140" i="14"/>
  <c r="FR95" i="14"/>
  <c r="FQ95" i="14"/>
  <c r="GE84" i="14"/>
  <c r="GD84" i="14"/>
  <c r="GE121" i="14"/>
  <c r="GD121" i="14"/>
  <c r="FE103" i="14" l="1"/>
  <c r="FJ103" i="14" s="1"/>
  <c r="FR139" i="14"/>
  <c r="GC84" i="14"/>
  <c r="GC121" i="14"/>
  <c r="GF121" i="14" s="1"/>
  <c r="FF103" i="14"/>
  <c r="FB96" i="14"/>
  <c r="FC260" i="14"/>
  <c r="FP95" i="14"/>
  <c r="FT95" i="14" s="1"/>
  <c r="FP140" i="14"/>
  <c r="FT140" i="14" s="1"/>
  <c r="FQ139" i="14"/>
  <c r="FI103" i="14"/>
  <c r="FR51" i="14"/>
  <c r="FQ51" i="14"/>
  <c r="FS95" i="14" l="1"/>
  <c r="FP139" i="14"/>
  <c r="GG121" i="14"/>
  <c r="GI121" i="14"/>
  <c r="GJ121" i="14" s="1"/>
  <c r="GF84" i="14"/>
  <c r="GI84" i="14"/>
  <c r="GJ84" i="14" s="1"/>
  <c r="FS140" i="14"/>
  <c r="FP51" i="14"/>
  <c r="GG84" i="14"/>
  <c r="FR67" i="14"/>
  <c r="FQ67" i="14"/>
  <c r="FV51" i="14" l="1"/>
  <c r="FP67" i="14"/>
  <c r="FS67" i="14" s="1"/>
  <c r="FS51" i="14"/>
  <c r="FR59" i="14"/>
  <c r="FT51" i="14"/>
  <c r="FL67" i="14"/>
  <c r="FW51" i="14" l="1"/>
  <c r="FT67" i="14"/>
  <c r="FK67" i="14"/>
  <c r="FO67" i="14" s="1"/>
  <c r="FR195" i="14"/>
  <c r="FQ195" i="14"/>
  <c r="FL58" i="14" l="1"/>
  <c r="FK58" i="14" s="1"/>
  <c r="FN58" i="14" s="1"/>
  <c r="FV58" i="14" s="1"/>
  <c r="FW58" i="14" s="1"/>
  <c r="FN67" i="14"/>
  <c r="FV67" i="14" s="1"/>
  <c r="FW67" i="14" s="1"/>
  <c r="FP195" i="14"/>
  <c r="FV195" i="14" s="1"/>
  <c r="FW195" i="14" s="1"/>
  <c r="FY195" i="14"/>
  <c r="FS195" i="14" l="1"/>
  <c r="FO58" i="14"/>
  <c r="FT195" i="14"/>
  <c r="FX195" i="14"/>
  <c r="GB195" i="14" s="1"/>
  <c r="GE13" i="14"/>
  <c r="GE10" i="14" s="1"/>
  <c r="GC10" i="14" s="1"/>
  <c r="FR49" i="14"/>
  <c r="FQ49" i="14"/>
  <c r="GA195" i="14" l="1"/>
  <c r="GI195" i="14" s="1"/>
  <c r="GJ195" i="14" s="1"/>
  <c r="FL33" i="14"/>
  <c r="FK33" i="14" s="1"/>
  <c r="GC13" i="14"/>
  <c r="GG13" i="14" s="1"/>
  <c r="FP49" i="14"/>
  <c r="FV49" i="14" s="1"/>
  <c r="FQ230" i="14"/>
  <c r="FW49" i="14" l="1"/>
  <c r="FO33" i="14"/>
  <c r="FN33" i="14"/>
  <c r="FV33" i="14" s="1"/>
  <c r="FW33" i="14" s="1"/>
  <c r="FT49" i="14"/>
  <c r="FP230" i="14"/>
  <c r="FS230" i="14" s="1"/>
  <c r="FS49" i="14"/>
  <c r="GF13" i="14"/>
  <c r="FR55" i="14"/>
  <c r="FQ55" i="14"/>
  <c r="FQ214" i="14"/>
  <c r="FR231" i="14"/>
  <c r="FQ231" i="14"/>
  <c r="FL214" i="14"/>
  <c r="FP231" i="14" l="1"/>
  <c r="FV231" i="14" s="1"/>
  <c r="FW231" i="14" s="1"/>
  <c r="FR222" i="14"/>
  <c r="FT230" i="14"/>
  <c r="FP55" i="14"/>
  <c r="FV55" i="14" s="1"/>
  <c r="FW55" i="14" s="1"/>
  <c r="FK214" i="14"/>
  <c r="FO214" i="14" s="1"/>
  <c r="FP214" i="14"/>
  <c r="FQ222" i="14"/>
  <c r="FY78" i="14"/>
  <c r="FT231" i="14" l="1"/>
  <c r="FP222" i="14"/>
  <c r="FS231" i="14"/>
  <c r="FT214" i="14"/>
  <c r="FX78" i="14"/>
  <c r="GB78" i="14" s="1"/>
  <c r="FN214" i="14"/>
  <c r="FV214" i="14" s="1"/>
  <c r="FW214" i="14" s="1"/>
  <c r="FS214" i="14"/>
  <c r="FS55" i="14"/>
  <c r="FT55" i="14"/>
  <c r="FR184" i="14"/>
  <c r="FQ184" i="14"/>
  <c r="FP184" i="14" l="1"/>
  <c r="FS184" i="14" s="1"/>
  <c r="GA78" i="14"/>
  <c r="FT184" i="14" l="1"/>
  <c r="FV184" i="14"/>
  <c r="FW184" i="14" s="1"/>
  <c r="FQ242" i="14"/>
  <c r="FQ232" i="14" l="1"/>
  <c r="FP232" i="14" s="1"/>
  <c r="FP242" i="14"/>
  <c r="FS242" i="14" s="1"/>
  <c r="FT242" i="14" l="1"/>
  <c r="FR159" i="14"/>
  <c r="FP159" i="14" l="1"/>
  <c r="FS159" i="14" s="1"/>
  <c r="FR21" i="14"/>
  <c r="FR10" i="14" s="1"/>
  <c r="FQ21" i="14"/>
  <c r="FQ10" i="14" l="1"/>
  <c r="FP10" i="14" s="1"/>
  <c r="FT159" i="14"/>
  <c r="FP21" i="14"/>
  <c r="FV21" i="14" s="1"/>
  <c r="FW21" i="14" s="1"/>
  <c r="FS21" i="14" l="1"/>
  <c r="FT21" i="14"/>
  <c r="FL57" i="14"/>
  <c r="FL117" i="14"/>
  <c r="FK117" i="14" l="1"/>
  <c r="FO117" i="14" s="1"/>
  <c r="FK57" i="14"/>
  <c r="FO57" i="14" s="1"/>
  <c r="GE45" i="14"/>
  <c r="GD45" i="14"/>
  <c r="FN57" i="14" l="1"/>
  <c r="FV57" i="14" s="1"/>
  <c r="FW57" i="14" s="1"/>
  <c r="GC45" i="14"/>
  <c r="GF45" i="14" s="1"/>
  <c r="FN117" i="14"/>
  <c r="FV117" i="14" s="1"/>
  <c r="FW117" i="14" s="1"/>
  <c r="FR125" i="14"/>
  <c r="FQ125" i="14"/>
  <c r="FR185" i="14"/>
  <c r="FQ185" i="14"/>
  <c r="GE78" i="14"/>
  <c r="GD78" i="14"/>
  <c r="FP185" i="14" l="1"/>
  <c r="FV185" i="14" s="1"/>
  <c r="FW185" i="14" s="1"/>
  <c r="FR116" i="14"/>
  <c r="GG45" i="14"/>
  <c r="GI45" i="14"/>
  <c r="FP125" i="14"/>
  <c r="FV125" i="14" s="1"/>
  <c r="FW125" i="14" s="1"/>
  <c r="FQ116" i="14"/>
  <c r="GC78" i="14"/>
  <c r="GF78" i="14" s="1"/>
  <c r="FR182" i="14"/>
  <c r="FQ182" i="14"/>
  <c r="FS125" i="14" l="1"/>
  <c r="FS185" i="14"/>
  <c r="GJ45" i="14"/>
  <c r="GI41" i="14"/>
  <c r="FP116" i="14"/>
  <c r="FT125" i="14"/>
  <c r="GG78" i="14"/>
  <c r="GI78" i="14"/>
  <c r="GJ78" i="14" s="1"/>
  <c r="FP182" i="14"/>
  <c r="FV182" i="14" s="1"/>
  <c r="FW182" i="14" s="1"/>
  <c r="FT185" i="14"/>
  <c r="FS182" i="14" l="1"/>
  <c r="FT182" i="14"/>
  <c r="FY13" i="14"/>
  <c r="FX13" i="14" s="1"/>
  <c r="FL13" i="14" l="1"/>
  <c r="FK13" i="14" s="1"/>
  <c r="FN13" i="14" s="1"/>
  <c r="FV13" i="14" s="1"/>
  <c r="FL148" i="14"/>
  <c r="FK148" i="14" s="1"/>
  <c r="GA13" i="14"/>
  <c r="GI13" i="14" s="1"/>
  <c r="GI10" i="14" s="1"/>
  <c r="GJ10" i="14" s="1"/>
  <c r="GB13" i="14"/>
  <c r="FV10" i="14" l="1"/>
  <c r="FW10" i="14" s="1"/>
  <c r="FW13" i="14"/>
  <c r="FO148" i="14"/>
  <c r="FN148" i="14"/>
  <c r="FV148" i="14" s="1"/>
  <c r="FW148" i="14" s="1"/>
  <c r="FO13" i="14"/>
  <c r="GJ13" i="14"/>
  <c r="FL64" i="14"/>
  <c r="FK64" i="14" l="1"/>
  <c r="FO64" i="14" s="1"/>
  <c r="FL140" i="14" l="1"/>
  <c r="FK140" i="14" s="1"/>
  <c r="FN64" i="14"/>
  <c r="FV64" i="14" s="1"/>
  <c r="FW64" i="14" s="1"/>
  <c r="FL190" i="14"/>
  <c r="FN140" i="14" l="1"/>
  <c r="FV140" i="14" s="1"/>
  <c r="FW140" i="14" s="1"/>
  <c r="FO140" i="14"/>
  <c r="FK190" i="14"/>
  <c r="FO190" i="14" s="1"/>
  <c r="FQ44" i="14"/>
  <c r="FV139" i="14" l="1"/>
  <c r="FW139" i="14" s="1"/>
  <c r="FN190" i="14"/>
  <c r="FV190" i="14" s="1"/>
  <c r="FW190" i="14" s="1"/>
  <c r="FQ41" i="14"/>
  <c r="FP44" i="14"/>
  <c r="FS44" i="14" s="1"/>
  <c r="FL159" i="14"/>
  <c r="FL109" i="14"/>
  <c r="FL223" i="14"/>
  <c r="FK159" i="14" l="1"/>
  <c r="FO159" i="14" s="1"/>
  <c r="FK223" i="14"/>
  <c r="FO223" i="14" s="1"/>
  <c r="FT44" i="14"/>
  <c r="FK109" i="14"/>
  <c r="FL230" i="14"/>
  <c r="FL32" i="14"/>
  <c r="FL80" i="14"/>
  <c r="FL160" i="14" l="1"/>
  <c r="FK160" i="14" s="1"/>
  <c r="FN160" i="14" s="1"/>
  <c r="FL158" i="14"/>
  <c r="FK158" i="14" s="1"/>
  <c r="FV109" i="14"/>
  <c r="FW109" i="14" s="1"/>
  <c r="FK80" i="14"/>
  <c r="FO80" i="14" s="1"/>
  <c r="FK32" i="14"/>
  <c r="FO32" i="14" s="1"/>
  <c r="FN223" i="14"/>
  <c r="FV223" i="14" s="1"/>
  <c r="FW223" i="14" s="1"/>
  <c r="FK230" i="14"/>
  <c r="FO230" i="14" s="1"/>
  <c r="FN159" i="14"/>
  <c r="FV159" i="14" s="1"/>
  <c r="FW159" i="14" s="1"/>
  <c r="FL123" i="14"/>
  <c r="FO158" i="14" l="1"/>
  <c r="FN158" i="14"/>
  <c r="FV158" i="14" s="1"/>
  <c r="FW158" i="14" s="1"/>
  <c r="FN32" i="14"/>
  <c r="FV32" i="14" s="1"/>
  <c r="FW32" i="14" s="1"/>
  <c r="FO160" i="14"/>
  <c r="FK123" i="14"/>
  <c r="FO123" i="14" s="1"/>
  <c r="FN80" i="14"/>
  <c r="FV80" i="14" s="1"/>
  <c r="FW80" i="14" s="1"/>
  <c r="FN230" i="14"/>
  <c r="FV230" i="14" s="1"/>
  <c r="FW230" i="14" s="1"/>
  <c r="FV222" i="14" l="1"/>
  <c r="FW222" i="14" s="1"/>
  <c r="FN123" i="14"/>
  <c r="FV123" i="14" s="1"/>
  <c r="FW123" i="14" s="1"/>
  <c r="FV116" i="14" l="1"/>
  <c r="FW116" i="14" s="1"/>
  <c r="FR221" i="14" l="1"/>
  <c r="FQ84" i="14"/>
  <c r="FP221" i="14" l="1"/>
  <c r="FT221" i="14" s="1"/>
  <c r="FP84" i="14"/>
  <c r="GD217" i="14"/>
  <c r="FR27" i="14"/>
  <c r="FQ27" i="14"/>
  <c r="GC217" i="14" l="1"/>
  <c r="FP27" i="14"/>
  <c r="FS27" i="14" s="1"/>
  <c r="FT84" i="14"/>
  <c r="FV84" i="14"/>
  <c r="FW84" i="14" s="1"/>
  <c r="FS84" i="14"/>
  <c r="FV221" i="14"/>
  <c r="FW221" i="14" s="1"/>
  <c r="FS221" i="14"/>
  <c r="FQ66" i="14"/>
  <c r="FR160" i="14"/>
  <c r="FQ160" i="14"/>
  <c r="FP160" i="14" l="1"/>
  <c r="FT160" i="14" s="1"/>
  <c r="FQ153" i="14"/>
  <c r="FP66" i="14"/>
  <c r="FQ59" i="14"/>
  <c r="FW59" i="14" s="1"/>
  <c r="GF217" i="14"/>
  <c r="GI217" i="14"/>
  <c r="GJ217" i="14" s="1"/>
  <c r="GG217" i="14"/>
  <c r="FR153" i="14"/>
  <c r="FT27" i="14"/>
  <c r="FV27" i="14"/>
  <c r="FW27" i="14" s="1"/>
  <c r="FP153" i="14" l="1"/>
  <c r="FP59" i="14"/>
  <c r="FT66" i="14"/>
  <c r="FV66" i="14"/>
  <c r="FW66" i="14" s="1"/>
  <c r="FS66" i="14"/>
  <c r="FS160" i="14"/>
  <c r="FV160" i="14"/>
  <c r="FW160" i="14" s="1"/>
  <c r="FR209" i="14" l="1"/>
  <c r="FQ209" i="14"/>
  <c r="FQ205" i="14" l="1"/>
  <c r="FP209" i="14"/>
  <c r="FV209" i="14" s="1"/>
  <c r="FW209" i="14" s="1"/>
  <c r="FR205" i="14"/>
  <c r="FS209" i="14" l="1"/>
  <c r="FT209" i="14"/>
  <c r="FP205" i="14"/>
  <c r="FV205" i="14"/>
  <c r="FW205" i="14" s="1"/>
  <c r="GD114" i="14" l="1"/>
  <c r="GC114" i="14" l="1"/>
  <c r="GF114" i="14" s="1"/>
  <c r="FR36" i="14"/>
  <c r="FR22" i="14" s="1"/>
  <c r="FQ36" i="14"/>
  <c r="GG114" i="14" l="1"/>
  <c r="FP36" i="14"/>
  <c r="FT36" i="14" s="1"/>
  <c r="FQ22" i="14"/>
  <c r="FP22" i="14" l="1"/>
  <c r="FK133" i="14"/>
  <c r="FN133" i="14" s="1"/>
  <c r="FV133" i="14" s="1"/>
  <c r="FW133" i="14" s="1"/>
  <c r="FS36" i="14"/>
  <c r="FL136" i="14"/>
  <c r="FO133" i="14" l="1"/>
  <c r="FK136" i="14"/>
  <c r="FL134" i="14"/>
  <c r="FV136" i="14" l="1"/>
  <c r="FW136" i="14" s="1"/>
  <c r="FK134" i="14"/>
  <c r="FL137" i="14"/>
  <c r="FK137" i="14" l="1"/>
  <c r="FO137" i="14" s="1"/>
  <c r="FV134" i="14"/>
  <c r="FW134" i="14" s="1"/>
  <c r="FL138" i="14"/>
  <c r="FK138" i="14" l="1"/>
  <c r="FO138" i="14" s="1"/>
  <c r="FN137" i="14"/>
  <c r="FV137" i="14" s="1"/>
  <c r="FW137" i="14" s="1"/>
  <c r="FL95" i="14"/>
  <c r="FK95" i="14" l="1"/>
  <c r="FO95" i="14" s="1"/>
  <c r="FN138" i="14"/>
  <c r="FV138" i="14" s="1"/>
  <c r="FW138" i="14" s="1"/>
  <c r="FL93" i="14"/>
  <c r="FN95" i="14" l="1"/>
  <c r="FV95" i="14" s="1"/>
  <c r="FW95" i="14" s="1"/>
  <c r="FK93" i="14"/>
  <c r="FO93" i="14" s="1"/>
  <c r="FQ110" i="14"/>
  <c r="FL135" i="14" l="1"/>
  <c r="FK135" i="14" s="1"/>
  <c r="FV135" i="14" s="1"/>
  <c r="FW135" i="14" s="1"/>
  <c r="FQ96" i="14"/>
  <c r="FP110" i="14"/>
  <c r="FN93" i="14"/>
  <c r="FV93" i="14" s="1"/>
  <c r="FW93" i="14" s="1"/>
  <c r="FR53" i="14"/>
  <c r="FP96" i="14" l="1"/>
  <c r="FV96" i="14" s="1"/>
  <c r="FW96" i="14" s="1"/>
  <c r="FP53" i="14"/>
  <c r="FT53" i="14" s="1"/>
  <c r="FR41" i="14"/>
  <c r="FP41" i="14" s="1"/>
  <c r="FV130" i="14"/>
  <c r="FW130" i="14" s="1"/>
  <c r="FL92" i="14"/>
  <c r="FK92" i="14" l="1"/>
  <c r="FO92" i="14" s="1"/>
  <c r="FV53" i="14"/>
  <c r="FW53" i="14" s="1"/>
  <c r="FS53" i="14"/>
  <c r="FL173" i="14" l="1"/>
  <c r="FK173" i="14" s="1"/>
  <c r="FO173" i="14" s="1"/>
  <c r="FN92" i="14"/>
  <c r="FL110" i="14"/>
  <c r="FL242" i="14"/>
  <c r="FL36" i="14" l="1"/>
  <c r="FK36" i="14" s="1"/>
  <c r="FN173" i="14"/>
  <c r="FV173" i="14" s="1"/>
  <c r="FK110" i="14"/>
  <c r="FK242" i="14"/>
  <c r="FO242" i="14" s="1"/>
  <c r="FV161" i="14" l="1"/>
  <c r="FW161" i="14" s="1"/>
  <c r="FW173" i="14"/>
  <c r="FO36" i="14"/>
  <c r="FN36" i="14"/>
  <c r="FV36" i="14" s="1"/>
  <c r="FW36" i="14" s="1"/>
  <c r="FL156" i="14"/>
  <c r="FK156" i="14" s="1"/>
  <c r="FO156" i="14" s="1"/>
  <c r="FN242" i="14"/>
  <c r="FV242" i="14" s="1"/>
  <c r="FW242" i="14" s="1"/>
  <c r="FV110" i="14"/>
  <c r="FW110" i="14" s="1"/>
  <c r="FV22" i="14"/>
  <c r="FW22" i="14" s="1"/>
  <c r="FN156" i="14" l="1"/>
  <c r="FV156" i="14" s="1"/>
  <c r="FV232" i="14"/>
  <c r="FW232" i="14" s="1"/>
  <c r="FV153" i="14" l="1"/>
  <c r="FW153" i="14" s="1"/>
  <c r="FW156" i="14"/>
  <c r="FL59" i="14"/>
  <c r="FK59" i="14" s="1"/>
  <c r="FL197" i="14"/>
  <c r="FK197" i="14" s="1"/>
  <c r="FL205" i="14"/>
  <c r="FK205" i="14" s="1"/>
  <c r="FL96" i="14"/>
  <c r="FK96" i="14" s="1"/>
  <c r="FL153" i="14"/>
  <c r="FK153" i="14" s="1"/>
  <c r="FL222" i="14"/>
  <c r="FK222" i="14" s="1"/>
  <c r="FL130" i="14"/>
  <c r="FK130" i="14" s="1"/>
  <c r="FL244" i="14"/>
  <c r="FK244" i="14" s="1"/>
  <c r="FL81" i="14"/>
  <c r="FK81" i="14" s="1"/>
  <c r="FL139" i="14"/>
  <c r="FK139" i="14" s="1"/>
  <c r="FL22" i="14"/>
  <c r="FK22" i="14" s="1"/>
  <c r="FL116" i="14"/>
  <c r="FK116" i="14" s="1"/>
  <c r="FL161" i="14"/>
  <c r="FK161" i="14" s="1"/>
  <c r="FL232" i="14"/>
  <c r="FK232" i="14" s="1"/>
  <c r="FL189" i="14"/>
  <c r="FY114" i="14"/>
  <c r="FX114" i="14" l="1"/>
  <c r="GB114" i="14" s="1"/>
  <c r="FK189" i="14"/>
  <c r="FL44" i="14"/>
  <c r="FL179" i="14" l="1"/>
  <c r="FK179" i="14" s="1"/>
  <c r="GA114" i="14"/>
  <c r="GI114" i="14" s="1"/>
  <c r="GJ114" i="14" s="1"/>
  <c r="FN189" i="14"/>
  <c r="FO189" i="14"/>
  <c r="FR189" i="14"/>
  <c r="FR179" i="14" s="1"/>
  <c r="FQ189" i="14"/>
  <c r="FL41" i="14" l="1"/>
  <c r="FK41" i="14" s="1"/>
  <c r="FP189" i="14"/>
  <c r="FT189" i="14" s="1"/>
  <c r="FQ179" i="14"/>
  <c r="FP179" i="14" s="1"/>
  <c r="FK44" i="14"/>
  <c r="FO44" i="14" s="1"/>
  <c r="FR92" i="14"/>
  <c r="FQ92" i="14"/>
  <c r="FN44" i="14" l="1"/>
  <c r="FV44" i="14" s="1"/>
  <c r="FP92" i="14"/>
  <c r="FT92" i="14" s="1"/>
  <c r="FQ81" i="14"/>
  <c r="FR81" i="14"/>
  <c r="FV189" i="14"/>
  <c r="FW189" i="14" s="1"/>
  <c r="FS189" i="14"/>
  <c r="EX111" i="14"/>
  <c r="FW44" i="14" l="1"/>
  <c r="FV41" i="14"/>
  <c r="FW41" i="14" s="1"/>
  <c r="FP81" i="14"/>
  <c r="FV81" i="14" s="1"/>
  <c r="FW81" i="14" s="1"/>
  <c r="EW111" i="14"/>
  <c r="FA111" i="14" s="1"/>
  <c r="EX96" i="14"/>
  <c r="FV179" i="14"/>
  <c r="FW179" i="14" s="1"/>
  <c r="FS92" i="14"/>
  <c r="FV92" i="14"/>
  <c r="FW92" i="14" s="1"/>
  <c r="EZ111" i="14" l="1"/>
  <c r="FH111" i="14" s="1"/>
  <c r="FI111" i="14" s="1"/>
  <c r="FJ111" i="14" l="1"/>
  <c r="FI294" i="14" l="1"/>
  <c r="FH294" i="14"/>
  <c r="FY244" i="14" l="1"/>
  <c r="FX244" i="14" s="1"/>
  <c r="EX244" i="14"/>
  <c r="EW244" i="14" s="1"/>
  <c r="FY232" i="14"/>
  <c r="FX232" i="14" s="1"/>
  <c r="EX232" i="14"/>
  <c r="EW232" i="14" s="1"/>
  <c r="FY222" i="14"/>
  <c r="FX222" i="14" s="1"/>
  <c r="EX222" i="14"/>
  <c r="EW222" i="14" s="1"/>
  <c r="FY205" i="14"/>
  <c r="FX205" i="14" s="1"/>
  <c r="EX205" i="14"/>
  <c r="EW205" i="14" s="1"/>
  <c r="FY197" i="14"/>
  <c r="FX197" i="14" s="1"/>
  <c r="EX197" i="14"/>
  <c r="EW197" i="14" s="1"/>
  <c r="FY179" i="14"/>
  <c r="FX179" i="14" s="1"/>
  <c r="EX179" i="14"/>
  <c r="EW179" i="14" s="1"/>
  <c r="FY161" i="14"/>
  <c r="FX161" i="14" s="1"/>
  <c r="EX161" i="14"/>
  <c r="EW161" i="14" s="1"/>
  <c r="FY153" i="14"/>
  <c r="FX153" i="14" s="1"/>
  <c r="EX153" i="14"/>
  <c r="EW153" i="14" s="1"/>
  <c r="FY139" i="14"/>
  <c r="FX139" i="14" s="1"/>
  <c r="EX139" i="14"/>
  <c r="EW139" i="14" s="1"/>
  <c r="FY130" i="14"/>
  <c r="FX130" i="14" s="1"/>
  <c r="EX130" i="14"/>
  <c r="EW130" i="14" s="1"/>
  <c r="FY116" i="14"/>
  <c r="FX116" i="14" s="1"/>
  <c r="EX116" i="14"/>
  <c r="EW116" i="14" s="1"/>
  <c r="FY96" i="14"/>
  <c r="FX96" i="14" s="1"/>
  <c r="EW96" i="14"/>
  <c r="FY81" i="14"/>
  <c r="FX81" i="14" s="1"/>
  <c r="EX81" i="14"/>
  <c r="EW81" i="14" s="1"/>
  <c r="FY59" i="14"/>
  <c r="FX59" i="14" s="1"/>
  <c r="EX59" i="14"/>
  <c r="EW59" i="14" s="1"/>
  <c r="FY41" i="14"/>
  <c r="FX41" i="14" s="1"/>
  <c r="FY22" i="14"/>
  <c r="FX22" i="14" s="1"/>
  <c r="EX22" i="14"/>
  <c r="EW22" i="14" s="1"/>
  <c r="EX260" i="14" l="1"/>
  <c r="FQ260" i="14" l="1"/>
  <c r="EX262" i="14"/>
  <c r="EX294" i="14" l="1"/>
  <c r="FQ262" i="14"/>
  <c r="FQ266" i="14" l="1"/>
  <c r="GD244" i="14" l="1"/>
  <c r="GD232" i="14"/>
  <c r="GD222" i="14"/>
  <c r="GD205" i="14"/>
  <c r="GD197" i="14"/>
  <c r="GD179" i="14"/>
  <c r="GD161" i="14"/>
  <c r="GD153" i="14"/>
  <c r="GD139" i="14"/>
  <c r="GD130" i="14"/>
  <c r="GD96" i="14"/>
  <c r="GE244" i="14"/>
  <c r="GE232" i="14"/>
  <c r="GE222" i="14"/>
  <c r="GE205" i="14"/>
  <c r="GE197" i="14"/>
  <c r="GE179" i="14"/>
  <c r="GE161" i="14"/>
  <c r="GE153" i="14"/>
  <c r="GE139" i="14"/>
  <c r="GE130" i="14"/>
  <c r="GE96" i="14"/>
  <c r="GE59" i="14"/>
  <c r="GC197" i="14" l="1"/>
  <c r="GI197" i="14" s="1"/>
  <c r="GJ197" i="14" s="1"/>
  <c r="GC153" i="14"/>
  <c r="GI153" i="14" s="1"/>
  <c r="GJ153" i="14" s="1"/>
  <c r="GC205" i="14"/>
  <c r="GI205" i="14" s="1"/>
  <c r="GJ205" i="14" s="1"/>
  <c r="GC96" i="14"/>
  <c r="GI96" i="14" s="1"/>
  <c r="GJ96" i="14" s="1"/>
  <c r="GC161" i="14"/>
  <c r="GI161" i="14" s="1"/>
  <c r="GJ161" i="14" s="1"/>
  <c r="GC222" i="14"/>
  <c r="GI222" i="14" s="1"/>
  <c r="GJ222" i="14" s="1"/>
  <c r="GC139" i="14"/>
  <c r="GI139" i="14" s="1"/>
  <c r="GJ139" i="14" s="1"/>
  <c r="GC244" i="14"/>
  <c r="GI244" i="14" s="1"/>
  <c r="GJ244" i="14" s="1"/>
  <c r="GC130" i="14"/>
  <c r="GI130" i="14" s="1"/>
  <c r="GJ130" i="14" s="1"/>
  <c r="GC179" i="14"/>
  <c r="GI179" i="14" s="1"/>
  <c r="GJ179" i="14" s="1"/>
  <c r="GC232" i="14"/>
  <c r="GI232" i="14" s="1"/>
  <c r="GJ232" i="14" s="1"/>
  <c r="GD116" i="14"/>
  <c r="GD59" i="14"/>
  <c r="GD81" i="14"/>
  <c r="GE81" i="14"/>
  <c r="GE116" i="14"/>
  <c r="GD41" i="14"/>
  <c r="GE41" i="14"/>
  <c r="GC81" i="14" l="1"/>
  <c r="GI81" i="14" s="1"/>
  <c r="GJ81" i="14" s="1"/>
  <c r="GC59" i="14"/>
  <c r="GI59" i="14" s="1"/>
  <c r="GJ59" i="14" s="1"/>
  <c r="GJ41" i="14"/>
  <c r="GC41" i="14"/>
  <c r="GC116" i="14"/>
  <c r="GI116" i="14" s="1"/>
  <c r="GJ116" i="14" s="1"/>
  <c r="GD260" i="14"/>
  <c r="GD262" i="14" s="1"/>
  <c r="GD266" i="14" l="1"/>
  <c r="EF334" i="14" l="1"/>
  <c r="ED334" i="14"/>
  <c r="EC334" i="14"/>
  <c r="EV330" i="14"/>
  <c r="EF320" i="14"/>
  <c r="EF333" i="14" s="1"/>
  <c r="ED320" i="14"/>
  <c r="ED333" i="14" s="1"/>
  <c r="EC320" i="14"/>
  <c r="EC333" i="14" s="1"/>
  <c r="EF319" i="14"/>
  <c r="ED319" i="14"/>
  <c r="EC319" i="14"/>
  <c r="EV316" i="14"/>
  <c r="EV320" i="14" s="1"/>
  <c r="EP320" i="14" s="1"/>
  <c r="EP334" i="14" s="1"/>
  <c r="EC265" i="14"/>
  <c r="EV244" i="14"/>
  <c r="EV232" i="14"/>
  <c r="EV222" i="14"/>
  <c r="EV205" i="14"/>
  <c r="EV197" i="14"/>
  <c r="EV179" i="14"/>
  <c r="EV161" i="14"/>
  <c r="EV153" i="14"/>
  <c r="EV139" i="14"/>
  <c r="EV130" i="14"/>
  <c r="EV116" i="14"/>
  <c r="EV96" i="14"/>
  <c r="EV81" i="14"/>
  <c r="EV59" i="14"/>
  <c r="EV41" i="14"/>
  <c r="EV22" i="14"/>
  <c r="EV10" i="14"/>
  <c r="EV8" i="14"/>
  <c r="EV334" i="14" l="1"/>
  <c r="FC282" i="14"/>
  <c r="FC288" i="14"/>
  <c r="FC291" i="14"/>
  <c r="FC270" i="14"/>
  <c r="FC273" i="14"/>
  <c r="FC276" i="14"/>
  <c r="FC279" i="14"/>
  <c r="FD282" i="14"/>
  <c r="FD285" i="14"/>
  <c r="FD288" i="14"/>
  <c r="FD291" i="14"/>
  <c r="FC285" i="14"/>
  <c r="FD270" i="14"/>
  <c r="FD273" i="14"/>
  <c r="FD276" i="14"/>
  <c r="FD279" i="14"/>
  <c r="EC117" i="14"/>
  <c r="EC207" i="14"/>
  <c r="EC223" i="14"/>
  <c r="EC198" i="14"/>
  <c r="EF198" i="14" s="1"/>
  <c r="EC83" i="14"/>
  <c r="EC241" i="14"/>
  <c r="EC162" i="14"/>
  <c r="EC201" i="14"/>
  <c r="EC82" i="14"/>
  <c r="EF82" i="14" s="1"/>
  <c r="EC206" i="14"/>
  <c r="EC61" i="14"/>
  <c r="EC28" i="14"/>
  <c r="EC132" i="14"/>
  <c r="EC141" i="14"/>
  <c r="EC24" i="14"/>
  <c r="EC42" i="14"/>
  <c r="EF42" i="14" s="1"/>
  <c r="EC43" i="14"/>
  <c r="EC131" i="14"/>
  <c r="EC140" i="14"/>
  <c r="EC224" i="14"/>
  <c r="EC234" i="14"/>
  <c r="EC11" i="14"/>
  <c r="EC23" i="14"/>
  <c r="EC155" i="14"/>
  <c r="EC246" i="14"/>
  <c r="EC180" i="14"/>
  <c r="EC245" i="14"/>
  <c r="EF245" i="14" s="1"/>
  <c r="EC229" i="14"/>
  <c r="EV260" i="14"/>
  <c r="EV262" i="14" s="1"/>
  <c r="EV266" i="14" s="1"/>
  <c r="EV294" i="14" s="1"/>
  <c r="EP294" i="14" s="1"/>
  <c r="FC266" i="14" l="1"/>
  <c r="FD266" i="14"/>
  <c r="FB270" i="14"/>
  <c r="FB288" i="14"/>
  <c r="FH288" i="14" s="1"/>
  <c r="FI288" i="14" s="1"/>
  <c r="FB276" i="14"/>
  <c r="FE276" i="14" s="1"/>
  <c r="FB279" i="14"/>
  <c r="FE279" i="14" s="1"/>
  <c r="FB273" i="14"/>
  <c r="FH273" i="14" s="1"/>
  <c r="FI273" i="14" s="1"/>
  <c r="FB291" i="14"/>
  <c r="FE291" i="14" s="1"/>
  <c r="FB282" i="14"/>
  <c r="FB285" i="14"/>
  <c r="FE285" i="14" s="1"/>
  <c r="GE260" i="14"/>
  <c r="EC158" i="14"/>
  <c r="EC13" i="14"/>
  <c r="EC14" i="14"/>
  <c r="EC211" i="14"/>
  <c r="EC46" i="14"/>
  <c r="EC166" i="14"/>
  <c r="EC134" i="14"/>
  <c r="EC165" i="14"/>
  <c r="EC148" i="14"/>
  <c r="EC133" i="14"/>
  <c r="EC84" i="14"/>
  <c r="EC248" i="14"/>
  <c r="EC8" i="14"/>
  <c r="EC242" i="14"/>
  <c r="EC186" i="14"/>
  <c r="EC102" i="14"/>
  <c r="EC64" i="14"/>
  <c r="EC121" i="14"/>
  <c r="EC65" i="14"/>
  <c r="EC160" i="14"/>
  <c r="EC123" i="14"/>
  <c r="EC45" i="14"/>
  <c r="EC247" i="14"/>
  <c r="EC200" i="14"/>
  <c r="EC187" i="14"/>
  <c r="EC29" i="14"/>
  <c r="EC22" i="14" s="1"/>
  <c r="EC154" i="14"/>
  <c r="EC142" i="14"/>
  <c r="EC105" i="14"/>
  <c r="EC230" i="14"/>
  <c r="EC222" i="14" s="1"/>
  <c r="EC212" i="14"/>
  <c r="EC199" i="14"/>
  <c r="EC60" i="14"/>
  <c r="EC97" i="14"/>
  <c r="EC163" i="14"/>
  <c r="EC181" i="14"/>
  <c r="EC86" i="14"/>
  <c r="EC233" i="14"/>
  <c r="EC118" i="14"/>
  <c r="EV295" i="14"/>
  <c r="EP295" i="14" s="1"/>
  <c r="EV308" i="14"/>
  <c r="EP308" i="14" s="1"/>
  <c r="EC12" i="14"/>
  <c r="FB266" i="14" l="1"/>
  <c r="FF288" i="14"/>
  <c r="FF273" i="14"/>
  <c r="EC130" i="14"/>
  <c r="FE273" i="14"/>
  <c r="FF282" i="14"/>
  <c r="FH282" i="14"/>
  <c r="FI282" i="14" s="1"/>
  <c r="FF285" i="14"/>
  <c r="FH285" i="14"/>
  <c r="FI285" i="14" s="1"/>
  <c r="FF279" i="14"/>
  <c r="FF291" i="14"/>
  <c r="FH291" i="14"/>
  <c r="FI291" i="14" s="1"/>
  <c r="FE282" i="14"/>
  <c r="FF276" i="14"/>
  <c r="FH276" i="14"/>
  <c r="FI276" i="14" s="1"/>
  <c r="FE288" i="14"/>
  <c r="FR260" i="14"/>
  <c r="FC262" i="14"/>
  <c r="FD262" i="14"/>
  <c r="FD294" i="14" s="1"/>
  <c r="EC10" i="14"/>
  <c r="EC161" i="14"/>
  <c r="EC41" i="14"/>
  <c r="EC205" i="14"/>
  <c r="EC244" i="14"/>
  <c r="EC153" i="14"/>
  <c r="EC139" i="14"/>
  <c r="EC197" i="14"/>
  <c r="EC116" i="14"/>
  <c r="EC179" i="14"/>
  <c r="EC96" i="14"/>
  <c r="EV319" i="14"/>
  <c r="EP319" i="14" s="1"/>
  <c r="EP333" i="14" s="1"/>
  <c r="EV309" i="14"/>
  <c r="EP309" i="14" s="1"/>
  <c r="EC232" i="14"/>
  <c r="EF86" i="14"/>
  <c r="EC81" i="14"/>
  <c r="EF60" i="14"/>
  <c r="EC59" i="14"/>
  <c r="FB262" i="14" l="1"/>
  <c r="FR262" i="14"/>
  <c r="FP260" i="14"/>
  <c r="FB260" i="14"/>
  <c r="EC260" i="14"/>
  <c r="EC262" i="14" s="1"/>
  <c r="EV333" i="14"/>
  <c r="EV318" i="14"/>
  <c r="EC266" i="14" l="1"/>
  <c r="EC264" i="14"/>
  <c r="EV332" i="14"/>
  <c r="EP318" i="14"/>
  <c r="EP332" i="14" s="1"/>
  <c r="GE262" i="14"/>
  <c r="GC260" i="14"/>
  <c r="FR266" i="14"/>
  <c r="FP262" i="14"/>
  <c r="FC294" i="14"/>
  <c r="FB294" i="14" l="1"/>
  <c r="GE266" i="14"/>
  <c r="GC262" i="14"/>
  <c r="FP266" i="14"/>
  <c r="GC266" i="14" l="1"/>
  <c r="EF233" i="14" l="1"/>
  <c r="EF23" i="14" l="1"/>
  <c r="H260" i="14" l="1"/>
  <c r="G260" i="14"/>
  <c r="F260" i="14"/>
  <c r="D260" i="14"/>
  <c r="C260" i="14"/>
  <c r="B260" i="14"/>
  <c r="EF229" i="14"/>
  <c r="EF211" i="14"/>
  <c r="L186" i="14"/>
  <c r="L183" i="14"/>
  <c r="L179" i="14"/>
  <c r="L180" i="14" s="1"/>
  <c r="EF158" i="14"/>
  <c r="L132" i="14"/>
  <c r="L129" i="14"/>
  <c r="L135" i="14" s="1"/>
  <c r="L49" i="14"/>
  <c r="FY260" i="14"/>
  <c r="FY262" i="14" s="1"/>
  <c r="FL260" i="14" l="1"/>
  <c r="FK260" i="14" s="1"/>
  <c r="FY266" i="14"/>
  <c r="EF14" i="14"/>
  <c r="EF133" i="14"/>
  <c r="EF160" i="14"/>
  <c r="EF102" i="14"/>
  <c r="EF13" i="14"/>
  <c r="EF11" i="14"/>
  <c r="EF186" i="14"/>
  <c r="L136" i="14"/>
  <c r="EF201" i="14"/>
  <c r="EF212" i="14"/>
  <c r="L133" i="14"/>
  <c r="FL262" i="14" l="1"/>
  <c r="EF248" i="14"/>
  <c r="EF134" i="14"/>
  <c r="EF10" i="14"/>
  <c r="EF121" i="14"/>
  <c r="EF242" i="14"/>
  <c r="EF165" i="14"/>
  <c r="EF46" i="14"/>
  <c r="EF140" i="14"/>
  <c r="EF180" i="14"/>
  <c r="EF206" i="14"/>
  <c r="EF205" i="14" s="1"/>
  <c r="EF162" i="14"/>
  <c r="EF29" i="14"/>
  <c r="EF28" i="14"/>
  <c r="EF131" i="14"/>
  <c r="EF117" i="14"/>
  <c r="EF154" i="14"/>
  <c r="EF153" i="14" s="1"/>
  <c r="EF241" i="14"/>
  <c r="EF223" i="14"/>
  <c r="EF200" i="14"/>
  <c r="EF197" i="14" s="1"/>
  <c r="EF8" i="14"/>
  <c r="EF65" i="14"/>
  <c r="EF105" i="14"/>
  <c r="EF166" i="14"/>
  <c r="EF247" i="14" l="1"/>
  <c r="EF244" i="14" s="1"/>
  <c r="FL266" i="14"/>
  <c r="FK262" i="14"/>
  <c r="EF130" i="14"/>
  <c r="EF123" i="14"/>
  <c r="EF116" i="14" s="1"/>
  <c r="EF64" i="14"/>
  <c r="EF59" i="14" s="1"/>
  <c r="EF97" i="14"/>
  <c r="EF96" i="14" s="1"/>
  <c r="EF148" i="14"/>
  <c r="EF22" i="14"/>
  <c r="EF161" i="14"/>
  <c r="EF45" i="14"/>
  <c r="EF41" i="14" s="1"/>
  <c r="EF232" i="14"/>
  <c r="EF84" i="14"/>
  <c r="EF81" i="14" s="1"/>
  <c r="FK266" i="14" l="1"/>
  <c r="EF230" i="14"/>
  <c r="EF222" i="14" s="1"/>
  <c r="EF142" i="14"/>
  <c r="EF139" i="14" s="1"/>
  <c r="EF187" i="14" l="1"/>
  <c r="EF179" i="14" s="1"/>
  <c r="EF260" i="14" l="1"/>
  <c r="EF262" i="14" s="1"/>
  <c r="EF266" i="14" l="1"/>
  <c r="EF264" i="14"/>
  <c r="EW8" i="14"/>
  <c r="EW260" i="14" l="1"/>
  <c r="EW262" i="14" l="1"/>
  <c r="EZ294" i="14" l="1"/>
  <c r="EW266" i="14"/>
  <c r="EW294" i="14" l="1"/>
  <c r="GA262" i="14" l="1"/>
  <c r="FX262" i="14" s="1"/>
  <c r="FX260" i="14"/>
  <c r="GB262" i="14"/>
  <c r="GB266" i="14" s="1"/>
  <c r="GA266" i="14" l="1"/>
  <c r="FX266" i="14" s="1"/>
  <c r="FF270" i="14" l="1"/>
  <c r="FH270" i="14"/>
  <c r="FI270" i="14" s="1"/>
  <c r="FE270" i="14"/>
  <c r="FA279" i="14"/>
  <c r="EZ279" i="14"/>
  <c r="FH279" i="14" s="1"/>
  <c r="FI279" i="14" s="1"/>
  <c r="CK162" i="14"/>
  <c r="CK161" i="14" s="1"/>
  <c r="CM262" i="14"/>
  <c r="CM264" i="14" l="1"/>
  <c r="CU264" i="14" s="1"/>
  <c r="CS264" i="14" s="1"/>
  <c r="CU262" i="14"/>
  <c r="CS262" i="14" s="1"/>
  <c r="CK264" i="14"/>
  <c r="CM266" i="14"/>
  <c r="CU266" i="14" s="1"/>
  <c r="CS266" i="14" s="1"/>
  <c r="CR262" i="14" l="1"/>
  <c r="CR264" i="14" s="1"/>
  <c r="CM294" i="14"/>
  <c r="CU294" i="14" s="1"/>
  <c r="CS294" i="14" s="1"/>
  <c r="CK266" i="14"/>
  <c r="CR162" i="14"/>
  <c r="CR161" i="14" s="1"/>
  <c r="CR266" i="14"/>
  <c r="CM308" i="14" l="1"/>
  <c r="CK308" i="14"/>
  <c r="CM296" i="14"/>
  <c r="CU296" i="14" s="1"/>
  <c r="CS296" i="14" s="1"/>
  <c r="CF322" i="14" l="1"/>
  <c r="CU308" i="14"/>
  <c r="CS308" i="14" s="1"/>
  <c r="CR308" i="14" s="1"/>
  <c r="CR294" i="14"/>
  <c r="CM310" i="14"/>
  <c r="CU310" i="14" s="1"/>
  <c r="CS310" i="14" s="1"/>
  <c r="CR310" i="14" s="1"/>
  <c r="CK296" i="14"/>
  <c r="CR296" i="14"/>
  <c r="CU322" i="14" l="1"/>
  <c r="CS322" i="14" s="1"/>
  <c r="CZ322" i="14"/>
  <c r="CK310" i="14"/>
  <c r="CM320" i="14"/>
  <c r="CU320" i="14" s="1"/>
  <c r="CS320" i="14" s="1"/>
  <c r="CK320" i="14" l="1"/>
  <c r="CK334" i="14" s="1"/>
  <c r="CM318" i="14"/>
  <c r="CU318" i="14" s="1"/>
  <c r="CS318" i="14" s="1"/>
  <c r="CM334" i="14"/>
  <c r="CU334" i="14" s="1"/>
  <c r="CS334" i="14" s="1"/>
  <c r="CM332" i="14" l="1"/>
  <c r="CU332" i="14" s="1"/>
  <c r="CS332" i="14" s="1"/>
  <c r="CK318" i="14"/>
  <c r="CK332" i="14" s="1"/>
  <c r="CR320" i="14" l="1"/>
  <c r="CR334" i="14" s="1"/>
  <c r="CR318" i="14" l="1"/>
  <c r="CR332" i="14" s="1"/>
  <c r="ED12" i="14" l="1"/>
  <c r="DX263" i="14"/>
  <c r="ED266" i="14"/>
  <c r="ED264" i="14"/>
  <c r="DX111" i="14"/>
  <c r="DX240" i="14"/>
  <c r="ED197" i="14"/>
  <c r="DX115" i="14"/>
  <c r="DX202" i="14"/>
  <c r="EG22" i="14"/>
  <c r="DX68" i="14"/>
  <c r="DX36" i="14"/>
  <c r="ED222" i="14"/>
  <c r="ED205" i="14"/>
  <c r="DX122" i="14"/>
  <c r="DX174" i="14"/>
  <c r="DX19" i="14"/>
  <c r="DX149" i="14"/>
  <c r="DX29" i="14"/>
  <c r="ED153" i="14"/>
  <c r="DX70" i="14"/>
  <c r="DX30" i="14"/>
  <c r="ED61" i="14"/>
  <c r="DX170" i="14"/>
  <c r="ED14" i="14"/>
  <c r="DX94" i="14"/>
  <c r="DX39" i="14"/>
  <c r="DX129" i="14"/>
  <c r="DX253" i="14"/>
  <c r="DX26" i="14"/>
  <c r="DX177" i="14"/>
  <c r="EG13" i="14"/>
  <c r="ED179" i="14"/>
  <c r="DX237" i="14"/>
  <c r="DX112" i="14"/>
  <c r="DX113" i="14"/>
  <c r="EG232" i="14"/>
  <c r="DX31" i="14"/>
  <c r="DX75" i="14"/>
  <c r="DX65" i="14"/>
  <c r="DX152" i="14"/>
  <c r="DX226" i="14"/>
  <c r="EG8" i="14"/>
  <c r="DX258" i="14"/>
  <c r="DX256" i="14"/>
  <c r="DX76" i="14"/>
  <c r="DX190" i="14"/>
  <c r="DX77" i="14"/>
  <c r="DX56" i="14"/>
  <c r="ED130" i="14"/>
  <c r="DX125" i="14"/>
  <c r="CX334" i="14"/>
  <c r="DX74" i="14"/>
  <c r="ED206" i="14"/>
  <c r="ED141" i="14"/>
  <c r="DX214" i="14"/>
  <c r="DX20" i="14"/>
  <c r="DX176" i="14"/>
  <c r="DX172" i="14"/>
  <c r="ED158" i="14"/>
  <c r="DX178" i="14"/>
  <c r="ED161" i="14"/>
  <c r="ED201" i="14"/>
  <c r="ED84" i="14"/>
  <c r="DX204" i="14"/>
  <c r="ED96" i="14"/>
  <c r="DX105" i="14"/>
  <c r="DX215" i="14"/>
  <c r="DX15" i="14"/>
  <c r="DX50" i="14"/>
  <c r="DX169" i="14"/>
  <c r="DX257" i="14"/>
  <c r="ED180" i="14"/>
  <c r="DX100" i="14"/>
  <c r="DX69" i="14"/>
  <c r="DX219" i="14"/>
  <c r="ED22" i="14"/>
  <c r="DX87" i="14"/>
  <c r="DX158" i="14"/>
  <c r="DX147" i="14"/>
  <c r="DX259" i="14"/>
  <c r="DX213" i="14"/>
  <c r="DX14" i="14"/>
  <c r="DX212" i="14"/>
  <c r="DX228" i="14"/>
  <c r="DX191" i="14"/>
  <c r="DX71" i="14"/>
  <c r="EG10" i="14"/>
  <c r="ED199" i="14"/>
  <c r="DX203" i="14"/>
  <c r="DX144" i="14"/>
  <c r="DX264" i="14"/>
  <c r="EG186" i="14"/>
  <c r="DX150" i="14"/>
  <c r="DX217" i="14"/>
  <c r="DX35" i="14"/>
  <c r="ED123" i="14"/>
  <c r="DX244" i="14"/>
  <c r="EG244" i="14"/>
  <c r="DX78" i="14"/>
  <c r="ED154" i="14"/>
  <c r="DX17" i="14"/>
  <c r="EG139" i="14"/>
  <c r="DX254" i="14"/>
  <c r="DX126" i="14"/>
  <c r="ED83" i="14"/>
  <c r="DX103" i="14"/>
  <c r="EG59" i="14"/>
  <c r="DX139" i="14"/>
  <c r="DX67" i="14"/>
  <c r="ED242" i="14"/>
  <c r="ED198" i="14"/>
  <c r="DX52" i="14"/>
  <c r="DX192" i="14"/>
  <c r="DX255" i="14"/>
  <c r="DX232" i="14"/>
  <c r="DX175" i="14"/>
  <c r="DX21" i="14"/>
  <c r="DX243" i="14"/>
  <c r="DX61" i="14"/>
  <c r="DX252" i="14"/>
  <c r="DX196" i="14"/>
  <c r="DX92" i="14"/>
  <c r="DX73" i="14"/>
  <c r="ED43" i="14"/>
  <c r="ED246" i="14"/>
  <c r="DX85" i="14"/>
  <c r="DX248" i="14"/>
  <c r="ED248" i="14"/>
  <c r="DX106" i="14"/>
  <c r="DX184" i="14"/>
  <c r="DX33" i="14"/>
  <c r="ED86" i="14"/>
  <c r="DX10" i="14"/>
  <c r="ED155" i="14"/>
  <c r="DX230" i="14"/>
  <c r="ED64" i="14"/>
  <c r="DX59" i="14"/>
  <c r="DX12" i="14"/>
  <c r="ED207" i="14"/>
  <c r="DX179" i="14"/>
  <c r="EG179" i="14"/>
  <c r="ED118" i="14"/>
  <c r="DX231" i="14"/>
  <c r="DX188" i="14"/>
  <c r="DX135" i="14"/>
  <c r="ED148" i="14"/>
  <c r="DX91" i="14"/>
  <c r="DX95" i="14"/>
  <c r="DX108" i="14"/>
  <c r="DX120" i="14"/>
  <c r="DX220" i="14"/>
  <c r="ED223" i="14"/>
  <c r="DX216" i="14"/>
  <c r="DX22" i="14"/>
  <c r="ED23" i="14"/>
  <c r="DX198" i="14"/>
  <c r="DX197" i="14"/>
  <c r="EG197" i="14"/>
  <c r="EG116" i="14"/>
  <c r="DX145" i="14"/>
  <c r="DX193" i="14"/>
  <c r="DX123" i="14"/>
  <c r="ED163" i="14"/>
  <c r="ED166" i="14"/>
  <c r="DX16" i="14"/>
  <c r="ED200" i="14"/>
  <c r="DX141" i="14"/>
  <c r="DX218" i="14"/>
  <c r="DX246" i="14"/>
  <c r="ED131" i="14"/>
  <c r="EG161" i="14"/>
  <c r="DX166" i="14"/>
  <c r="DX140" i="14"/>
  <c r="ED140" i="14"/>
  <c r="ED139" i="14"/>
  <c r="DX53" i="14"/>
  <c r="DX101" i="14"/>
  <c r="DX138" i="14"/>
  <c r="ED121" i="14"/>
  <c r="DX8" i="14"/>
  <c r="DX260" i="14"/>
  <c r="DX262" i="14"/>
  <c r="ED102" i="14"/>
  <c r="DX114" i="14"/>
  <c r="DX151" i="14"/>
  <c r="DX110" i="14"/>
  <c r="DX210" i="14"/>
  <c r="DX55" i="14"/>
  <c r="DX116" i="14"/>
  <c r="DX107" i="14"/>
  <c r="DX127" i="14"/>
  <c r="DX124" i="14"/>
  <c r="ED134" i="14"/>
  <c r="DX180" i="14"/>
  <c r="ED29" i="14"/>
  <c r="ED82" i="14"/>
  <c r="ED81" i="14"/>
  <c r="ED234" i="14"/>
  <c r="ED181" i="14"/>
  <c r="DX46" i="14"/>
  <c r="DX238" i="14"/>
  <c r="DX206" i="14"/>
  <c r="DX205" i="14"/>
  <c r="EG205" i="14"/>
  <c r="DX11" i="14"/>
  <c r="ED11" i="14"/>
  <c r="ED10" i="14"/>
  <c r="DX137" i="14"/>
  <c r="DX38" i="14"/>
  <c r="ED245" i="14"/>
  <c r="ED244" i="14"/>
  <c r="DX86" i="14"/>
  <c r="DX49" i="14"/>
  <c r="DX51" i="14"/>
  <c r="DX235" i="14"/>
  <c r="DX245" i="14"/>
  <c r="DX222" i="14"/>
  <c r="EG222" i="14"/>
  <c r="DX224" i="14"/>
  <c r="ED224" i="14"/>
  <c r="ED105" i="14"/>
  <c r="ED165" i="14"/>
  <c r="ED97" i="14"/>
  <c r="DX251" i="14"/>
  <c r="DX182" i="14"/>
  <c r="ED187" i="14"/>
  <c r="ED211" i="14"/>
  <c r="DX160" i="14"/>
  <c r="ED162" i="14"/>
  <c r="DX162" i="14"/>
  <c r="DX161" i="14"/>
  <c r="DX54" i="14"/>
  <c r="ED13" i="14"/>
  <c r="DX154" i="14"/>
  <c r="DX153" i="14"/>
  <c r="EG153" i="14"/>
  <c r="DX79" i="14"/>
  <c r="DX63" i="14"/>
  <c r="DX236" i="14"/>
  <c r="ED229" i="14"/>
  <c r="DX40" i="14"/>
  <c r="DX173" i="14"/>
  <c r="DX48" i="14"/>
  <c r="DX37" i="14"/>
  <c r="DX227" i="14"/>
  <c r="ED45" i="14"/>
  <c r="DX146" i="14"/>
  <c r="DX98" i="14"/>
  <c r="DX167" i="14"/>
  <c r="DX201" i="14"/>
  <c r="DX223" i="14"/>
  <c r="DX83" i="14"/>
  <c r="DX229" i="14"/>
  <c r="DX47" i="14"/>
  <c r="EG41" i="14"/>
  <c r="ED133" i="14"/>
  <c r="ED41" i="14"/>
  <c r="DX156" i="14"/>
  <c r="ED160" i="14"/>
  <c r="DX93" i="14"/>
  <c r="ED24" i="14"/>
  <c r="ED230" i="14"/>
  <c r="DX155" i="14"/>
  <c r="DX18" i="14"/>
  <c r="DX117" i="14"/>
  <c r="ED117" i="14"/>
  <c r="ED116" i="14"/>
  <c r="DX128" i="14"/>
  <c r="ED42" i="14"/>
  <c r="DX42" i="14"/>
  <c r="DX41" i="14"/>
  <c r="DX171" i="14"/>
  <c r="DX57" i="14"/>
  <c r="DX82" i="14"/>
  <c r="DX81" i="14"/>
  <c r="EG81" i="14"/>
  <c r="DX25" i="14"/>
  <c r="DX104" i="14"/>
  <c r="DX234" i="14"/>
  <c r="DX159" i="14"/>
  <c r="DX221" i="14"/>
  <c r="DX163" i="14"/>
  <c r="DX131" i="14"/>
  <c r="DX130" i="14"/>
  <c r="EG130" i="14"/>
  <c r="DX109" i="14"/>
  <c r="DX200" i="14"/>
  <c r="DX194" i="14"/>
  <c r="DX189" i="14"/>
  <c r="DX89" i="14"/>
  <c r="DX187" i="14"/>
  <c r="DX58" i="14"/>
  <c r="DX88" i="14"/>
  <c r="DX119" i="14"/>
  <c r="DX64" i="14"/>
  <c r="DX45" i="14"/>
  <c r="DX195" i="14"/>
  <c r="ED28" i="14"/>
  <c r="ED46" i="14"/>
  <c r="DX90" i="14"/>
  <c r="ED132" i="14"/>
  <c r="DX99" i="14"/>
  <c r="DX250" i="14"/>
  <c r="DX134" i="14"/>
  <c r="DX181" i="14"/>
  <c r="DX84" i="14"/>
  <c r="DX102" i="14"/>
  <c r="DX121" i="14"/>
  <c r="ED233" i="14"/>
  <c r="ED232" i="14"/>
  <c r="DX185" i="14"/>
  <c r="DX249" i="14"/>
  <c r="ED142" i="14"/>
  <c r="DX118" i="14"/>
  <c r="DX133" i="14"/>
  <c r="DX211" i="14"/>
  <c r="DX34" i="14"/>
  <c r="DX142" i="14"/>
  <c r="DX233" i="14"/>
  <c r="DX43" i="14"/>
  <c r="DX207" i="14"/>
  <c r="DX32" i="14"/>
  <c r="DX28" i="14"/>
  <c r="DX24" i="14"/>
  <c r="DX209" i="14"/>
  <c r="DX199" i="14"/>
  <c r="DX183" i="14"/>
  <c r="DX165" i="14"/>
  <c r="DX157" i="14"/>
  <c r="DX143" i="14"/>
  <c r="DX66" i="14"/>
  <c r="CX8" i="14"/>
  <c r="DX242" i="14"/>
  <c r="DX148" i="14"/>
  <c r="ED60" i="14"/>
  <c r="ED59" i="14"/>
  <c r="DX44" i="14"/>
  <c r="DX136" i="14"/>
  <c r="DX132" i="14"/>
  <c r="DX27" i="14"/>
  <c r="DX247" i="14"/>
  <c r="ED247" i="14"/>
  <c r="DX72" i="14"/>
  <c r="DX239" i="14"/>
  <c r="DX168" i="14"/>
  <c r="DX13" i="14"/>
  <c r="DX23" i="14"/>
  <c r="DX80" i="14"/>
  <c r="ED65" i="14"/>
  <c r="DX97" i="14"/>
  <c r="DX96" i="14"/>
  <c r="EG96" i="14"/>
  <c r="DX62" i="14"/>
  <c r="DX164" i="14"/>
  <c r="DX60" i="14"/>
  <c r="DX225" i="14"/>
  <c r="ED260" i="14"/>
  <c r="ED262" i="14"/>
  <c r="DX241" i="14"/>
  <c r="ED241" i="14"/>
  <c r="DX186" i="14"/>
  <c r="ED186" i="14"/>
  <c r="DX208" i="14"/>
  <c r="ED212" i="14"/>
  <c r="CX94" i="14"/>
  <c r="CX93" i="14"/>
  <c r="CX92" i="14"/>
  <c r="CX91" i="14"/>
  <c r="CX90" i="14"/>
  <c r="CX89" i="14"/>
  <c r="CX88" i="14"/>
  <c r="CX87" i="14"/>
  <c r="CX86" i="14"/>
  <c r="CX85" i="14"/>
  <c r="CX84" i="14"/>
  <c r="CX83" i="14"/>
  <c r="CX82" i="14"/>
  <c r="CX81" i="14"/>
  <c r="CX80" i="14"/>
  <c r="CX79" i="14"/>
  <c r="CX78" i="14"/>
  <c r="CX77" i="14"/>
  <c r="CX76" i="14"/>
  <c r="CX75" i="14"/>
  <c r="CX74" i="14"/>
  <c r="CX73" i="14"/>
  <c r="CX72" i="14"/>
  <c r="CX71" i="14"/>
  <c r="CX70" i="14"/>
  <c r="CX69" i="14"/>
  <c r="CX68" i="14"/>
  <c r="CX67" i="14"/>
  <c r="CX66" i="14"/>
  <c r="CX65" i="14"/>
  <c r="CX64" i="14"/>
  <c r="CX63" i="14"/>
  <c r="CX62" i="14"/>
  <c r="CX61" i="14"/>
  <c r="CX60" i="14"/>
  <c r="CX59" i="14"/>
  <c r="CX58" i="14"/>
  <c r="CX57" i="14"/>
  <c r="CX56" i="14"/>
  <c r="CX55" i="14"/>
  <c r="CX54" i="14"/>
  <c r="CX53" i="14"/>
  <c r="CX52" i="14"/>
  <c r="CX51" i="14"/>
  <c r="CX50" i="14"/>
  <c r="CX49" i="14"/>
  <c r="CX48" i="14"/>
  <c r="CX47" i="14"/>
  <c r="CX46" i="14"/>
  <c r="CX45" i="14"/>
  <c r="CX44" i="14"/>
  <c r="CX43" i="14"/>
  <c r="CX42" i="14"/>
  <c r="CX41" i="14"/>
  <c r="CX40" i="14"/>
  <c r="CX39" i="14"/>
  <c r="CX38" i="14"/>
  <c r="CX37" i="14"/>
  <c r="CX36" i="14"/>
  <c r="CX35" i="14"/>
  <c r="CX34" i="14"/>
  <c r="CX33" i="14"/>
  <c r="CX32" i="14"/>
  <c r="CX31" i="14"/>
  <c r="CX30" i="14"/>
  <c r="CX29" i="14"/>
  <c r="CX28" i="14"/>
  <c r="CX27" i="14"/>
  <c r="CX26" i="14"/>
  <c r="CX25" i="14"/>
  <c r="CX24" i="14"/>
  <c r="CX23" i="14"/>
  <c r="CX22" i="14"/>
  <c r="CX21" i="14"/>
  <c r="CX20" i="14"/>
  <c r="CX19" i="14"/>
  <c r="CX18" i="14"/>
  <c r="CX17" i="14"/>
  <c r="CX16" i="14"/>
  <c r="CX15" i="14"/>
  <c r="CX14" i="14"/>
  <c r="CX13" i="14"/>
  <c r="CX12" i="14"/>
  <c r="CX11" i="14"/>
  <c r="CX10" i="14"/>
  <c r="CX9" i="14"/>
  <c r="DX9" i="14"/>
  <c r="ED9" i="14"/>
  <c r="ED8" i="14"/>
  <c r="CX220" i="14"/>
  <c r="CX219" i="14"/>
  <c r="CX218" i="14"/>
  <c r="CX217" i="14"/>
  <c r="CX216" i="14"/>
  <c r="CX215" i="14"/>
  <c r="CX214" i="14"/>
  <c r="CX213" i="14"/>
  <c r="CX212" i="14"/>
  <c r="CX211" i="14"/>
  <c r="CX210" i="14"/>
  <c r="CX209" i="14"/>
  <c r="CX208" i="14"/>
  <c r="CX207" i="14"/>
  <c r="CX206" i="14"/>
  <c r="CX205" i="14"/>
  <c r="CX204" i="14"/>
  <c r="CX203" i="14"/>
  <c r="CX202" i="14"/>
  <c r="CX201" i="14"/>
  <c r="CX200" i="14"/>
  <c r="CX199" i="14"/>
  <c r="CX198" i="14"/>
  <c r="CX197" i="14"/>
  <c r="CX196" i="14"/>
  <c r="CX195" i="14"/>
  <c r="CX194" i="14"/>
  <c r="CX193" i="14"/>
  <c r="CX192" i="14"/>
  <c r="CX191" i="14"/>
  <c r="CX190" i="14"/>
  <c r="CX189" i="14"/>
  <c r="CX188" i="14"/>
  <c r="CX187" i="14"/>
  <c r="CX186" i="14"/>
  <c r="CX185" i="14"/>
  <c r="CX184" i="14"/>
  <c r="CX183" i="14"/>
  <c r="CX182" i="14"/>
  <c r="CX181" i="14"/>
  <c r="CX180" i="14"/>
  <c r="CX179" i="14"/>
  <c r="CX178" i="14"/>
  <c r="CX177" i="14"/>
  <c r="CX176" i="14"/>
  <c r="CX175" i="14"/>
  <c r="CX174" i="14"/>
  <c r="CX173" i="14"/>
  <c r="CX172" i="14"/>
  <c r="CX171" i="14"/>
  <c r="CX170" i="14"/>
  <c r="CX169" i="14"/>
  <c r="CX168" i="14"/>
  <c r="CX167" i="14"/>
  <c r="CX166" i="14"/>
  <c r="CX165" i="14"/>
  <c r="CX164" i="14"/>
  <c r="CX163" i="14"/>
  <c r="CX162" i="14"/>
  <c r="CX161" i="14"/>
  <c r="CX160" i="14"/>
  <c r="CX159" i="14"/>
  <c r="CX158" i="14"/>
  <c r="CX157" i="14"/>
  <c r="CX156" i="14"/>
  <c r="CX155" i="14"/>
  <c r="CX154" i="14"/>
  <c r="CX153" i="14"/>
  <c r="CX152" i="14"/>
  <c r="CX151" i="14"/>
  <c r="CX150" i="14"/>
  <c r="CX149" i="14"/>
  <c r="CX148" i="14"/>
  <c r="CX147" i="14"/>
  <c r="CX146" i="14"/>
  <c r="CX145" i="14"/>
  <c r="CX144" i="14"/>
  <c r="CX143" i="14"/>
  <c r="CX142" i="14"/>
  <c r="CX141" i="14"/>
  <c r="CX140" i="14"/>
  <c r="CX139" i="14"/>
  <c r="CX138" i="14"/>
  <c r="CX137" i="14"/>
  <c r="CX136" i="14"/>
  <c r="CX135" i="14"/>
  <c r="CX134" i="14"/>
  <c r="CX133" i="14"/>
  <c r="CX132" i="14"/>
  <c r="CX131" i="14"/>
  <c r="CX130" i="14"/>
  <c r="CX129" i="14"/>
  <c r="CX128" i="14"/>
  <c r="CX127" i="14"/>
  <c r="CX126" i="14"/>
  <c r="CX125" i="14"/>
  <c r="CX124" i="14"/>
  <c r="CX123" i="14"/>
  <c r="CX122" i="14"/>
  <c r="CX121" i="14"/>
  <c r="CX120" i="14"/>
  <c r="CX119" i="14"/>
  <c r="CX118" i="14"/>
  <c r="CX117" i="14"/>
  <c r="CX116" i="14"/>
  <c r="CX115" i="14"/>
  <c r="CX114" i="14"/>
  <c r="CX113" i="14"/>
  <c r="CX112" i="14"/>
  <c r="CX111" i="14"/>
  <c r="CX110" i="14"/>
  <c r="CX109" i="14"/>
  <c r="CX108" i="14"/>
  <c r="CX107" i="14"/>
  <c r="CX106" i="14"/>
  <c r="CX105" i="14"/>
  <c r="CX104" i="14"/>
  <c r="CX103" i="14"/>
  <c r="CX102" i="14"/>
  <c r="CX101" i="14"/>
  <c r="CX100" i="14"/>
  <c r="CX99" i="14"/>
  <c r="CX98" i="14"/>
  <c r="CX97" i="14"/>
  <c r="CX96" i="14"/>
  <c r="CX95" i="14"/>
  <c r="CX259" i="14"/>
  <c r="CX258" i="14"/>
  <c r="CX257" i="14"/>
  <c r="CX256" i="14"/>
  <c r="CX255" i="14"/>
  <c r="CX254" i="14"/>
  <c r="CX253" i="14"/>
  <c r="CX252" i="14"/>
  <c r="CX251" i="14"/>
  <c r="CX250" i="14"/>
  <c r="CX249" i="14"/>
  <c r="CX248" i="14"/>
  <c r="CX247" i="14"/>
  <c r="CX246" i="14"/>
  <c r="CX245" i="14"/>
  <c r="CX244" i="14"/>
  <c r="CX243" i="14"/>
  <c r="CX242" i="14"/>
  <c r="CX241" i="14"/>
  <c r="CX240" i="14"/>
  <c r="CX239" i="14"/>
  <c r="CX238" i="14"/>
  <c r="CX237" i="14"/>
  <c r="CX236" i="14"/>
  <c r="CX235" i="14"/>
  <c r="CX234" i="14"/>
  <c r="CX233" i="14"/>
  <c r="CX232" i="14"/>
  <c r="CX231" i="14"/>
  <c r="CX230" i="14"/>
  <c r="CX229" i="14"/>
  <c r="CX228" i="14"/>
  <c r="CX227" i="14"/>
  <c r="CX226" i="14"/>
  <c r="CX225" i="14"/>
  <c r="CX224" i="14"/>
  <c r="CX223" i="14"/>
  <c r="CX222" i="14"/>
  <c r="CX221" i="14"/>
  <c r="CX265" i="14"/>
  <c r="CX264" i="14"/>
  <c r="CX263" i="14"/>
  <c r="CX262" i="14"/>
  <c r="CX261" i="14"/>
  <c r="CX260" i="14"/>
  <c r="CX275" i="14"/>
  <c r="CX274" i="14"/>
  <c r="CX273" i="14"/>
  <c r="CX272" i="14"/>
  <c r="CX271" i="14"/>
  <c r="CX270" i="14"/>
  <c r="CX269" i="14"/>
  <c r="CX268" i="14"/>
  <c r="CX267" i="14"/>
  <c r="CX266" i="14"/>
  <c r="CX299" i="14"/>
  <c r="CX298" i="14"/>
  <c r="CX297" i="14"/>
  <c r="CX296" i="14"/>
  <c r="CX295" i="14"/>
  <c r="CX294" i="14"/>
  <c r="CX293" i="14"/>
  <c r="CX292" i="14"/>
  <c r="CX291" i="14"/>
  <c r="CX290" i="14"/>
  <c r="CX289" i="14"/>
  <c r="CX288" i="14"/>
  <c r="CX287" i="14"/>
  <c r="CX286" i="14"/>
  <c r="CX285" i="14"/>
  <c r="CX284" i="14"/>
  <c r="CX283" i="14"/>
  <c r="CX282" i="14"/>
  <c r="CX281" i="14"/>
  <c r="CX280" i="14"/>
  <c r="CX279" i="14"/>
  <c r="CX278" i="14"/>
  <c r="CX277" i="14"/>
  <c r="CX276" i="14"/>
  <c r="CX314" i="14"/>
  <c r="CX313" i="14"/>
  <c r="CX312" i="14"/>
  <c r="CX311" i="14"/>
  <c r="CX310" i="14"/>
  <c r="CX309" i="14"/>
  <c r="CX308" i="14"/>
  <c r="CX307" i="14"/>
  <c r="CX306" i="14"/>
  <c r="CX305" i="14"/>
  <c r="CX304" i="14"/>
  <c r="CX303" i="14"/>
  <c r="CX302" i="14"/>
  <c r="CX301" i="14"/>
  <c r="CX300" i="14"/>
  <c r="CX318" i="14"/>
  <c r="CX317" i="14"/>
  <c r="CX316" i="14"/>
  <c r="CX315" i="14"/>
  <c r="CX328" i="14"/>
  <c r="CX327" i="14"/>
  <c r="CX326" i="14"/>
  <c r="CX325" i="14"/>
  <c r="CX324" i="14"/>
  <c r="CX323" i="14"/>
  <c r="CX322" i="14"/>
  <c r="CX321" i="14"/>
  <c r="CX320" i="14"/>
  <c r="CX319" i="14"/>
  <c r="CX333" i="14"/>
  <c r="CX332" i="14"/>
  <c r="CX331" i="14"/>
  <c r="CX330" i="14"/>
  <c r="CX329" i="14"/>
</calcChain>
</file>

<file path=xl/sharedStrings.xml><?xml version="1.0" encoding="utf-8"?>
<sst xmlns="http://schemas.openxmlformats.org/spreadsheetml/2006/main" count="1176" uniqueCount="748">
  <si>
    <t>№ п/п</t>
  </si>
  <si>
    <t>Наименование муниципального образования</t>
  </si>
  <si>
    <t>г. Сосновый Бор</t>
  </si>
  <si>
    <t>Выборгский район</t>
  </si>
  <si>
    <t>Тосненский район</t>
  </si>
  <si>
    <t>Кировский  район</t>
  </si>
  <si>
    <t>Лодейнопольский  район</t>
  </si>
  <si>
    <t>ВСЕГО по плану</t>
  </si>
  <si>
    <t>Сосновоборский гор.округ</t>
  </si>
  <si>
    <t>Бокситогорский  район</t>
  </si>
  <si>
    <t>Волосовский  район</t>
  </si>
  <si>
    <t>Тихвинский  район</t>
  </si>
  <si>
    <t>Сланцевский  район</t>
  </si>
  <si>
    <t>Приозерский район</t>
  </si>
  <si>
    <t>Подпорожский  район</t>
  </si>
  <si>
    <t>Волховский  район</t>
  </si>
  <si>
    <t>Всеволожский район</t>
  </si>
  <si>
    <t>Гатчинский район</t>
  </si>
  <si>
    <t>Кингисеппский район</t>
  </si>
  <si>
    <t>Киришский  район</t>
  </si>
  <si>
    <t>Лодейнопольский район</t>
  </si>
  <si>
    <t>Ломоносовский район</t>
  </si>
  <si>
    <t>Лужский район</t>
  </si>
  <si>
    <t>ВСЕГО по Соглашениям</t>
  </si>
  <si>
    <t xml:space="preserve">ВСЕГО </t>
  </si>
  <si>
    <t>ВСЕГО</t>
  </si>
  <si>
    <t>Остаток лимита от плана по бюджету</t>
  </si>
  <si>
    <t>МО Город Пикалево</t>
  </si>
  <si>
    <t>МО Город Волхов</t>
  </si>
  <si>
    <t>МО Город Всеволожск</t>
  </si>
  <si>
    <t>МО Сертолово</t>
  </si>
  <si>
    <t>МО Город Выборг</t>
  </si>
  <si>
    <t>МО Город Гатчина</t>
  </si>
  <si>
    <t>МО Город Коммунар</t>
  </si>
  <si>
    <t>МО Бокситогорское г.п.</t>
  </si>
  <si>
    <t>МО Волосовское г.п.</t>
  </si>
  <si>
    <t>МО Новоладожское г.п.</t>
  </si>
  <si>
    <t>МО Сясьстройское г.п.</t>
  </si>
  <si>
    <t>МО Дубровское г.п.</t>
  </si>
  <si>
    <t>МО Кузьмоловское г.п.</t>
  </si>
  <si>
    <t>МО Рахьинское г.п.</t>
  </si>
  <si>
    <t>МО Свердловское г.п.</t>
  </si>
  <si>
    <t>МО Токсовское г.п.</t>
  </si>
  <si>
    <t>МО Каменногорское г.п.</t>
  </si>
  <si>
    <t>МО Приморское г.п.</t>
  </si>
  <si>
    <t>МО Рощинское г.п.</t>
  </si>
  <si>
    <t>МО Светогорское г.п.</t>
  </si>
  <si>
    <t>МО Советское г.п.</t>
  </si>
  <si>
    <t>МО Дружногорское г.п.</t>
  </si>
  <si>
    <t>МО Сиверское г.п.</t>
  </si>
  <si>
    <t>МО Будогощское г.п.</t>
  </si>
  <si>
    <t>МО Мгинское г.п.</t>
  </si>
  <si>
    <t>МО Назиевское г.п.</t>
  </si>
  <si>
    <t>МО Павловское г.п.</t>
  </si>
  <si>
    <t>МО Приладожское г.п.</t>
  </si>
  <si>
    <t>МО Шлиссельбургское г.п.</t>
  </si>
  <si>
    <t>МО Лодейнопольское г.п.</t>
  </si>
  <si>
    <t>МО Свирьстройское г.п.</t>
  </si>
  <si>
    <t>МО Большеижорское г.п.</t>
  </si>
  <si>
    <t>МО Лебяженское г.п.</t>
  </si>
  <si>
    <t>МО Лужское г.п.</t>
  </si>
  <si>
    <t>МО Толмачевское г.п.</t>
  </si>
  <si>
    <t>МО Никольское г.п.</t>
  </si>
  <si>
    <t>МО Подпорожское г.п.</t>
  </si>
  <si>
    <t>МО Приозерское г.п.</t>
  </si>
  <si>
    <t>МО Сланцевское г.п.</t>
  </si>
  <si>
    <t>МО Тихвинское г.п.</t>
  </si>
  <si>
    <t>МО Любанское г.п.</t>
  </si>
  <si>
    <t>МО Красноборское г.п.</t>
  </si>
  <si>
    <t>МО Рябовское г.п.</t>
  </si>
  <si>
    <t>МО Тосненское г.п.</t>
  </si>
  <si>
    <t>МО Форносовское г.п.</t>
  </si>
  <si>
    <t>МО Борское с.п.</t>
  </si>
  <si>
    <t>МО Бегуницкое с.п.</t>
  </si>
  <si>
    <t>МО Беседское с.п.</t>
  </si>
  <si>
    <t>МО Большеврудское с.п.</t>
  </si>
  <si>
    <t>МО Губаницкое с.п.</t>
  </si>
  <si>
    <t>МО Зимитицкое с.п.</t>
  </si>
  <si>
    <t>МО Изварское с.п.</t>
  </si>
  <si>
    <t>МО Калитинское с.п.</t>
  </si>
  <si>
    <t>МО Каложицкое с.п.</t>
  </si>
  <si>
    <t>МО Кикеринское с.п.</t>
  </si>
  <si>
    <t>МО Клопицкое с.п.</t>
  </si>
  <si>
    <t>МО Курское с.п.</t>
  </si>
  <si>
    <t>МО Рабитицкое с.п.</t>
  </si>
  <si>
    <t>МО Сабское с.п.</t>
  </si>
  <si>
    <t>МО Сельцовское с.п.</t>
  </si>
  <si>
    <t>МО Терпилицкое с.п.</t>
  </si>
  <si>
    <t>МО Бережковское с.п.</t>
  </si>
  <si>
    <t>МО Вындиноостровское с.п.</t>
  </si>
  <si>
    <t>МО Кисельнинское с.п.</t>
  </si>
  <si>
    <t>МО Колчановское с.п.</t>
  </si>
  <si>
    <t>МО Пашское с.п.</t>
  </si>
  <si>
    <t>МО Свирицкое с.п.</t>
  </si>
  <si>
    <t>МО Усадищенское с.п.</t>
  </si>
  <si>
    <t>МО Романовское с.п.</t>
  </si>
  <si>
    <t>МО Щегловское с.п.</t>
  </si>
  <si>
    <t>МО Гончаровское с.п.</t>
  </si>
  <si>
    <t>МО Красносельское с.п.</t>
  </si>
  <si>
    <t>МО Первомайское с.п.</t>
  </si>
  <si>
    <t>МО Полянское с.п.</t>
  </si>
  <si>
    <t>МО Селезневское с.п.</t>
  </si>
  <si>
    <t>МО Большеколпанское с.п.</t>
  </si>
  <si>
    <t>МО Веревское с.п.</t>
  </si>
  <si>
    <t>МО Войсковицкое с.п.</t>
  </si>
  <si>
    <t>МО Елизаветинское с.п.</t>
  </si>
  <si>
    <t>МО Кобринское с.п.</t>
  </si>
  <si>
    <t>МО Новосветское с.п.</t>
  </si>
  <si>
    <t>МО Рождественское с.п.</t>
  </si>
  <si>
    <t>МО Сусанинское с.п.</t>
  </si>
  <si>
    <t>МО Сяськелевское с.п.</t>
  </si>
  <si>
    <t>МО Пчевжинское с.п.</t>
  </si>
  <si>
    <t>МО Путиловское с.п.</t>
  </si>
  <si>
    <t>МО Суховское с.п.</t>
  </si>
  <si>
    <t>МО Шумское с.п.</t>
  </si>
  <si>
    <t>МО Алеховщинское с.п.</t>
  </si>
  <si>
    <t>МО Доможировское с.п.</t>
  </si>
  <si>
    <t>МО Янегское с.п.</t>
  </si>
  <si>
    <t>МО Горбунковское с.п.</t>
  </si>
  <si>
    <t>МО Гостилицкое с.п.</t>
  </si>
  <si>
    <t>МО Кипенское с.п.</t>
  </si>
  <si>
    <t>МО Копорское с.п.</t>
  </si>
  <si>
    <t>МО Лопухинское с.п.</t>
  </si>
  <si>
    <t>МО Низинское с.п.</t>
  </si>
  <si>
    <t>МО Оржицкое с.п.</t>
  </si>
  <si>
    <t>МО Пениковское с.п.</t>
  </si>
  <si>
    <t>МО Ропшинское с.п.</t>
  </si>
  <si>
    <t>МО Русско-Высоцкое с.п.</t>
  </si>
  <si>
    <t>МО Володарское с.п.</t>
  </si>
  <si>
    <t>МО Волошовское с.п.</t>
  </si>
  <si>
    <t>МО Дзержинское с.п.</t>
  </si>
  <si>
    <t>МО Заклинское с.п.</t>
  </si>
  <si>
    <t>МО Мшинское с.п.</t>
  </si>
  <si>
    <t>МО Оредежское с.п.</t>
  </si>
  <si>
    <t>МО Осьминское с.п.</t>
  </si>
  <si>
    <t>МО Ретюнское с.п.</t>
  </si>
  <si>
    <t>МО Серебрянское с.п.</t>
  </si>
  <si>
    <t>МО Скребловское с.п.</t>
  </si>
  <si>
    <t>МО Тёсовское с.п.</t>
  </si>
  <si>
    <t>МО Ям-Тёсовское с.п.</t>
  </si>
  <si>
    <t>МО Громовское с.п.</t>
  </si>
  <si>
    <t>МО Ларионовское с.п.</t>
  </si>
  <si>
    <t>МО Мельниковское с.п.</t>
  </si>
  <si>
    <t>МО Плодовское с.п.</t>
  </si>
  <si>
    <t>МО Севастьяновское с.п.</t>
  </si>
  <si>
    <t>МО Сосновское с.п.</t>
  </si>
  <si>
    <t>МО Выскатское с.п.</t>
  </si>
  <si>
    <t>МО Гостицкое с.п.</t>
  </si>
  <si>
    <t>МО Новосельское с.п.</t>
  </si>
  <si>
    <t>МО Старопольское с.п.</t>
  </si>
  <si>
    <t>МО Пашозерское с.п.</t>
  </si>
  <si>
    <t>МО Шугозерское с.п.</t>
  </si>
  <si>
    <t>МО Лисинское с.п.</t>
  </si>
  <si>
    <t>МО Нурминское с.п.</t>
  </si>
  <si>
    <t>МО Трубникоборское с.п.</t>
  </si>
  <si>
    <t>МО Шапкинское с.п.</t>
  </si>
  <si>
    <t>МО Кингисеппское г.п.</t>
  </si>
  <si>
    <t>МО Цвылевское с.п.</t>
  </si>
  <si>
    <t>ВСЕГО расходы МО</t>
  </si>
  <si>
    <t xml:space="preserve"> капитальный ремонт и ремонт дворовых территорий многоквартирных домов, проездов к дворовым территориям  </t>
  </si>
  <si>
    <t xml:space="preserve">Проектирование и строительство (рек-ция)  </t>
  </si>
  <si>
    <t xml:space="preserve">Кап. ремонт и ремонт двор. территорий многокварт. домов, проездов к двор.территориям  </t>
  </si>
  <si>
    <t>МО Староладожское с.п.</t>
  </si>
  <si>
    <t>МО Хваловское с.п.</t>
  </si>
  <si>
    <t>МО Колтушское с.п.</t>
  </si>
  <si>
    <t>МО Кусинское с.п.</t>
  </si>
  <si>
    <t>МО Мичуринское с.п.</t>
  </si>
  <si>
    <t>МО Петровское с.п.</t>
  </si>
  <si>
    <t>МО  Раздольевское с.п.</t>
  </si>
  <si>
    <t>МО  Ромашкинское с.п.</t>
  </si>
  <si>
    <t>МО Загривское с.п.</t>
  </si>
  <si>
    <t>МО Черновское с.п.</t>
  </si>
  <si>
    <t>МО Ганьковское с.п.</t>
  </si>
  <si>
    <t>МО Мелегежское с.п.</t>
  </si>
  <si>
    <t>МО Морозовское г.п.</t>
  </si>
  <si>
    <t>МО Пудостьское с.п.</t>
  </si>
  <si>
    <t>МО Вырицкое г.п.</t>
  </si>
  <si>
    <t>МО Нежновское с.п.</t>
  </si>
  <si>
    <t>с.п.</t>
  </si>
  <si>
    <t>г.п.</t>
  </si>
  <si>
    <t>районы+г.о.</t>
  </si>
  <si>
    <t xml:space="preserve">Кап. рем. и ремонт двор. территорий многокварт. домов, проездов к двор.территориям  </t>
  </si>
  <si>
    <t>Кап. рем. и рем.дорог, соц.знач. хар-р</t>
  </si>
  <si>
    <t xml:space="preserve">Проект-е и строительство (рек-ция)  </t>
  </si>
  <si>
    <t xml:space="preserve">Кап. рем. и ремонт авт. дорог </t>
  </si>
  <si>
    <t xml:space="preserve">Проект-е и строительство (рек-ция) * </t>
  </si>
  <si>
    <t>перчислено</t>
  </si>
  <si>
    <t>Кассовый расход МО</t>
  </si>
  <si>
    <t>Остаток на счете МО</t>
  </si>
  <si>
    <t>МО Бокситогорский район</t>
  </si>
  <si>
    <t>МО Большедворское с.п.</t>
  </si>
  <si>
    <t>МО Ефимовское г.п.</t>
  </si>
  <si>
    <t>МО Лидское с.п.</t>
  </si>
  <si>
    <t>МО Климовское с.п.</t>
  </si>
  <si>
    <t>МО Радогощинское с.п.</t>
  </si>
  <si>
    <t>МО Самойловское с.п.</t>
  </si>
  <si>
    <t>МО Иссадское с.п.</t>
  </si>
  <si>
    <t>МО Потанинское с.п.</t>
  </si>
  <si>
    <t>МО Всеволожский район</t>
  </si>
  <si>
    <t>МО Агалатовское с.п.</t>
  </si>
  <si>
    <t>МО Бугровское с.п.</t>
  </si>
  <si>
    <t>МО Куйвозовское с.п.</t>
  </si>
  <si>
    <t>МО Лесколовское с.п.</t>
  </si>
  <si>
    <t>МО Новодевяткинское с.п.</t>
  </si>
  <si>
    <t>МО Юкковское с.п.</t>
  </si>
  <si>
    <t>МО Выборгский район</t>
  </si>
  <si>
    <t>МО Высоцкое г.п.</t>
  </si>
  <si>
    <t>МО Таицкое г.п.</t>
  </si>
  <si>
    <t>МО Пудомягское с.п.</t>
  </si>
  <si>
    <t>МО Гатчинский район</t>
  </si>
  <si>
    <t>МО Фалилеевское с.п.</t>
  </si>
  <si>
    <t>МО Усть-Лужское с.п.</t>
  </si>
  <si>
    <t>МО Пустомержское с.п.</t>
  </si>
  <si>
    <t>МО Опольевское с.п.</t>
  </si>
  <si>
    <t>МО Кузёмкинское с.п.</t>
  </si>
  <si>
    <t>МО Котельское с.п.</t>
  </si>
  <si>
    <t>МО Город Ивангород</t>
  </si>
  <si>
    <t>МО Вистинское с.п.</t>
  </si>
  <si>
    <t>МО Большелуцкое с.п.</t>
  </si>
  <si>
    <t>МО Кингисеппский  район</t>
  </si>
  <si>
    <t>МО Пчевское с.п.</t>
  </si>
  <si>
    <t>МО Киришское г.п.</t>
  </si>
  <si>
    <t>МО Глажевское с.п.</t>
  </si>
  <si>
    <t>МО Киришский район</t>
  </si>
  <si>
    <t>МО Кировский  район</t>
  </si>
  <si>
    <t>МО Кировское г.п.</t>
  </si>
  <si>
    <t>МО Отрадненское г.п.</t>
  </si>
  <si>
    <t>МО Синявинское г.п.</t>
  </si>
  <si>
    <t>МО Лаголовское с.п.</t>
  </si>
  <si>
    <t>МО Ломоносовский  район</t>
  </si>
  <si>
    <t>МО Лужский район</t>
  </si>
  <si>
    <t>МО Торковичское с.п.</t>
  </si>
  <si>
    <t>МО Подпорожский район</t>
  </si>
  <si>
    <t>МО Важинское г.п.</t>
  </si>
  <si>
    <t>МО Винницкое с.п.</t>
  </si>
  <si>
    <t>МО Вознесенское г.п.</t>
  </si>
  <si>
    <t>МО Приозерский  район</t>
  </si>
  <si>
    <t>МО Запорожское с.п.</t>
  </si>
  <si>
    <t>МО Кузнечнинское г.п.</t>
  </si>
  <si>
    <t>МО Сланцевский район</t>
  </si>
  <si>
    <t>МО Тихвинский район</t>
  </si>
  <si>
    <t>МО Коськовское с.п.</t>
  </si>
  <si>
    <t>МО Горское с.п.</t>
  </si>
  <si>
    <t>МО Тельмановское с.п.</t>
  </si>
  <si>
    <t>МО Ульяновское г.п.</t>
  </si>
  <si>
    <t>МО Тосненский район</t>
  </si>
  <si>
    <t>в т.ч.с тв.покр.до с.н.пунктов</t>
  </si>
  <si>
    <t>Все г.п. и с.п.</t>
  </si>
  <si>
    <t>районы+г.о</t>
  </si>
  <si>
    <t>Под пост.Прав.</t>
  </si>
  <si>
    <t xml:space="preserve">ИТОГО  по МО   </t>
  </si>
  <si>
    <t>Нераспределенные субсидии:</t>
  </si>
  <si>
    <t xml:space="preserve">Финансирование из областного бюджета в соответствии с Соглашениями   
</t>
  </si>
  <si>
    <t>Кап.рем. и ремонт а/дорог</t>
  </si>
  <si>
    <t>Кап.рем.и рем. а/д, им.приоритетный соц.знач. хар-р</t>
  </si>
  <si>
    <t>ВСЕГО расходы МО за счет субсидий из ОБ и средств МБ</t>
  </si>
  <si>
    <t>а)</t>
  </si>
  <si>
    <t>б)</t>
  </si>
  <si>
    <t xml:space="preserve">Кап. рем. и ремонт а/дорог </t>
  </si>
  <si>
    <t>Волосовский муниципальный район</t>
  </si>
  <si>
    <t>Киришский муниципальный район</t>
  </si>
  <si>
    <t>Лодейнопольский муниципальный район</t>
  </si>
  <si>
    <t>Ломоносовский муниципальный район</t>
  </si>
  <si>
    <t>Сланцевское городское поселение</t>
  </si>
  <si>
    <t>Нурминское сельское поселение</t>
  </si>
  <si>
    <t>Тосненское городское поселение</t>
  </si>
  <si>
    <t>Итого по муниципальному образованию</t>
  </si>
  <si>
    <t>Гатчинский  муниципальный район</t>
  </si>
  <si>
    <t>Ломоносовский  муниципальный район</t>
  </si>
  <si>
    <t>Ремонт автомобильной дороги общего пользования местного значения "Подъезд к СИЗО №6"</t>
  </si>
  <si>
    <t>Сланцевский  муниципальный район</t>
  </si>
  <si>
    <t xml:space="preserve">Ремонт автомобильной дороги общего пользования местного значения  по ул. Ломоносова (участок от ПК0+74 до ПК 15+40) в г. Сланцы </t>
  </si>
  <si>
    <t xml:space="preserve">Ремонт дороги от ул.Большая до  амбулатории на участке от ул.Большая до д.№15  в дер.Нурма </t>
  </si>
  <si>
    <t>Строительство мостового перехода через р. Пчевжа на территории Будогощского городского поселения и автодороги на подходах к нему между населенными пунктами дер. Бестоголово и дер. Горятино.</t>
  </si>
  <si>
    <t>Реконструкция автодороги "Подъезд к дер. Игокиничи"</t>
  </si>
  <si>
    <t>Реконструкция автодороги "Подъезд к пос. Мехбаза"</t>
  </si>
  <si>
    <t>Разработка проектной документации по объекту "Строительство автомобильной дороги, расположенной по адресу:  Ленинградская область, Тосненский район, г. Тосно, дорога к стадиону от региональной автодороги "Кемполово-Губаницы-Калитино-Выра-Тосно-Шапки"</t>
  </si>
  <si>
    <t>в том числе: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</si>
  <si>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</si>
  <si>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 xml:space="preserve">на проектирование и строительство (реконструкцию) автомобильных дорог общего пользования местного значения </t>
  </si>
  <si>
    <t>ВСЕГО Субсидий МО</t>
  </si>
  <si>
    <t xml:space="preserve">Всего Субсидий МО по ГП "Развитие а/дорог  в ЛО" </t>
  </si>
  <si>
    <t>Процент от плана по ГП"Развитие а/д" без ФБ</t>
  </si>
  <si>
    <t>средства ФБ</t>
  </si>
  <si>
    <t>средства ОБ</t>
  </si>
  <si>
    <t>Всего: ГП "Соц. Поддержка отдельных категорий граждан в ЛО".Подпр."Формирование доступной среды жизнед-ти для инвалидов"</t>
  </si>
  <si>
    <t>1.   МО Бокситогорский р-он</t>
  </si>
  <si>
    <t>2.     МО Тихвинский р-он</t>
  </si>
  <si>
    <t xml:space="preserve">Финансирование из областного бюджета в соответствии с Соглашениями без учета восстановления для формы 125  
</t>
  </si>
  <si>
    <t>Процент от плана дорожного фонда (а/д+село)</t>
  </si>
  <si>
    <t>дорожный фонд без ФБ</t>
  </si>
  <si>
    <t>Отчет об использовании межбюджетных трансфертов, предоставляемых в виде субсидий бюджетам муниципальных образований Ленинградской области  по состоянию на 01.10.2015 г.   в тыс.руб.</t>
  </si>
  <si>
    <t>Общий остаток средств ОБ на счете МО</t>
  </si>
  <si>
    <t>Форма 125-кассовый МО</t>
  </si>
  <si>
    <t>Форма 125-остатки на счетах МО</t>
  </si>
  <si>
    <t>Проверка остатков</t>
  </si>
  <si>
    <t>ВЫПОЛНЕНИЕ ОБ</t>
  </si>
  <si>
    <t>ВЫПОЛНЕНИЕ МБ</t>
  </si>
  <si>
    <t xml:space="preserve">перечислено (2015+2014г.) с учетом остатков и без возврата </t>
  </si>
  <si>
    <t>Остатки лимита дорожного фонда</t>
  </si>
  <si>
    <t>\</t>
  </si>
  <si>
    <t>ОБЩЕЕ ФИНАНСИРОВАНИЕ 2016+остатки</t>
  </si>
  <si>
    <t>Кассовый общий с учетом остатков</t>
  </si>
  <si>
    <t>АВАНСЫ на 01.07.2016</t>
  </si>
  <si>
    <t>МО Красноозерное с.п.</t>
  </si>
  <si>
    <t>кол.-во Соглашений</t>
  </si>
  <si>
    <t>кол.-во доп.согл.</t>
  </si>
  <si>
    <t>Формирование доступной среды жизнедеятельности для инвалидов в Ленинградской области</t>
  </si>
  <si>
    <t>ВСЕГО доступная среда</t>
  </si>
  <si>
    <t>МО Селивановское с.п.</t>
  </si>
  <si>
    <t>Восстановлено в 2017 г. - экономия по итогам торгов и заключенных доп. соглашений</t>
  </si>
  <si>
    <t>Г.п., с.п., раон - для ф.0503125 -   субсидии 2017         (сч.120651560)</t>
  </si>
  <si>
    <t>Перечислены в 2017 году остатки средств на 01.01.17г, потребность в которых подтверждена</t>
  </si>
  <si>
    <t>Кассовый расход МО в 2017 году остатков средств на 01.01.17г, потребность в которых подтверждена</t>
  </si>
  <si>
    <t xml:space="preserve"> РЕЗЕРВ  и прочие 2017 года </t>
  </si>
  <si>
    <t>Остаток на счете МО на 01.01.2017 г. остатков  средств на 01.01.16г, потребность в которых подтверждена</t>
  </si>
  <si>
    <t>МО Заневское г.п.</t>
  </si>
  <si>
    <t>МО"Советское г.п." Выборг.р-на (Реконструкция а/д "Подъезд к пос. Токарево") 1,8 км</t>
  </si>
  <si>
    <t>ПЛАН на 2017 год (утв. Обл. законом от 09.12.2016 № 90-оз прил.28)  в тыс.руб., Пост. ПЛО от 01.03.2017 № 40 (соц. а/д, проект. и стр. (рек-ция)), Пост. ПЛО от 12.12.16 № 478 "Развитие с/х ЛО"</t>
  </si>
  <si>
    <t>ПЛАН на 2017 год (утв. Обл. законом от 09.12.2016 № 90-оз прил.28) ( с изм.)   в тыс.руб., Пост. ПЛО от 01.03.2017 № 40 (соц. а/д, проект. и стр. (рек-ция)), Пост. ПЛО от 12.12.16 № 478 "Развитие с/х ЛО"</t>
  </si>
  <si>
    <t>ПЛАН на 2017 год (утв. Обл. законом от 09.12.2016 № 90-оз прил.28) ( с изм.)   в тыс.руб., Пост. ПЛО от 01.03.2017 № 40, от 12.05.17 № 157 (соц. а/д, проект. и стр. (рек-ция)), Пост. ПЛО от 12.12.16 № 478 "Развитие с/х ЛО"</t>
  </si>
  <si>
    <t>МО" Запорожское с.п. Приозерский р-н" ("Реконструкция а/д "Подъезд к пос. Луговое") 1,4259 км</t>
  </si>
  <si>
    <t>МО "Выборгский р-н" ("Подъезд к пос. Яшино")</t>
  </si>
  <si>
    <t>МО "Каменногорское г.п. Выборгский р-н" ("Подъезд к пос. Маслово")</t>
  </si>
  <si>
    <t>МО "Приозерский р-н" ("Подъезд к дер. Силино")</t>
  </si>
  <si>
    <t>МО Аннинское г.п.</t>
  </si>
  <si>
    <t>МО Фёдоровское г.п.</t>
  </si>
  <si>
    <t>МО Виллозское г.п.</t>
  </si>
  <si>
    <t xml:space="preserve">Строительство (рек-ция), включая проектирование автомобильных дорог общего пользования местного значения  </t>
  </si>
  <si>
    <t>Ремонт автомобильных дорог общего пользования местного значения</t>
  </si>
  <si>
    <t>Капитальный ремонт и ремонт автомобильных дорогтобщего пользования местного значения, имеющих приоритетный соцально значимый характер</t>
  </si>
  <si>
    <t>Капитальный ремонт и ремонт автомобильных дорог общего пользования местного значения, имеющих приоритетный соцально значимый характер</t>
  </si>
  <si>
    <t>рассход 0 будут плптить в октябре из-за s</t>
  </si>
  <si>
    <t>оплата в конце месяца</t>
  </si>
  <si>
    <t>1ок</t>
  </si>
  <si>
    <t>опл после 1 октября поздно пришли деньги</t>
  </si>
  <si>
    <t>оплата после 1 октября</t>
  </si>
  <si>
    <t>ждем выписку из СУФД деньги не поступили</t>
  </si>
  <si>
    <t>средства не получены от нас ушли в конце месяца</t>
  </si>
  <si>
    <t>кас расх нет гл бух</t>
  </si>
  <si>
    <t>кассрасх нет</t>
  </si>
  <si>
    <t>Областной бюджет</t>
  </si>
  <si>
    <t>Местный бюджет</t>
  </si>
  <si>
    <t>Бюджетные ассигнования, предусмотренные соглашением о предоставлении субсидий                                                                                                                                                строительство</t>
  </si>
  <si>
    <t>Плановое соотношение расходов по условиям соглашения (%)</t>
  </si>
  <si>
    <t>Исполнено                                                        строительство</t>
  </si>
  <si>
    <t>Фактическое соотношение расходов по условиям соглашения (%)</t>
  </si>
  <si>
    <t xml:space="preserve">Информация о соблюдении МО фактической доли расходов местного бюджета на финансирование обязательств, софинансируемых за счет субсидии из областного бюджета Ленинградской области 
</t>
  </si>
  <si>
    <t>Должно быть исполнено за счет средств областного бюджета</t>
  </si>
  <si>
    <t>Отклонение от установленного соотношения расходов по условиям соглашения</t>
  </si>
  <si>
    <t>(+) (-)</t>
  </si>
  <si>
    <t>Исполнено                                                       автодороги</t>
  </si>
  <si>
    <t>Исполнено                                                        соц. Автодороги</t>
  </si>
  <si>
    <t>Бюджетные ассигнования, предусмотренные соглашением о предоставлении субсидий                                                                                                                                                автодороги</t>
  </si>
  <si>
    <t>Бюджетные ассигнования, предусмотренные соглашением о предоставлении субсидий                                                                                                                                               соц. автодороги</t>
  </si>
  <si>
    <t>Минимальная доля софинансирования для МО</t>
  </si>
  <si>
    <t xml:space="preserve">Всего Субсидий МО в рамках ГП ЛО   «Развитие транспортной системы Ленинградской области». </t>
  </si>
  <si>
    <t>Резервный фонд Правительства ЛО</t>
  </si>
  <si>
    <t>ВСЕГО резервный фонд Прав. ЛО по МО</t>
  </si>
  <si>
    <t xml:space="preserve">ПЛАН на 2020 год </t>
  </si>
  <si>
    <t xml:space="preserve">Лимиты финансирования на 2020 год в соответствии с заключенными Соглашениями  
</t>
  </si>
  <si>
    <t>Соглашения и д/с 2020 года</t>
  </si>
  <si>
    <t>МО Муринское г.п.</t>
  </si>
  <si>
    <t>МО "Волховский р-н" (Строительство а/д "Подъезд к дер. Козарево") 5,667 км</t>
  </si>
  <si>
    <t>МО "Каменногорское г.п. Выборгского р-на" (Финансирование реконстркуции автодороги "Подъезд к п. Михалево" (1,633 км)</t>
  </si>
  <si>
    <t>Соглашение № 243 от 28.02.20</t>
  </si>
  <si>
    <t>Соглашение № 253 от 02.03.20</t>
  </si>
  <si>
    <t>Соглашение № 277 от 05.03.20</t>
  </si>
  <si>
    <t>Соглашение № 145 от 05.03.20</t>
  </si>
  <si>
    <t>Соглашение № 193 от 10.03.20</t>
  </si>
  <si>
    <t>Соглашение № 255 от 12.03.20</t>
  </si>
  <si>
    <t>Соглашение № 425 от 12.03.20</t>
  </si>
  <si>
    <t>Соглашение № 697 от 13.03.20</t>
  </si>
  <si>
    <t>150;151</t>
  </si>
  <si>
    <t>п/п№</t>
  </si>
  <si>
    <t>ГП "Комплексное развитие сельских территорий ЛО" Стр. и рек. а/д общ. польз. с тв. покрытием , ведущих от сети а/д общ.польз. к общ. зн. объектам нас. пунктов, рас-х на сельских тер-ях, объектам пр-ва и переработки продукции, всего:</t>
  </si>
  <si>
    <t>Основные средства</t>
  </si>
  <si>
    <t>Дополнительные средства</t>
  </si>
  <si>
    <t>Соглашение № 469 от 02.03.20, Соглашение № 989 от 09.04.20</t>
  </si>
  <si>
    <t>Соглашение № 213 от 02.03.20, Соглашение № 1004 от 10.04.20</t>
  </si>
  <si>
    <t>Соглашение № 351 от 05.03.20, Соглашение № 431 от 05.03.20, Соглашение № 970 от 13.04.20</t>
  </si>
  <si>
    <t>Соглашение № 202 от 02.03.20, Соглашение № 888 от 13.04.20</t>
  </si>
  <si>
    <t>Соглашение № 330 от 10.03.20, Соглашение № 1056 от 13.04.20</t>
  </si>
  <si>
    <t>Соглашение № 586 от 04.03.20, Соглашение № 1052 от 13.04.20</t>
  </si>
  <si>
    <t>Соглашение № 192 от 04.03.20, Соглашение № 963 от 13.04.20</t>
  </si>
  <si>
    <t>Соглашение № 72 от 11.03.20, Соглашение № 1119 от 13.04.20</t>
  </si>
  <si>
    <t>Соглашение № 209 от 12.03.20, Соглашение № 999 от 13.04.20</t>
  </si>
  <si>
    <t>Соглашение № 686 от 11.03.20, Соглашение № 896 от 13.04.20</t>
  </si>
  <si>
    <t>Соглашение № 229 от 03.03.20, Соглашение № 228 от 03.03.20, Соглашение № 1034 от 13.04.20</t>
  </si>
  <si>
    <t>Соглашение № 126 от 03.03.20, Соглашение № 1113 от 13.04.20</t>
  </si>
  <si>
    <t>Соглашение № 559 от 13.03.20, Соглашение № 1014 от 14.04.20</t>
  </si>
  <si>
    <t>Соглашение № 579 от 04.03.20, Соглашение № 1105 от 14.04.20</t>
  </si>
  <si>
    <t>Соглашение № 144 от 12.03.20, Соглашение № 980 от 14.04.20</t>
  </si>
  <si>
    <t>Соглашение № 107 от 05.03.20, Соглашение № 950 от 14.04.20</t>
  </si>
  <si>
    <t>Соглашение № 332 от 13.02.20, Соглашение № 885 от 14.04.20</t>
  </si>
  <si>
    <t>Соглашение № 283 от 03.03.20, Соглашение № 1133 от 14.04.20</t>
  </si>
  <si>
    <t>Соглашение № 696 от 11.03.20, д/с1 от 31.03.20, Соглашение № 1078 от 14.04.20</t>
  </si>
  <si>
    <t>Соглашение № 573 от 05.03.20, Соглашение № 891 от 14.04.20</t>
  </si>
  <si>
    <t>Соглашение № 42 от 03.03.20, Соглашение № 146 от 10.03.20, Соглашение № 1080 от 14.04.20</t>
  </si>
  <si>
    <t>Соглашение № 412 от 04.03.20, Соглашение № 1081 от 14.04.20</t>
  </si>
  <si>
    <t>Соглашение № 138 от 28.02.20, Соглашение № 1161 от 15.04.20</t>
  </si>
  <si>
    <t>Соглашение № 74 от 04.03.20, Соглашение № 1101 от 15.04.20</t>
  </si>
  <si>
    <t>Соглашение № 81 от 10.03.20, Соглашение № 1121 от 15.04.20</t>
  </si>
  <si>
    <t>Соглашение 268 от 28.02.20, Соглашение № 96 от 28.02.20, Соглашение № 975 от 15.04.20</t>
  </si>
  <si>
    <t>Соглашение № 443 от 10.03.20, Соглашение № 444 от 12.03.20, Соглашение № 1177 от 15.04.20</t>
  </si>
  <si>
    <t>Соглашение № 661 от 11.03.20, Соглашение № 1140 от 15.04.20</t>
  </si>
  <si>
    <t>Соглашение № 315 от 05.03.20, Соглашение № 958 от 15.04.20</t>
  </si>
  <si>
    <t>Соглашение № 689 от 10.03.20, Соглашение № 1039 от 15.04.20</t>
  </si>
  <si>
    <t>Соглашение № 198 от 10.03.20, Соглашение № 974 от 15.04.20</t>
  </si>
  <si>
    <t>Соглашение № 48 от 28.02.20, Соглашение № 1144 от 15.04.20</t>
  </si>
  <si>
    <t>Соглашение № 175 от 11.03.20, Соглашение № 1053 от 15.04.20</t>
  </si>
  <si>
    <t>Соглашение № 1143 от 15.04.20</t>
  </si>
  <si>
    <t>Соглашение № 110 от 28.02.20, Соглашение № 108 от 02.03.20, Соглашение № 1006 от 15.04.20</t>
  </si>
  <si>
    <t>Соглашение № 70 от 05.03.20, Соглашение № 1044 от 15.04.20</t>
  </si>
  <si>
    <t>Соглашение № 217 от 03.03.20, Соглашение № 892 от 15.04.20</t>
  </si>
  <si>
    <t>Соглашение № 16 от 02.03.20, Соглашение № 1027 от 15.04.20</t>
  </si>
  <si>
    <t>Соглашение № 1077 от 15.04.20</t>
  </si>
  <si>
    <t>Соглашение № 295 от 03.03.20, Соглашение № 957 от 15.04.20</t>
  </si>
  <si>
    <t>Соглашение № 465 от 11.03.20, Соглашение № 1122 от 15.04.20</t>
  </si>
  <si>
    <t>Соглашение № 1155 от 15.04.20</t>
  </si>
  <si>
    <t>Соглашение № 149 от 10.03.20, Соглашение № 156 от 10.03.20, Соглашение № 1167 от 15.04.20</t>
  </si>
  <si>
    <t>Соглашение № 65 от 02.03.20, Соглашение № 1146 от 15.04.20</t>
  </si>
  <si>
    <t>Соглашение № 572 от 11.03.20, Соглашение № 441 от 11.03.20, Соглашение № 1094 от 15.04.20</t>
  </si>
  <si>
    <t>Соглашение № 677 от 10.03.20, Соглашение № 672 от 10.03.20, Соглашение № 1106 от 15.04.20</t>
  </si>
  <si>
    <t>Соглашение № 78 от 03.03.20, Соглашение № 1141 от 15.04.20</t>
  </si>
  <si>
    <t>Соглашение № 574 от 11.03.20, Соглашение № 1128 от 15.04.20</t>
  </si>
  <si>
    <t>Соглашение № 706 от 12.03.20, Соглашение № 1088 от 15.04.20</t>
  </si>
  <si>
    <t>Соглашение № 77 от 28.02.20, Соглашение № 1024 от 15.04.20</t>
  </si>
  <si>
    <t>Соглашение № 133 от 02.03.20, Соглашение № 887 от 16.04.20</t>
  </si>
  <si>
    <t>Соглашение № 1-р от 28.02.20, Соглашение № 1042 от 16.04.20</t>
  </si>
  <si>
    <t>Соглашение № 242 от 28.02.20, Соглашение № 241 от 28.02.20, Соглашение № 1139 от 16.04.20</t>
  </si>
  <si>
    <t>Соглашение № 421 от 11.03.20, Соглашение № 424 от 11.03.20, Соглашение № 965 от 16.04.20</t>
  </si>
  <si>
    <t>Соглашение № 600 от 05.03.20, Соглашение № 1051 от 16.04.20</t>
  </si>
  <si>
    <t>Соглашение № 114 от 03.03.20, Соглашение № 1158 от 16.04.20</t>
  </si>
  <si>
    <t>Соглашение № 240 от 28.02.20, Соглашение № 1181 от 16.04.20</t>
  </si>
  <si>
    <t>Соглашение № 219 от 03.03.20, Соглашение № 1003 от 16.04.20</t>
  </si>
  <si>
    <t>Соглашение № 479 от 12.03.20, Соглашение № 1067 от 16.04.20</t>
  </si>
  <si>
    <t>Соглашение № 185 от 28.02.20, Соглашение № 187 от 04.03.20, Соглашение № 893 от 16.04.20</t>
  </si>
  <si>
    <t>Соглашение № 221 от 05.03.20, Соглашение № 1145 от 16.04.20</t>
  </si>
  <si>
    <t>Соглашение № 200 от 03.03.20, Соглашение № 1010 от 16.04.20</t>
  </si>
  <si>
    <t>Соглашение № 112 от 02.03.20, Соглашение № 1127 от 16.04.20</t>
  </si>
  <si>
    <t>Соглашение № 1156 от 16.04.20</t>
  </si>
  <si>
    <t>Соглашение № 116 от 12.03.20, Соглашение № 1114 от 16.04.20</t>
  </si>
  <si>
    <t>Соглашение № 203 от 10.03.20, Соглашение № 1086 от 16.04.20</t>
  </si>
  <si>
    <t>Соглашение № 269 от 03.03.20, Соглашение № 690 от 12.03.20, Соглашение № 1087 от 16.04.20</t>
  </si>
  <si>
    <t>Соглашение № 703 от 13.03.20, Соглашение № 1164 от 16.04.20</t>
  </si>
  <si>
    <t>Соглашение № 563 от 11.03.20, соглашение № 1099 от 16.04.20</t>
  </si>
  <si>
    <t>Соглашение № 302 от 10.03.20, Соглашение № 1070 от 16.04.20</t>
  </si>
  <si>
    <t>Соглашение № 466 от 11.03.20, Соглашение № 915 от 16.04.20</t>
  </si>
  <si>
    <t>Соглашение № 79 от 06.03.20, Соглашение № 1142 от 16.04.20</t>
  </si>
  <si>
    <t>Соглашение № 264 от 12.03.20, Соглашение № 1043 от 16.04.20</t>
  </si>
  <si>
    <t>Соглашение № 184 от 05.03.20, Соглашение № 944 от 16.04.20</t>
  </si>
  <si>
    <t>Соглашение № 306 от 13.03.20, Соглашение № 1057 от 16.04.20</t>
  </si>
  <si>
    <t>Соглашение № 552 от 11.03.20, Соглашение № 1195 от 16.04.20</t>
  </si>
  <si>
    <t>Соглашение № 692 от 10.03.20, Соглашение № 1173 от 16.04.20</t>
  </si>
  <si>
    <t>Соглашение № 432 от 12.03.20, Соглашение № 1041 от 16.04.20</t>
  </si>
  <si>
    <t>Соглашение № 430 от 04.03.20,  Соглашение № 1198 от 16.04.20</t>
  </si>
  <si>
    <t>Соглашение № 656 от 11.03.20, Соглашение № 956 от 16.04.20</t>
  </si>
  <si>
    <t>Соглашение № 226 от 02.03.20, Соглашение № 1093 от 16.04.20</t>
  </si>
  <si>
    <t>Соглашение № 1147 от 16.04.20</t>
  </si>
  <si>
    <t>Соглашение № 83 от 06.03.20, Соглашение № 1170 от 16.04.20</t>
  </si>
  <si>
    <t>Соглашение № 280 от 05.03.20, Соглашение № 1180 от 16.04.20</t>
  </si>
  <si>
    <t>Соглашение № 1153 от 16.04.20</t>
  </si>
  <si>
    <t>Соглашение № 687 от 12.03.20, Соглашение № 1090 от 16.04.20</t>
  </si>
  <si>
    <t>Соглашение № 339 от 10.03.20, Соглашение № 1109 от 17.04.20</t>
  </si>
  <si>
    <t>Соглашение № 183 от 02.03.20, Соглашение № 1218 от 17.04.20</t>
  </si>
  <si>
    <t>Соглашение № 234 от 12.03.20, Соглашение № 1033 от 17.04.20</t>
  </si>
  <si>
    <t>Соглашение № 2-п от 27.02.20, Соглашение № 211 от 28.02.20, Соглашение № 1136 от 17.04.20</t>
  </si>
  <si>
    <t>Соглашение № 195 от 11.03.20, Соглашение № 1222 от 17.04.20</t>
  </si>
  <si>
    <t>Соглашение № 89 от 28.02.2020, Соглашение № 105 от 28.02.20, Соглашение № 1215 от 17.04.20</t>
  </si>
  <si>
    <t>Соглашение № 272 от 12.03.20, Соглашение № 1111 от 17.04.20</t>
  </si>
  <si>
    <t>Соглашение № 350 от 12.03.20, Соглашение № 411 от 12.03.20, Соглашение № 1196 от 17.04.20</t>
  </si>
  <si>
    <t>Соглашение № 609 от 11.03.20, Соглашение № 1154 от 17.04.20</t>
  </si>
  <si>
    <t>Соглашение № 666 от 13.03.20, Согалешение № 1018 от 17.04.20</t>
  </si>
  <si>
    <t>Соглашение № 556 от 11.03.20, Соглашение № 964 от 17.04.20</t>
  </si>
  <si>
    <t>Соглашение № 448 от 12.03.20, Соглашение № 582 от 12.03.20, Соглашение № 971 от 17.04.20</t>
  </si>
  <si>
    <t>Соглашение № 1157 от 17.04.20</t>
  </si>
  <si>
    <t>Соглашение № 291 от 02.03.20, Соглашение № 1082 от 17.04.20</t>
  </si>
  <si>
    <t>Соглашение № 298 от 05.03.20, Соглашение № 1050 от 17.04.20</t>
  </si>
  <si>
    <t>Соглашение № 197 от 03.03.20, Соглашение № 1091 от 17.04.20</t>
  </si>
  <si>
    <t>Соглашение № 571 от 12.03.20, Соглашение № 1185 от 17.04.20</t>
  </si>
  <si>
    <t>Соглашение № 260 от 11.03.20, Соглашение № 575 от 13.03.20, Соглашение № 1172 от 17.04.20</t>
  </si>
  <si>
    <t>Соглашение № 257 от 12.03.20, Соглашение № 1182 от 17.04.20</t>
  </si>
  <si>
    <t>Соглашение № 328 от 06.03.20, Соглашение № 329 от 06.03.20, Соглашение № 1175 от 17.04.20</t>
  </si>
  <si>
    <t>Соглашение № 92 от 11.03.20, Соглашение № 106 от 11.03.20, Соглашение № 1117 от 17.04.20</t>
  </si>
  <si>
    <t>Соглашение № 300 от 12.03.20, Соглашение № 947 от 17.04.20</t>
  </si>
  <si>
    <t>Соглашение № 463 от 11.03.20, Соглашение № 467 от 11.03.20, Соглашение № 973 от 17.04.20</t>
  </si>
  <si>
    <t>Соглашение № 227 от 10.03.20, Соглашение № 1184 от 17.04.20</t>
  </si>
  <si>
    <t>Соглашение № 484 от 11.03.20, Соглашение № 1079 от 17.04.20</t>
  </si>
  <si>
    <t>Соглашение № 299 от 10.03.20, Соглашение № 1054 от 17.04.20</t>
  </si>
  <si>
    <t>Соглашение № 233 от 03.03.20, Соглашение № 480 от 13.03.20, Соглашение № 1159 от 17.04.20</t>
  </si>
  <si>
    <t>Соглашение № 135 от 28.02.20, Соглашение № 961 от 17.04.20</t>
  </si>
  <si>
    <t>Соглашение № 230 от 12.03.20, Соглашение № 231 от 12.03.20, Соглашение № 1108 от 17.04.20</t>
  </si>
  <si>
    <t>Соглашение № 691 от 10.03.20, Соглашение № 1211 от 17.04.20</t>
  </si>
  <si>
    <t>Соглашение № 64 от 02.03.20, Соглашение № 705 от 12.03.20, Соглашение № 1089 от 17.04.20</t>
  </si>
  <si>
    <t>Соглашение № 688 от 11.03.20, Соглашение № 1083 от 06.05.20</t>
  </si>
  <si>
    <t>23; 212</t>
  </si>
  <si>
    <t>39; 213</t>
  </si>
  <si>
    <t>197; 214</t>
  </si>
  <si>
    <t>31;44; 215</t>
  </si>
  <si>
    <t>9; 216</t>
  </si>
  <si>
    <t>28; 217</t>
  </si>
  <si>
    <t>94; 218</t>
  </si>
  <si>
    <t>80;83; 219</t>
  </si>
  <si>
    <t>34; 220</t>
  </si>
  <si>
    <t>118; 221</t>
  </si>
  <si>
    <t>979; 222</t>
  </si>
  <si>
    <t xml:space="preserve">75; 223 </t>
  </si>
  <si>
    <t>72; 224</t>
  </si>
  <si>
    <t>159; 226</t>
  </si>
  <si>
    <t>162; 227</t>
  </si>
  <si>
    <t>65;66; 228</t>
  </si>
  <si>
    <t>137; 229</t>
  </si>
  <si>
    <t>175; 231</t>
  </si>
  <si>
    <t>61; 232</t>
  </si>
  <si>
    <t>42;43; 233</t>
  </si>
  <si>
    <t>194; 234</t>
  </si>
  <si>
    <t>68; 235</t>
  </si>
  <si>
    <t>168; 236</t>
  </si>
  <si>
    <t>45; 237</t>
  </si>
  <si>
    <t>95; 238</t>
  </si>
  <si>
    <t>193; 239</t>
  </si>
  <si>
    <t>46; 240</t>
  </si>
  <si>
    <t>138; 241</t>
  </si>
  <si>
    <t>93; 243</t>
  </si>
  <si>
    <t>81;91; 244</t>
  </si>
  <si>
    <t>62;107; 245</t>
  </si>
  <si>
    <t>76; 246</t>
  </si>
  <si>
    <t>18; 247</t>
  </si>
  <si>
    <t>69; 248</t>
  </si>
  <si>
    <t>125; 249</t>
  </si>
  <si>
    <t>8;24; 250</t>
  </si>
  <si>
    <t>123;177; 251</t>
  </si>
  <si>
    <t>154; 252</t>
  </si>
  <si>
    <t>98; 253</t>
  </si>
  <si>
    <t>64;71; 254</t>
  </si>
  <si>
    <t>113; 255</t>
  </si>
  <si>
    <t>117; 257</t>
  </si>
  <si>
    <t>86; 258</t>
  </si>
  <si>
    <t>201;202; 259</t>
  </si>
  <si>
    <t>33; 260</t>
  </si>
  <si>
    <t>20; 261</t>
  </si>
  <si>
    <t>165; 263</t>
  </si>
  <si>
    <t>12;38; 265</t>
  </si>
  <si>
    <t>79; 266</t>
  </si>
  <si>
    <t>59; 267</t>
  </si>
  <si>
    <t>147; 270</t>
  </si>
  <si>
    <t>50; 271</t>
  </si>
  <si>
    <t>155; 272</t>
  </si>
  <si>
    <t>56; 274</t>
  </si>
  <si>
    <t>105;110; 276</t>
  </si>
  <si>
    <t>30; 272</t>
  </si>
  <si>
    <t xml:space="preserve">99; 275; </t>
  </si>
  <si>
    <t>140;141; 278</t>
  </si>
  <si>
    <t>108;112; 279</t>
  </si>
  <si>
    <t>49; 280</t>
  </si>
  <si>
    <t>139; 281</t>
  </si>
  <si>
    <t>187; 282</t>
  </si>
  <si>
    <t>3; 283</t>
  </si>
  <si>
    <t>36; 284</t>
  </si>
  <si>
    <t>6; 286</t>
  </si>
  <si>
    <t>52; 54; 230</t>
  </si>
  <si>
    <t>35; 268</t>
  </si>
  <si>
    <t>70; 242</t>
  </si>
  <si>
    <t>Соглашение № 1150 от 16.04.20</t>
  </si>
  <si>
    <t>Соглашение № 460 от 05.03.20, Соглашение № 461 от 05.03.20, Соглашение № 1179 от 17.04.20</t>
  </si>
  <si>
    <t>1; 287</t>
  </si>
  <si>
    <t>7;10; 288</t>
  </si>
  <si>
    <t>131;134; 289</t>
  </si>
  <si>
    <t>85; 290</t>
  </si>
  <si>
    <t>58; 292</t>
  </si>
  <si>
    <t>21; 294</t>
  </si>
  <si>
    <t>77; 295</t>
  </si>
  <si>
    <t>160;161; 296</t>
  </si>
  <si>
    <t>190;204; 297</t>
  </si>
  <si>
    <t>198;200; 298</t>
  </si>
  <si>
    <t>48; 299</t>
  </si>
  <si>
    <t>145; 300</t>
  </si>
  <si>
    <t>171; 301</t>
  </si>
  <si>
    <t>17;63; 302</t>
  </si>
  <si>
    <t>78; 303</t>
  </si>
  <si>
    <t>57; 304</t>
  </si>
  <si>
    <t>27; 305</t>
  </si>
  <si>
    <t>25; 306</t>
  </si>
  <si>
    <t>186; 308</t>
  </si>
  <si>
    <t>109; 309</t>
  </si>
  <si>
    <t>55;182; 310</t>
  </si>
  <si>
    <t>195; 311</t>
  </si>
  <si>
    <t>149; 312</t>
  </si>
  <si>
    <t>14; 313</t>
  </si>
  <si>
    <t>119; 314</t>
  </si>
  <si>
    <t>144; 315</t>
  </si>
  <si>
    <t>106; 316</t>
  </si>
  <si>
    <t>102; 317</t>
  </si>
  <si>
    <t>115; 318</t>
  </si>
  <si>
    <t>96; 319</t>
  </si>
  <si>
    <t>211; 320</t>
  </si>
  <si>
    <t>132; 321</t>
  </si>
  <si>
    <t>120; 322</t>
  </si>
  <si>
    <t>178; 323</t>
  </si>
  <si>
    <t>153; 324</t>
  </si>
  <si>
    <t>67; 325</t>
  </si>
  <si>
    <t>136; 326</t>
  </si>
  <si>
    <t>32; 327</t>
  </si>
  <si>
    <t>104; 329</t>
  </si>
  <si>
    <t>87; 330</t>
  </si>
  <si>
    <t>332</t>
  </si>
  <si>
    <t>128; 263</t>
  </si>
  <si>
    <t>181; 334</t>
  </si>
  <si>
    <t>97;100; 335</t>
  </si>
  <si>
    <t>122; 336</t>
  </si>
  <si>
    <t>37; 337</t>
  </si>
  <si>
    <t>163; 338</t>
  </si>
  <si>
    <t>2; 5; 339</t>
  </si>
  <si>
    <t>210;192;208; 340</t>
  </si>
  <si>
    <t>146; 341</t>
  </si>
  <si>
    <t>4; 13; 342</t>
  </si>
  <si>
    <t>167; 343</t>
  </si>
  <si>
    <t>183;185; 344</t>
  </si>
  <si>
    <t>126; 345</t>
  </si>
  <si>
    <t>205; 346</t>
  </si>
  <si>
    <t>53; 347</t>
  </si>
  <si>
    <t>196; 348</t>
  </si>
  <si>
    <t>127; 349</t>
  </si>
  <si>
    <t>22;40; 350</t>
  </si>
  <si>
    <t>173;176; 351</t>
  </si>
  <si>
    <t>26; 353</t>
  </si>
  <si>
    <t>84; 354</t>
  </si>
  <si>
    <t>47; 355</t>
  </si>
  <si>
    <t>172; 356</t>
  </si>
  <si>
    <t>152;203; 357</t>
  </si>
  <si>
    <t>166; 358</t>
  </si>
  <si>
    <t>11; 359</t>
  </si>
  <si>
    <t>179, 360</t>
  </si>
  <si>
    <t>101;103; 361</t>
  </si>
  <si>
    <t>74; 362</t>
  </si>
  <si>
    <t>142;143; 363</t>
  </si>
  <si>
    <t>133;135; 365</t>
  </si>
  <si>
    <t>121; 366</t>
  </si>
  <si>
    <t>148; 367</t>
  </si>
  <si>
    <t>158; 368</t>
  </si>
  <si>
    <t>184; 365</t>
  </si>
  <si>
    <t>111; 369</t>
  </si>
  <si>
    <t>88;89; 370</t>
  </si>
  <si>
    <t>60; 371</t>
  </si>
  <si>
    <t>19; 372</t>
  </si>
  <si>
    <t>169;170; 373</t>
  </si>
  <si>
    <t>124; 374</t>
  </si>
  <si>
    <t>29;180; 375</t>
  </si>
  <si>
    <t>206;207; 376</t>
  </si>
  <si>
    <t>189;191; 377</t>
  </si>
  <si>
    <t>15;156; 378</t>
  </si>
  <si>
    <t>129; 381</t>
  </si>
  <si>
    <t>Соглашение № 1217 от 08.05.20</t>
  </si>
  <si>
    <t>Соглашение № 1275 от 15.05.20</t>
  </si>
  <si>
    <t>Соглашение № 254 от 12.03.20, Соглашение № 1092 от 13.04.20, д/с 1 от 18.05.20</t>
  </si>
  <si>
    <t>дс4 от 02.03.20 к согл. 15 от 04.03.19; Соглашение № 178 от 11.03.20, Соглашение № 1134 от 16.04.20, д/с1 от 26.05.20</t>
  </si>
  <si>
    <t>Соглашение № 68 от 04.03.20, Соглашение № 1394 от 26.05.20</t>
  </si>
  <si>
    <t>Соглашение № 693 от 13.03.20, Соглашение № 1409 от 26.05.20</t>
  </si>
  <si>
    <t>Соглашение № 659 от 12.03.20, Соглашение № 1405 от 27.05.20</t>
  </si>
  <si>
    <t>Соглашение № 80 от 02.03.20, д/с1 от 29.04.20, Соглашение № 1103 от 15.04.20, д/с1 от 28.05.20</t>
  </si>
  <si>
    <t>Соглашение № 304 от 28.02.20, д/с1 от 01.06.20, Соглашение № 1116 от 16.04.20</t>
  </si>
  <si>
    <t>Соглашение № 477 от 03.03.20, Соглашение № 1277 от 01.06.20</t>
  </si>
  <si>
    <t>Соглашение № 699 от 13.03.20, Соглашение № 1444 от 15.06.20</t>
  </si>
  <si>
    <t>209, 384</t>
  </si>
  <si>
    <t>Соглашение № 66 от 05.03.20, д/с 1 от 22.06.20, Соглашение № 959 от 15.04.20</t>
  </si>
  <si>
    <t>Соглашение № 472 от 05.03.20, д/с 1 от 25.06.20, Соглашение № 1007 от 10.04.20</t>
  </si>
  <si>
    <t>Соглашение № 464 от 11.03.20, д/с 1 от 25.06.20, Соглашение № 1151 от 16.04.20</t>
  </si>
  <si>
    <t>Соглашение № 369 от 04.03.20, д/с 1 от 29.06.20, Соглашение № 368 от 04.03.20, Соглашение № 1058 от 13.04.20, д/с 1 от 29.06.20</t>
  </si>
  <si>
    <t>Соглашение № 547 от 03.03.20, Соглашение № 1085 от 14.04.20, д/с 1 от 29.06.20</t>
  </si>
  <si>
    <t>Соглашение № 34 от 05.03.20,д/с 1 от 29.06.20, Соглашение № 990 от 15.04.20</t>
  </si>
  <si>
    <t>Соглашение № 84 от 05.03.20, д/с 1 от 29.06.20</t>
  </si>
  <si>
    <t>Соглашение № 316 от 13.03.20, д/с 1 от 25.06.20, Соглашение № 1183 от 17.04.20, д/с 1 от 29.06.20</t>
  </si>
  <si>
    <t>Соглашение № 122 от 28.02.20, Соглашение № 981 от 16.04.20, д/с 1 от 29.06.20</t>
  </si>
  <si>
    <t>Соглашение № 218 от 03.03.20, д/с 1 от 29.06.20, Соглашение № 1168 от 15.04.20, д/с 1 от 29.06.20</t>
  </si>
  <si>
    <t>Соглашение № 222 от 04.03.20, д/с 1от 29.06.20, Соглашение № 1118 от 14.04.20</t>
  </si>
  <si>
    <t>Соглашение № 191 от 28.02.20, Соглашение № 190 от 02.03.20, д/с 1 от 29.06.20, Соглашение № 976 от 17.04.20, д/с 1 от 29.06.20</t>
  </si>
  <si>
    <t>Соглашение № 320 от 04.03.20, д/с 1 от 22.05.20, д/с 2 от 29.06.20, Соглашение № 884 от 16.04.20, д/с 1 от 29.06.20</t>
  </si>
  <si>
    <t>Соглашение № 225 от 28.02.20, Соглашение № 481 от 11.03.20, Соглашение № 1049 от 17.04.20, д/с 1 от 30.06.20</t>
  </si>
  <si>
    <t>Соглашение № 1162 от 16.04.20, д/с 1 от 30.06.20</t>
  </si>
  <si>
    <t>Соглашение № 1176 от 16.04.20, д/с 1 от 30.06.20</t>
  </si>
  <si>
    <t>Соглашение № 232 от 28.02.20, д/с 1 от 30.06.20, Соглашение № 1174 от 16.04.20, д/с 1 от 30.06.20</t>
  </si>
  <si>
    <t>Соглашение № 1012 от 13.04.20, д/с 1 от 30.06.20</t>
  </si>
  <si>
    <t>Соглашение № 1169 от 16.04.20, д/с 1 от 30.06.20</t>
  </si>
  <si>
    <t>Соглашение № 1160 от 15.04.20, д/с 1 от 30.06.20</t>
  </si>
  <si>
    <t>Соглашение № 979 от 13.04.20, д/с 1 от 30.06.20</t>
  </si>
  <si>
    <t>Соглашение № 426 от 12.03.20, Соглашение № 1031 от 17.04.20, д/с 1 от 02.07.20</t>
  </si>
  <si>
    <t>Соглашение № 238 от 02.03.20, Соглашение № 236 от 02.03.20, Соглашение № 1046 от 14.04.20, д/с 1 от 02.07.20</t>
  </si>
  <si>
    <t>Соглашение № 273 от 11.03.20, д/с1 от 03.07.20, Соглашение № 275 от 11.03.20</t>
  </si>
  <si>
    <t>Соглашение № 82 от 28.02.20, Соглашение № 775 от 17.04.20, д/с 1 от 07.07.20</t>
  </si>
  <si>
    <t>157; 333</t>
  </si>
  <si>
    <t>Соглашение № 117 от 11.03.20, д/с 1 от 22.07.20, Соглашение № 1084 от 15.04.20</t>
  </si>
  <si>
    <t>%            исполнения</t>
  </si>
  <si>
    <t xml:space="preserve"> Соглашение № 698 от 11.03.20, д/с 1 от 20.08.20</t>
  </si>
  <si>
    <t>Соглашение № 1149 от 17.04.20, д/с 1 от 20.08.20</t>
  </si>
  <si>
    <t>Соглашение № 279 от 12.03.20, д/с 1 от 24.08.20, Соглашение № 1019 от 15.04.20</t>
  </si>
  <si>
    <t>от закл. согл</t>
  </si>
  <si>
    <t>Соглашение № 429 от 10.03.20, Соглашение № 960 от 16.04.20, д/с1 от 10.09.20</t>
  </si>
  <si>
    <t>акт сверки на 01.10.20</t>
  </si>
  <si>
    <t>+</t>
  </si>
  <si>
    <t>пп</t>
  </si>
  <si>
    <t>к</t>
  </si>
  <si>
    <t xml:space="preserve"> </t>
  </si>
  <si>
    <t>блсош</t>
  </si>
  <si>
    <t>ор</t>
  </si>
  <si>
    <t>бл</t>
  </si>
  <si>
    <t>ксош</t>
  </si>
  <si>
    <t>дс 3 от 13.02.20 к согл. 40 от 11.03.19, Соглашение № 262 от 11.03.20, Соглашение № 1138 от 17.04.20</t>
  </si>
  <si>
    <t>бсош</t>
  </si>
  <si>
    <t>оплата октябрем</t>
  </si>
  <si>
    <t>ориг</t>
  </si>
  <si>
    <t>октябрем</t>
  </si>
  <si>
    <t>475в пути октябрем</t>
  </si>
  <si>
    <t>8978733,13 октябрем</t>
  </si>
  <si>
    <t>Соглашение № 474 от 13.02.20, д/с1 от 12.10.20, Соглашение № 678 от 13.03.20, Соглашение № 1135 от 15.04.20</t>
  </si>
  <si>
    <t>Соглашение № 101 от 04.03.20, д/с 1 от 09.10.20, Соглашение № 86 от 04.03.20, д/с 1 от 30.06.20, Соглашение № 1029 от 15.04.20, д/с 1 от 30.06.20</t>
  </si>
  <si>
    <t>Соглашение № 620 от 13.03.20, Соглашение № 680 от 13.03.20, д/с1 от 14.10.20, Соглашение № 1028 от 17.04.20</t>
  </si>
  <si>
    <t>2</t>
  </si>
  <si>
    <t>Соглашение № 111 от 28.02.20, д/с 1 от 16.10.20, Соглашение № 962 от 09.04.20, д/с1 от 16.10.20</t>
  </si>
  <si>
    <t>ПЛАН на 2020 год  с учетом перераспределения</t>
  </si>
  <si>
    <t>Соглашение № 247 от 28.02.20, Соглашение № 945 от 10.04.20</t>
  </si>
  <si>
    <t>Соглашение № 473 от 03.03.20, д/с1 от 11.11.20, Соглашение № 1197 от 17.04.20, д/с 1 от 12.11.20</t>
  </si>
  <si>
    <t>Соглашение № 67 от 13.03.20, Соглашение № 988 от 10.04.20, д/с1 от 12.11.20</t>
  </si>
  <si>
    <t>д/с7 от 13.11.20, д/с 6 от 25.05.20, дс5 от 05.03.20 к согл. 197 от 18.07.18</t>
  </si>
  <si>
    <t>Соглашение № 682 от 11.03.20, д/с1 от 16.11.20, Соглашение № 701 от 11.03.20, Соглашение № 1171 от 16.04.20</t>
  </si>
  <si>
    <t>Соглашение № 700 от 13.03.20, д/с1 от 13.11.20, Соглашение № 704 от 13.03.20, д/с 1 от 26.03.20, Соглашение № 684 от 13.03.20, д/с1 от 19.03.20, Соглашение № 1203 от 17.04.20</t>
  </si>
  <si>
    <t>Соглашение № 454 от 05.03.20,Соглашение № 456 от 05.03.20, Соглашение № 917 от 16.04.20</t>
  </si>
  <si>
    <t>Соглашение № 483 от 04.03.20, д/с1 от 27.11.20, Соглашение № 1130 от 17.04.20</t>
  </si>
  <si>
    <t>Соглашение № 14 от 02.03.20, д/с 1 от 16.11.20, д/с2 от 14.12.20, Соглашение № 459 от 02.03.20, Соглшение № 1120 от 10.04.20</t>
  </si>
  <si>
    <t>Соглашение № 482 от 13.03.20, д/с1 от 14.12.20, Соглашение № 480 от 13.03.20, Соглашение № 1032 от 16.04.20</t>
  </si>
  <si>
    <t>Соглашение № 458 от 13.03.20, Соглашение № 621 от 13.03.20, д/с1 от 15.12.20, расторжение 17.12.20, Соглашение № 996 от 17.04.20</t>
  </si>
  <si>
    <t>Соглашение № 702 от 13.03.20, д/с1 от 16.11.20, расторжение 18.12.20, Соглашение № 685 от 13.03.20, Соглашение № 1017 от 16.04.20</t>
  </si>
  <si>
    <t>д/с8 от 13.11.20, дс7 от 05.03.20 к согл. 145 от 30.03.18, Соглашение № 1178 от 28.04.20, Соглашение № 1936 от 23.12.20 (стр)</t>
  </si>
  <si>
    <t>дс 3 от 13.02.20 к согл. 23 от 04.03.19; Соглашение № 335 от 11.03.20, Соглашение № 948 от 16.04.20</t>
  </si>
  <si>
    <t>Соглашение № 452 от 05.03.20, Соглашение № 453 от 05.03.20, Соглашение № 1110 от 14.04.20, д/с1 от 16.07.20</t>
  </si>
  <si>
    <t xml:space="preserve"> ВСЕГО:</t>
  </si>
  <si>
    <t>Средства областного бюджета</t>
  </si>
  <si>
    <t xml:space="preserve">Средства источником финансового обеспечения, которых являются дотации (гранты) бюджетам субъектов РФ за достижение, показателей деятельности органов исполнительной власти субъектов РФ </t>
  </si>
  <si>
    <t>ВСЕГО остаток лимита</t>
  </si>
  <si>
    <t>ВСЕГО финансирование</t>
  </si>
  <si>
    <t>ВСЕГО расходы</t>
  </si>
  <si>
    <t xml:space="preserve">Остаток субсидий на счете МО на 01.01.2021 года. </t>
  </si>
  <si>
    <t>ВСЕГО остаток</t>
  </si>
  <si>
    <t>Всего Субсидий МО за счет средств дорожного фонда ЛО:</t>
  </si>
  <si>
    <t>МО "Пустомержское с.п. Кингисеппского мун. района" (Финансирование  строительства двух подъездных путей к строящемуся объекту: "Строительство общеобразовательной школы на 220 мест в д.Большая Пустомержа Кингисеппского района Ленинградской области" (0,36357 км)</t>
  </si>
  <si>
    <t>Расходы МО за счет субсидий из областного бюджета (кассовый расход)</t>
  </si>
  <si>
    <t>Расходы МО за счет средств местного бюджета  (кассовый расход)</t>
  </si>
  <si>
    <t>Отчет об использовании межбюджетных трансфертов, предоставляемых в виде субсидий бюджетам муниципальных образований Ленинградской области  по состоянию на 01.01.2021 г.   
(в 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</si>
</sst>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"/>
    <numFmt numFmtId="165" formatCode="#,##0.00000"/>
    <numFmt numFmtId="166" formatCode="#,##0.0"/>
    <numFmt numFmtId="167" formatCode="0.00000"/>
    <numFmt numFmtId="168" formatCode="0.0%"/>
    <numFmt numFmtId="169" formatCode="#,##0.0000"/>
    <numFmt numFmtId="170" formatCode="0.00000%"/>
  </numFmts>
  <fonts count="39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i/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b/>
      <sz val="18"/>
      <name val="Arial CYR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  <font>
      <u/>
      <sz val="10"/>
      <color theme="10"/>
      <name val="Arial Cyr"/>
      <charset val="204"/>
    </font>
    <font>
      <sz val="10"/>
      <name val="Arial Cyr"/>
      <family val="2"/>
      <charset val="204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 CYR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2"/>
      <name val="Arial Cyr"/>
      <charset val="204"/>
    </font>
    <font>
      <b/>
      <sz val="10"/>
      <name val="Times New Roman"/>
      <family val="1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i/>
      <sz val="9"/>
      <name val="Arial Cyr"/>
      <charset val="204"/>
    </font>
    <font>
      <sz val="10"/>
      <name val="Times New Roman CYR"/>
      <charset val="204"/>
    </font>
    <font>
      <u/>
      <sz val="10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0" fillId="0" borderId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</cellStyleXfs>
  <cellXfs count="769">
    <xf numFmtId="0" fontId="0" fillId="0" borderId="0" xfId="0"/>
    <xf numFmtId="1" fontId="7" fillId="2" borderId="1" xfId="0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left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2" xfId="0" applyNumberFormat="1" applyFont="1" applyFill="1" applyBorder="1" applyAlignment="1">
      <alignment horizontal="center" vertical="center" textRotation="90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5" fontId="0" fillId="2" borderId="0" xfId="0" applyNumberFormat="1" applyFont="1" applyFill="1" applyAlignment="1">
      <alignment horizontal="left"/>
    </xf>
    <xf numFmtId="165" fontId="0" fillId="2" borderId="0" xfId="0" applyNumberFormat="1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165" fontId="4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165" fontId="0" fillId="2" borderId="0" xfId="0" applyNumberFormat="1" applyFont="1" applyFill="1" applyBorder="1" applyAlignment="1">
      <alignment horizontal="center"/>
    </xf>
    <xf numFmtId="164" fontId="15" fillId="2" borderId="0" xfId="0" applyNumberFormat="1" applyFont="1" applyFill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textRotation="90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 textRotation="90" wrapText="1"/>
    </xf>
    <xf numFmtId="0" fontId="17" fillId="0" borderId="0" xfId="0" applyFont="1"/>
    <xf numFmtId="0" fontId="0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center" vertical="center" wrapText="1"/>
    </xf>
    <xf numFmtId="1" fontId="12" fillId="2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 vertical="center" wrapText="1"/>
    </xf>
    <xf numFmtId="165" fontId="2" fillId="3" borderId="3" xfId="0" applyNumberFormat="1" applyFont="1" applyFill="1" applyBorder="1" applyAlignment="1">
      <alignment horizontal="center"/>
    </xf>
    <xf numFmtId="165" fontId="8" fillId="3" borderId="3" xfId="0" applyNumberFormat="1" applyFont="1" applyFill="1" applyBorder="1" applyAlignment="1">
      <alignment horizontal="center"/>
    </xf>
    <xf numFmtId="165" fontId="8" fillId="3" borderId="3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/>
    </xf>
    <xf numFmtId="165" fontId="0" fillId="3" borderId="0" xfId="0" applyNumberFormat="1" applyFont="1" applyFill="1" applyAlignment="1">
      <alignment horizontal="center"/>
    </xf>
    <xf numFmtId="165" fontId="2" fillId="3" borderId="13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textRotation="90" wrapText="1"/>
    </xf>
    <xf numFmtId="165" fontId="7" fillId="2" borderId="11" xfId="0" applyNumberFormat="1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wrapText="1"/>
    </xf>
    <xf numFmtId="166" fontId="7" fillId="2" borderId="17" xfId="0" applyNumberFormat="1" applyFont="1" applyFill="1" applyBorder="1" applyAlignment="1">
      <alignment horizontal="center" vertical="center" textRotation="90" wrapText="1"/>
    </xf>
    <xf numFmtId="1" fontId="2" fillId="3" borderId="0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/>
    <xf numFmtId="0" fontId="2" fillId="3" borderId="0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/>
    <xf numFmtId="164" fontId="2" fillId="3" borderId="1" xfId="0" applyNumberFormat="1" applyFont="1" applyFill="1" applyBorder="1" applyAlignment="1">
      <alignment horizontal="left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15" fillId="2" borderId="0" xfId="0" applyNumberFormat="1" applyFont="1" applyFill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165" fontId="0" fillId="5" borderId="0" xfId="0" applyNumberFormat="1" applyFont="1" applyFill="1" applyAlignment="1">
      <alignment horizontal="center"/>
    </xf>
    <xf numFmtId="0" fontId="23" fillId="3" borderId="2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textRotation="90" wrapText="1"/>
    </xf>
    <xf numFmtId="165" fontId="7" fillId="4" borderId="2" xfId="0" applyNumberFormat="1" applyFont="1" applyFill="1" applyBorder="1" applyAlignment="1">
      <alignment horizontal="center" vertical="center" textRotation="90" wrapText="1"/>
    </xf>
    <xf numFmtId="165" fontId="3" fillId="5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12" xfId="0" applyFont="1" applyFill="1" applyBorder="1" applyAlignment="1">
      <alignment vertical="center" wrapText="1"/>
    </xf>
    <xf numFmtId="165" fontId="6" fillId="2" borderId="12" xfId="0" applyNumberFormat="1" applyFont="1" applyFill="1" applyBorder="1" applyAlignment="1">
      <alignment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165" fontId="0" fillId="3" borderId="0" xfId="0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 vertical="center" wrapText="1"/>
    </xf>
    <xf numFmtId="165" fontId="3" fillId="3" borderId="0" xfId="0" applyNumberFormat="1" applyFont="1" applyFill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/>
    </xf>
    <xf numFmtId="165" fontId="0" fillId="5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left"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textRotation="90" wrapText="1"/>
    </xf>
    <xf numFmtId="1" fontId="0" fillId="2" borderId="0" xfId="0" applyNumberFormat="1" applyFont="1" applyFill="1" applyAlignment="1">
      <alignment horizontal="center"/>
    </xf>
    <xf numFmtId="165" fontId="7" fillId="6" borderId="1" xfId="0" applyNumberFormat="1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vertical="center" wrapText="1"/>
    </xf>
    <xf numFmtId="165" fontId="6" fillId="3" borderId="0" xfId="0" applyNumberFormat="1" applyFont="1" applyFill="1" applyBorder="1" applyAlignment="1">
      <alignment horizontal="center" vertical="center" wrapText="1"/>
    </xf>
    <xf numFmtId="165" fontId="7" fillId="3" borderId="11" xfId="0" applyNumberFormat="1" applyFont="1" applyFill="1" applyBorder="1" applyAlignment="1">
      <alignment horizontal="center" vertical="center" textRotation="90" wrapText="1"/>
    </xf>
    <xf numFmtId="165" fontId="5" fillId="3" borderId="1" xfId="0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5" fontId="26" fillId="4" borderId="36" xfId="0" applyNumberFormat="1" applyFont="1" applyFill="1" applyBorder="1" applyAlignment="1">
      <alignment horizontal="center"/>
    </xf>
    <xf numFmtId="165" fontId="26" fillId="4" borderId="37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4" fillId="7" borderId="12" xfId="0" applyFont="1" applyFill="1" applyBorder="1" applyAlignment="1">
      <alignment horizontal="center" vertical="center" wrapText="1"/>
    </xf>
    <xf numFmtId="165" fontId="0" fillId="7" borderId="0" xfId="0" applyNumberFormat="1" applyFont="1" applyFill="1" applyAlignment="1">
      <alignment horizontal="center"/>
    </xf>
    <xf numFmtId="165" fontId="7" fillId="2" borderId="8" xfId="0" applyNumberFormat="1" applyFont="1" applyFill="1" applyBorder="1" applyAlignment="1">
      <alignment horizontal="center" vertical="center" textRotation="90" wrapText="1"/>
    </xf>
    <xf numFmtId="0" fontId="21" fillId="3" borderId="2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textRotation="90" wrapText="1"/>
    </xf>
    <xf numFmtId="165" fontId="7" fillId="3" borderId="2" xfId="0" applyNumberFormat="1" applyFont="1" applyFill="1" applyBorder="1" applyAlignment="1">
      <alignment horizontal="center" vertical="center" textRotation="90" wrapText="1"/>
    </xf>
    <xf numFmtId="165" fontId="3" fillId="3" borderId="1" xfId="2" applyNumberFormat="1" applyFont="1" applyFill="1" applyBorder="1" applyAlignment="1">
      <alignment horizontal="center"/>
    </xf>
    <xf numFmtId="165" fontId="0" fillId="3" borderId="0" xfId="2" applyNumberFormat="1" applyFont="1" applyFill="1" applyAlignment="1">
      <alignment horizontal="center"/>
    </xf>
    <xf numFmtId="165" fontId="5" fillId="3" borderId="6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/>
    <xf numFmtId="165" fontId="3" fillId="4" borderId="1" xfId="0" applyNumberFormat="1" applyFont="1" applyFill="1" applyBorder="1" applyAlignment="1">
      <alignment horizontal="left" vertical="center" wrapText="1"/>
    </xf>
    <xf numFmtId="0" fontId="0" fillId="4" borderId="0" xfId="0" applyFont="1" applyFill="1" applyAlignment="1">
      <alignment horizontal="center"/>
    </xf>
    <xf numFmtId="164" fontId="3" fillId="4" borderId="1" xfId="0" applyNumberFormat="1" applyFont="1" applyFill="1" applyBorder="1"/>
    <xf numFmtId="164" fontId="2" fillId="4" borderId="1" xfId="0" applyNumberFormat="1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3" fillId="4" borderId="1" xfId="0" applyFont="1" applyFill="1" applyBorder="1"/>
    <xf numFmtId="1" fontId="2" fillId="4" borderId="13" xfId="0" applyNumberFormat="1" applyFont="1" applyFill="1" applyBorder="1" applyAlignment="1">
      <alignment horizontal="center" vertical="center" wrapText="1"/>
    </xf>
    <xf numFmtId="1" fontId="2" fillId="4" borderId="11" xfId="0" applyNumberFormat="1" applyFont="1" applyFill="1" applyBorder="1" applyAlignment="1">
      <alignment horizontal="center" vertical="center" wrapText="1"/>
    </xf>
    <xf numFmtId="165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165" fontId="4" fillId="3" borderId="3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left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167" fontId="7" fillId="3" borderId="1" xfId="0" applyNumberFormat="1" applyFont="1" applyFill="1" applyBorder="1" applyAlignment="1">
      <alignment horizontal="center" vertical="center" wrapText="1"/>
    </xf>
    <xf numFmtId="167" fontId="7" fillId="6" borderId="1" xfId="0" applyNumberFormat="1" applyFont="1" applyFill="1" applyBorder="1" applyAlignment="1">
      <alignment horizontal="center" vertical="center" wrapText="1"/>
    </xf>
    <xf numFmtId="167" fontId="7" fillId="3" borderId="3" xfId="0" applyNumberFormat="1" applyFont="1" applyFill="1" applyBorder="1" applyAlignment="1">
      <alignment horizontal="center" vertical="center" wrapText="1"/>
    </xf>
    <xf numFmtId="167" fontId="7" fillId="5" borderId="1" xfId="0" applyNumberFormat="1" applyFont="1" applyFill="1" applyBorder="1" applyAlignment="1">
      <alignment horizontal="center" vertical="center" wrapText="1"/>
    </xf>
    <xf numFmtId="167" fontId="12" fillId="2" borderId="0" xfId="0" applyNumberFormat="1" applyFont="1" applyFill="1" applyBorder="1" applyAlignment="1">
      <alignment horizontal="center"/>
    </xf>
    <xf numFmtId="167" fontId="7" fillId="2" borderId="19" xfId="0" applyNumberFormat="1" applyFont="1" applyFill="1" applyBorder="1" applyAlignment="1">
      <alignment horizontal="center" vertical="center" wrapText="1"/>
    </xf>
    <xf numFmtId="167" fontId="7" fillId="2" borderId="2" xfId="0" applyNumberFormat="1" applyFont="1" applyFill="1" applyBorder="1" applyAlignment="1">
      <alignment horizontal="center" vertical="center" wrapText="1"/>
    </xf>
    <xf numFmtId="167" fontId="12" fillId="2" borderId="0" xfId="0" applyNumberFormat="1" applyFont="1" applyFill="1" applyAlignment="1">
      <alignment horizontal="center"/>
    </xf>
    <xf numFmtId="167" fontId="3" fillId="4" borderId="1" xfId="0" applyNumberFormat="1" applyFont="1" applyFill="1" applyBorder="1" applyAlignment="1">
      <alignment horizontal="center" vertical="center" wrapText="1"/>
    </xf>
    <xf numFmtId="167" fontId="2" fillId="3" borderId="3" xfId="0" applyNumberFormat="1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/>
    </xf>
    <xf numFmtId="167" fontId="2" fillId="3" borderId="1" xfId="0" applyNumberFormat="1" applyFont="1" applyFill="1" applyBorder="1" applyAlignment="1">
      <alignment horizontal="center" vertical="center" wrapText="1"/>
    </xf>
    <xf numFmtId="167" fontId="2" fillId="3" borderId="3" xfId="0" applyNumberFormat="1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horizontal="center"/>
    </xf>
    <xf numFmtId="167" fontId="0" fillId="3" borderId="1" xfId="0" applyNumberFormat="1" applyFont="1" applyFill="1" applyBorder="1" applyAlignment="1">
      <alignment horizontal="center"/>
    </xf>
    <xf numFmtId="167" fontId="8" fillId="3" borderId="3" xfId="0" applyNumberFormat="1" applyFont="1" applyFill="1" applyBorder="1" applyAlignment="1">
      <alignment horizontal="center"/>
    </xf>
    <xf numFmtId="167" fontId="8" fillId="3" borderId="3" xfId="0" applyNumberFormat="1" applyFont="1" applyFill="1" applyBorder="1" applyAlignment="1">
      <alignment horizontal="center" vertical="center" wrapText="1"/>
    </xf>
    <xf numFmtId="167" fontId="2" fillId="3" borderId="8" xfId="0" applyNumberFormat="1" applyFont="1" applyFill="1" applyBorder="1" applyAlignment="1">
      <alignment horizontal="center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167" fontId="0" fillId="3" borderId="8" xfId="0" applyNumberFormat="1" applyFont="1" applyFill="1" applyBorder="1" applyAlignment="1">
      <alignment horizontal="center"/>
    </xf>
    <xf numFmtId="167" fontId="15" fillId="2" borderId="1" xfId="0" applyNumberFormat="1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/>
    <xf numFmtId="0" fontId="21" fillId="3" borderId="3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left" vertical="center" wrapText="1"/>
    </xf>
    <xf numFmtId="0" fontId="28" fillId="3" borderId="3" xfId="0" applyFont="1" applyFill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167" fontId="2" fillId="4" borderId="1" xfId="0" applyNumberFormat="1" applyFont="1" applyFill="1" applyBorder="1" applyAlignment="1">
      <alignment horizontal="center" vertical="center" wrapText="1"/>
    </xf>
    <xf numFmtId="1" fontId="2" fillId="3" borderId="40" xfId="0" applyNumberFormat="1" applyFont="1" applyFill="1" applyBorder="1" applyAlignment="1">
      <alignment horizontal="center" vertical="center" wrapText="1"/>
    </xf>
    <xf numFmtId="1" fontId="2" fillId="3" borderId="39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/>
    </xf>
    <xf numFmtId="0" fontId="23" fillId="3" borderId="9" xfId="0" applyFont="1" applyFill="1" applyBorder="1" applyAlignment="1">
      <alignment horizontal="left" vertical="center" wrapText="1"/>
    </xf>
    <xf numFmtId="0" fontId="23" fillId="3" borderId="14" xfId="0" applyFont="1" applyFill="1" applyBorder="1" applyAlignment="1">
      <alignment horizontal="left" vertical="center" wrapText="1"/>
    </xf>
    <xf numFmtId="167" fontId="2" fillId="3" borderId="14" xfId="0" applyNumberFormat="1" applyFont="1" applyFill="1" applyBorder="1" applyAlignment="1">
      <alignment horizontal="center" vertical="center" wrapText="1"/>
    </xf>
    <xf numFmtId="167" fontId="2" fillId="3" borderId="7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left" vertical="center" wrapText="1"/>
    </xf>
    <xf numFmtId="0" fontId="23" fillId="3" borderId="13" xfId="0" applyFont="1" applyFill="1" applyBorder="1" applyAlignment="1">
      <alignment horizontal="left" vertical="center" wrapText="1"/>
    </xf>
    <xf numFmtId="0" fontId="27" fillId="3" borderId="13" xfId="0" applyNumberFormat="1" applyFont="1" applyFill="1" applyBorder="1" applyAlignment="1">
      <alignment horizontal="center" vertical="center" wrapText="1"/>
    </xf>
    <xf numFmtId="167" fontId="2" fillId="3" borderId="13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167" fontId="3" fillId="3" borderId="8" xfId="0" applyNumberFormat="1" applyFont="1" applyFill="1" applyBorder="1" applyAlignment="1">
      <alignment horizontal="center" vertical="center" wrapText="1"/>
    </xf>
    <xf numFmtId="167" fontId="15" fillId="2" borderId="8" xfId="0" applyNumberFormat="1" applyFont="1" applyFill="1" applyBorder="1" applyAlignment="1">
      <alignment horizontal="center"/>
    </xf>
    <xf numFmtId="167" fontId="5" fillId="2" borderId="8" xfId="0" applyNumberFormat="1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 vertical="center" wrapText="1"/>
    </xf>
    <xf numFmtId="165" fontId="5" fillId="3" borderId="8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left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justify" vertical="center" wrapText="1"/>
    </xf>
    <xf numFmtId="164" fontId="3" fillId="3" borderId="1" xfId="1" applyNumberFormat="1" applyFont="1" applyFill="1" applyBorder="1"/>
    <xf numFmtId="164" fontId="2" fillId="3" borderId="1" xfId="0" applyNumberFormat="1" applyFont="1" applyFill="1" applyBorder="1" applyAlignment="1">
      <alignment wrapText="1"/>
    </xf>
    <xf numFmtId="0" fontId="29" fillId="3" borderId="1" xfId="0" applyFont="1" applyFill="1" applyBorder="1" applyAlignment="1">
      <alignment horizontal="center" vertical="center" wrapText="1"/>
    </xf>
    <xf numFmtId="0" fontId="0" fillId="3" borderId="0" xfId="0" applyNumberFormat="1" applyFont="1" applyFill="1" applyAlignment="1">
      <alignment horizontal="center"/>
    </xf>
    <xf numFmtId="1" fontId="7" fillId="8" borderId="13" xfId="0" applyNumberFormat="1" applyFont="1" applyFill="1" applyBorder="1" applyAlignment="1">
      <alignment horizontal="center" vertical="center" wrapText="1"/>
    </xf>
    <xf numFmtId="1" fontId="7" fillId="8" borderId="1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164" fontId="7" fillId="8" borderId="1" xfId="0" applyNumberFormat="1" applyFont="1" applyFill="1" applyBorder="1"/>
    <xf numFmtId="0" fontId="12" fillId="8" borderId="15" xfId="0" applyFont="1" applyFill="1" applyBorder="1" applyAlignment="1">
      <alignment horizontal="center"/>
    </xf>
    <xf numFmtId="165" fontId="7" fillId="8" borderId="15" xfId="0" applyNumberFormat="1" applyFont="1" applyFill="1" applyBorder="1" applyAlignment="1">
      <alignment horizontal="left" vertical="center" wrapText="1"/>
    </xf>
    <xf numFmtId="167" fontId="7" fillId="8" borderId="15" xfId="0" applyNumberFormat="1" applyFont="1" applyFill="1" applyBorder="1" applyAlignment="1">
      <alignment horizontal="center" vertical="center" wrapText="1"/>
    </xf>
    <xf numFmtId="165" fontId="30" fillId="8" borderId="7" xfId="0" applyNumberFormat="1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center"/>
    </xf>
    <xf numFmtId="165" fontId="30" fillId="8" borderId="1" xfId="0" applyNumberFormat="1" applyFont="1" applyFill="1" applyBorder="1" applyAlignment="1">
      <alignment horizontal="center" vertical="center" wrapText="1"/>
    </xf>
    <xf numFmtId="165" fontId="30" fillId="8" borderId="2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/>
    </xf>
    <xf numFmtId="165" fontId="7" fillId="8" borderId="0" xfId="0" applyNumberFormat="1" applyFont="1" applyFill="1" applyBorder="1" applyAlignment="1">
      <alignment horizontal="center"/>
    </xf>
    <xf numFmtId="165" fontId="7" fillId="8" borderId="40" xfId="0" applyNumberFormat="1" applyFont="1" applyFill="1" applyBorder="1" applyAlignment="1">
      <alignment horizontal="center"/>
    </xf>
    <xf numFmtId="0" fontId="7" fillId="8" borderId="0" xfId="0" applyFont="1" applyFill="1" applyAlignment="1">
      <alignment horizontal="center"/>
    </xf>
    <xf numFmtId="165" fontId="7" fillId="8" borderId="0" xfId="0" applyNumberFormat="1" applyFont="1" applyFill="1" applyAlignment="1">
      <alignment horizontal="center"/>
    </xf>
    <xf numFmtId="165" fontId="7" fillId="8" borderId="1" xfId="0" applyNumberFormat="1" applyFont="1" applyFill="1" applyBorder="1" applyAlignment="1">
      <alignment horizontal="center"/>
    </xf>
    <xf numFmtId="165" fontId="7" fillId="8" borderId="2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 vertical="center" wrapText="1"/>
    </xf>
    <xf numFmtId="165" fontId="0" fillId="4" borderId="0" xfId="0" applyNumberFormat="1" applyFont="1" applyFill="1" applyBorder="1" applyAlignment="1">
      <alignment horizontal="center"/>
    </xf>
    <xf numFmtId="165" fontId="3" fillId="4" borderId="19" xfId="0" applyNumberFormat="1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5" fontId="0" fillId="3" borderId="3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/>
    <xf numFmtId="165" fontId="2" fillId="3" borderId="3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0" fillId="3" borderId="8" xfId="0" applyNumberFormat="1" applyFont="1" applyFill="1" applyBorder="1" applyAlignment="1">
      <alignment horizontal="center"/>
    </xf>
    <xf numFmtId="165" fontId="15" fillId="2" borderId="8" xfId="0" applyNumberFormat="1" applyFont="1" applyFill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/>
    </xf>
    <xf numFmtId="165" fontId="0" fillId="4" borderId="39" xfId="0" applyNumberFormat="1" applyFont="1" applyFill="1" applyBorder="1" applyAlignment="1">
      <alignment horizontal="center"/>
    </xf>
    <xf numFmtId="165" fontId="0" fillId="4" borderId="40" xfId="0" applyNumberFormat="1" applyFont="1" applyFill="1" applyBorder="1" applyAlignment="1">
      <alignment horizontal="center"/>
    </xf>
    <xf numFmtId="165" fontId="0" fillId="3" borderId="39" xfId="0" applyNumberFormat="1" applyFont="1" applyFill="1" applyBorder="1" applyAlignment="1">
      <alignment horizontal="center"/>
    </xf>
    <xf numFmtId="165" fontId="0" fillId="3" borderId="40" xfId="0" applyNumberFormat="1" applyFont="1" applyFill="1" applyBorder="1" applyAlignment="1">
      <alignment horizontal="center"/>
    </xf>
    <xf numFmtId="165" fontId="0" fillId="4" borderId="1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/>
    </xf>
    <xf numFmtId="165" fontId="26" fillId="3" borderId="39" xfId="0" applyNumberFormat="1" applyFont="1" applyFill="1" applyBorder="1" applyAlignment="1">
      <alignment horizontal="center"/>
    </xf>
    <xf numFmtId="165" fontId="0" fillId="4" borderId="36" xfId="0" applyNumberFormat="1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textRotation="90" wrapText="1"/>
    </xf>
    <xf numFmtId="0" fontId="31" fillId="3" borderId="13" xfId="0" applyNumberFormat="1" applyFont="1" applyFill="1" applyBorder="1" applyAlignment="1">
      <alignment horizontal="center" vertical="center" wrapText="1"/>
    </xf>
    <xf numFmtId="0" fontId="31" fillId="3" borderId="3" xfId="0" applyNumberFormat="1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165" fontId="3" fillId="3" borderId="19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 vertical="center"/>
    </xf>
    <xf numFmtId="165" fontId="2" fillId="3" borderId="19" xfId="0" applyNumberFormat="1" applyFont="1" applyFill="1" applyBorder="1" applyAlignment="1">
      <alignment horizontal="center"/>
    </xf>
    <xf numFmtId="165" fontId="13" fillId="3" borderId="0" xfId="0" applyNumberFormat="1" applyFont="1" applyFill="1" applyBorder="1" applyAlignment="1">
      <alignment horizontal="center"/>
    </xf>
    <xf numFmtId="165" fontId="8" fillId="3" borderId="19" xfId="0" applyNumberFormat="1" applyFont="1" applyFill="1" applyBorder="1" applyAlignment="1">
      <alignment horizontal="center"/>
    </xf>
    <xf numFmtId="165" fontId="13" fillId="3" borderId="0" xfId="0" applyNumberFormat="1" applyFont="1" applyFill="1" applyAlignment="1">
      <alignment horizontal="center"/>
    </xf>
    <xf numFmtId="165" fontId="8" fillId="3" borderId="3" xfId="0" applyNumberFormat="1" applyFont="1" applyFill="1" applyBorder="1" applyAlignment="1">
      <alignment horizontal="center" vertical="center"/>
    </xf>
    <xf numFmtId="165" fontId="8" fillId="3" borderId="19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165" fontId="30" fillId="8" borderId="15" xfId="0" applyNumberFormat="1" applyFont="1" applyFill="1" applyBorder="1" applyAlignment="1">
      <alignment horizontal="center" vertical="center" wrapText="1"/>
    </xf>
    <xf numFmtId="165" fontId="7" fillId="8" borderId="15" xfId="0" applyNumberFormat="1" applyFont="1" applyFill="1" applyBorder="1" applyAlignment="1">
      <alignment horizontal="center" vertical="center" wrapText="1"/>
    </xf>
    <xf numFmtId="165" fontId="7" fillId="8" borderId="16" xfId="0" applyNumberFormat="1" applyFont="1" applyFill="1" applyBorder="1" applyAlignment="1">
      <alignment horizontal="center" vertical="center" wrapText="1"/>
    </xf>
    <xf numFmtId="165" fontId="7" fillId="8" borderId="3" xfId="0" applyNumberFormat="1" applyFont="1" applyFill="1" applyBorder="1" applyAlignment="1">
      <alignment horizontal="center" vertical="center" wrapText="1"/>
    </xf>
    <xf numFmtId="165" fontId="12" fillId="8" borderId="0" xfId="0" applyNumberFormat="1" applyFont="1" applyFill="1" applyBorder="1" applyAlignment="1">
      <alignment horizontal="center"/>
    </xf>
    <xf numFmtId="165" fontId="30" fillId="8" borderId="20" xfId="0" applyNumberFormat="1" applyFont="1" applyFill="1" applyBorder="1" applyAlignment="1">
      <alignment horizontal="center" vertical="center" wrapText="1"/>
    </xf>
    <xf numFmtId="165" fontId="12" fillId="8" borderId="0" xfId="0" applyNumberFormat="1" applyFont="1" applyFill="1" applyAlignment="1">
      <alignment horizontal="center"/>
    </xf>
    <xf numFmtId="165" fontId="2" fillId="3" borderId="22" xfId="0" applyNumberFormat="1" applyFont="1" applyFill="1" applyBorder="1" applyAlignment="1">
      <alignment horizontal="center" vertical="center" wrapText="1"/>
    </xf>
    <xf numFmtId="165" fontId="2" fillId="3" borderId="23" xfId="0" applyNumberFormat="1" applyFont="1" applyFill="1" applyBorder="1" applyAlignment="1">
      <alignment horizontal="center" vertical="center" wrapText="1"/>
    </xf>
    <xf numFmtId="165" fontId="7" fillId="8" borderId="1" xfId="0" applyNumberFormat="1" applyFont="1" applyFill="1" applyBorder="1" applyAlignment="1">
      <alignment horizontal="center" vertical="center" wrapText="1"/>
    </xf>
    <xf numFmtId="165" fontId="7" fillId="8" borderId="39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 vertical="center"/>
    </xf>
    <xf numFmtId="165" fontId="0" fillId="3" borderId="7" xfId="0" applyNumberFormat="1" applyFont="1" applyFill="1" applyBorder="1" applyAlignment="1">
      <alignment horizontal="center"/>
    </xf>
    <xf numFmtId="165" fontId="0" fillId="3" borderId="17" xfId="0" applyNumberFormat="1" applyFont="1" applyFill="1" applyBorder="1" applyAlignment="1">
      <alignment horizontal="center"/>
    </xf>
    <xf numFmtId="165" fontId="5" fillId="2" borderId="8" xfId="0" applyNumberFormat="1" applyFont="1" applyFill="1" applyBorder="1" applyAlignment="1">
      <alignment horizontal="center"/>
    </xf>
    <xf numFmtId="165" fontId="17" fillId="0" borderId="0" xfId="0" applyNumberFormat="1" applyFont="1" applyAlignment="1">
      <alignment vertical="center" wrapText="1"/>
    </xf>
    <xf numFmtId="165" fontId="5" fillId="2" borderId="1" xfId="0" applyNumberFormat="1" applyFont="1" applyFill="1" applyBorder="1" applyAlignment="1">
      <alignment horizontal="center"/>
    </xf>
    <xf numFmtId="165" fontId="17" fillId="0" borderId="0" xfId="0" applyNumberFormat="1" applyFont="1" applyAlignment="1">
      <alignment horizontal="center" vertical="center" wrapText="1"/>
    </xf>
    <xf numFmtId="165" fontId="3" fillId="5" borderId="1" xfId="2" applyNumberFormat="1" applyFont="1" applyFill="1" applyBorder="1" applyAlignment="1">
      <alignment horizontal="center"/>
    </xf>
    <xf numFmtId="165" fontId="0" fillId="2" borderId="0" xfId="2" applyNumberFormat="1" applyFont="1" applyFill="1" applyAlignment="1">
      <alignment horizontal="center"/>
    </xf>
    <xf numFmtId="165" fontId="5" fillId="3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Alignment="1">
      <alignment horizontal="center" vertical="center"/>
    </xf>
    <xf numFmtId="165" fontId="5" fillId="3" borderId="17" xfId="0" applyNumberFormat="1" applyFont="1" applyFill="1" applyBorder="1" applyAlignment="1">
      <alignment horizontal="center" vertical="center"/>
    </xf>
    <xf numFmtId="165" fontId="5" fillId="3" borderId="39" xfId="0" applyNumberFormat="1" applyFont="1" applyFill="1" applyBorder="1" applyAlignment="1">
      <alignment horizontal="center" vertical="center"/>
    </xf>
    <xf numFmtId="165" fontId="5" fillId="3" borderId="40" xfId="0" applyNumberFormat="1" applyFont="1" applyFill="1" applyBorder="1" applyAlignment="1">
      <alignment horizontal="center" vertical="center"/>
    </xf>
    <xf numFmtId="165" fontId="2" fillId="3" borderId="7" xfId="0" applyNumberFormat="1" applyFont="1" applyFill="1" applyBorder="1" applyAlignment="1">
      <alignment horizontal="left" vertical="center" wrapText="1"/>
    </xf>
    <xf numFmtId="0" fontId="23" fillId="3" borderId="40" xfId="0" applyFont="1" applyFill="1" applyBorder="1" applyAlignment="1">
      <alignment horizontal="left" vertical="center" wrapText="1"/>
    </xf>
    <xf numFmtId="165" fontId="2" fillId="3" borderId="8" xfId="0" applyNumberFormat="1" applyFont="1" applyFill="1" applyBorder="1" applyAlignment="1">
      <alignment horizontal="left" vertical="center" wrapText="1"/>
    </xf>
    <xf numFmtId="165" fontId="3" fillId="3" borderId="2" xfId="0" applyNumberFormat="1" applyFont="1" applyFill="1" applyBorder="1" applyAlignment="1">
      <alignment horizontal="center" vertical="center"/>
    </xf>
    <xf numFmtId="165" fontId="3" fillId="4" borderId="24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8" fontId="3" fillId="4" borderId="1" xfId="0" applyNumberFormat="1" applyFont="1" applyFill="1" applyBorder="1" applyAlignment="1">
      <alignment horizontal="center" vertical="center" wrapText="1"/>
    </xf>
    <xf numFmtId="168" fontId="2" fillId="3" borderId="3" xfId="0" applyNumberFormat="1" applyFont="1" applyFill="1" applyBorder="1" applyAlignment="1">
      <alignment horizontal="center" vertical="center" wrapText="1"/>
    </xf>
    <xf numFmtId="168" fontId="2" fillId="3" borderId="3" xfId="0" applyNumberFormat="1" applyFont="1" applyFill="1" applyBorder="1" applyAlignment="1">
      <alignment horizontal="center" vertical="center"/>
    </xf>
    <xf numFmtId="168" fontId="3" fillId="3" borderId="3" xfId="0" applyNumberFormat="1" applyFont="1" applyFill="1" applyBorder="1" applyAlignment="1">
      <alignment horizontal="center" vertical="center"/>
    </xf>
    <xf numFmtId="168" fontId="8" fillId="3" borderId="3" xfId="0" applyNumberFormat="1" applyFont="1" applyFill="1" applyBorder="1" applyAlignment="1">
      <alignment horizontal="center" vertical="center"/>
    </xf>
    <xf numFmtId="168" fontId="8" fillId="3" borderId="3" xfId="0" applyNumberFormat="1" applyFont="1" applyFill="1" applyBorder="1" applyAlignment="1">
      <alignment horizontal="center" vertical="center" wrapText="1"/>
    </xf>
    <xf numFmtId="168" fontId="0" fillId="3" borderId="1" xfId="0" applyNumberFormat="1" applyFont="1" applyFill="1" applyBorder="1" applyAlignment="1">
      <alignment horizontal="center" vertical="center"/>
    </xf>
    <xf numFmtId="168" fontId="2" fillId="3" borderId="1" xfId="0" applyNumberFormat="1" applyFont="1" applyFill="1" applyBorder="1" applyAlignment="1">
      <alignment horizontal="center" vertical="center" wrapText="1"/>
    </xf>
    <xf numFmtId="168" fontId="2" fillId="3" borderId="1" xfId="0" applyNumberFormat="1" applyFont="1" applyFill="1" applyBorder="1" applyAlignment="1">
      <alignment horizontal="center" vertical="center"/>
    </xf>
    <xf numFmtId="169" fontId="3" fillId="4" borderId="1" xfId="0" applyNumberFormat="1" applyFont="1" applyFill="1" applyBorder="1" applyAlignment="1">
      <alignment horizontal="center" vertical="center" wrapText="1"/>
    </xf>
    <xf numFmtId="165" fontId="6" fillId="9" borderId="0" xfId="0" applyNumberFormat="1" applyFont="1" applyFill="1" applyBorder="1" applyAlignment="1">
      <alignment horizontal="center" vertical="center" wrapText="1"/>
    </xf>
    <xf numFmtId="165" fontId="7" fillId="9" borderId="1" xfId="0" applyNumberFormat="1" applyFont="1" applyFill="1" applyBorder="1" applyAlignment="1">
      <alignment horizontal="center"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165" fontId="2" fillId="9" borderId="8" xfId="0" applyNumberFormat="1" applyFont="1" applyFill="1" applyBorder="1" applyAlignment="1">
      <alignment horizontal="center" vertical="center" wrapText="1"/>
    </xf>
    <xf numFmtId="165" fontId="3" fillId="9" borderId="1" xfId="0" applyNumberFormat="1" applyFont="1" applyFill="1" applyBorder="1" applyAlignment="1">
      <alignment horizontal="center" vertical="center" wrapText="1"/>
    </xf>
    <xf numFmtId="165" fontId="2" fillId="9" borderId="3" xfId="0" applyNumberFormat="1" applyFont="1" applyFill="1" applyBorder="1" applyAlignment="1">
      <alignment horizontal="center" vertical="center" wrapText="1"/>
    </xf>
    <xf numFmtId="169" fontId="2" fillId="9" borderId="3" xfId="0" applyNumberFormat="1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/>
    </xf>
    <xf numFmtId="165" fontId="2" fillId="9" borderId="3" xfId="0" applyNumberFormat="1" applyFont="1" applyFill="1" applyBorder="1" applyAlignment="1">
      <alignment horizontal="center"/>
    </xf>
    <xf numFmtId="169" fontId="2" fillId="9" borderId="3" xfId="0" applyNumberFormat="1" applyFont="1" applyFill="1" applyBorder="1" applyAlignment="1">
      <alignment horizontal="center" vertical="center"/>
    </xf>
    <xf numFmtId="165" fontId="8" fillId="9" borderId="3" xfId="0" applyNumberFormat="1" applyFont="1" applyFill="1" applyBorder="1" applyAlignment="1">
      <alignment horizontal="center"/>
    </xf>
    <xf numFmtId="169" fontId="8" fillId="9" borderId="3" xfId="0" applyNumberFormat="1" applyFont="1" applyFill="1" applyBorder="1" applyAlignment="1">
      <alignment horizontal="center" vertical="center"/>
    </xf>
    <xf numFmtId="165" fontId="2" fillId="9" borderId="1" xfId="0" applyNumberFormat="1" applyFont="1" applyFill="1" applyBorder="1" applyAlignment="1">
      <alignment horizontal="center"/>
    </xf>
    <xf numFmtId="169" fontId="8" fillId="9" borderId="3" xfId="0" applyNumberFormat="1" applyFont="1" applyFill="1" applyBorder="1" applyAlignment="1">
      <alignment horizontal="center" vertical="center" wrapText="1"/>
    </xf>
    <xf numFmtId="165" fontId="8" fillId="9" borderId="3" xfId="0" applyNumberFormat="1" applyFont="1" applyFill="1" applyBorder="1" applyAlignment="1">
      <alignment horizontal="center" vertical="center" wrapText="1"/>
    </xf>
    <xf numFmtId="169" fontId="0" fillId="9" borderId="1" xfId="0" applyNumberFormat="1" applyFont="1" applyFill="1" applyBorder="1" applyAlignment="1">
      <alignment horizontal="center" vertical="center"/>
    </xf>
    <xf numFmtId="169" fontId="2" fillId="9" borderId="1" xfId="0" applyNumberFormat="1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 wrapText="1"/>
    </xf>
    <xf numFmtId="169" fontId="2" fillId="9" borderId="1" xfId="0" applyNumberFormat="1" applyFont="1" applyFill="1" applyBorder="1" applyAlignment="1">
      <alignment horizontal="center" vertical="center"/>
    </xf>
    <xf numFmtId="165" fontId="30" fillId="9" borderId="1" xfId="0" applyNumberFormat="1" applyFont="1" applyFill="1" applyBorder="1" applyAlignment="1">
      <alignment horizontal="center" vertical="center" wrapText="1"/>
    </xf>
    <xf numFmtId="165" fontId="3" fillId="9" borderId="1" xfId="0" applyNumberFormat="1" applyFont="1" applyFill="1" applyBorder="1" applyAlignment="1">
      <alignment horizontal="center"/>
    </xf>
    <xf numFmtId="165" fontId="7" fillId="9" borderId="1" xfId="0" applyNumberFormat="1" applyFont="1" applyFill="1" applyBorder="1" applyAlignment="1">
      <alignment horizontal="center"/>
    </xf>
    <xf numFmtId="165" fontId="3" fillId="9" borderId="2" xfId="0" applyNumberFormat="1" applyFont="1" applyFill="1" applyBorder="1" applyAlignment="1">
      <alignment horizontal="center"/>
    </xf>
    <xf numFmtId="165" fontId="3" fillId="9" borderId="1" xfId="0" applyNumberFormat="1" applyFont="1" applyFill="1" applyBorder="1" applyAlignment="1">
      <alignment horizontal="center" vertical="center"/>
    </xf>
    <xf numFmtId="165" fontId="3" fillId="9" borderId="2" xfId="0" applyNumberFormat="1" applyFont="1" applyFill="1" applyBorder="1" applyAlignment="1">
      <alignment horizontal="center" vertical="center"/>
    </xf>
    <xf numFmtId="165" fontId="3" fillId="9" borderId="2" xfId="0" applyNumberFormat="1" applyFont="1" applyFill="1" applyBorder="1" applyAlignment="1">
      <alignment horizontal="center" vertical="center" wrapText="1"/>
    </xf>
    <xf numFmtId="165" fontId="2" fillId="9" borderId="14" xfId="0" applyNumberFormat="1" applyFont="1" applyFill="1" applyBorder="1" applyAlignment="1">
      <alignment horizontal="center" vertical="center" wrapText="1"/>
    </xf>
    <xf numFmtId="165" fontId="2" fillId="9" borderId="7" xfId="0" applyNumberFormat="1" applyFont="1" applyFill="1" applyBorder="1" applyAlignment="1">
      <alignment horizontal="center" vertical="center" wrapText="1"/>
    </xf>
    <xf numFmtId="165" fontId="2" fillId="9" borderId="9" xfId="0" applyNumberFormat="1" applyFont="1" applyFill="1" applyBorder="1" applyAlignment="1">
      <alignment horizontal="center" vertical="center" wrapText="1"/>
    </xf>
    <xf numFmtId="165" fontId="3" fillId="9" borderId="0" xfId="0" applyNumberFormat="1" applyFont="1" applyFill="1" applyBorder="1" applyAlignment="1">
      <alignment horizontal="center" vertical="center" wrapText="1"/>
    </xf>
    <xf numFmtId="165" fontId="5" fillId="9" borderId="1" xfId="0" applyNumberFormat="1" applyFont="1" applyFill="1" applyBorder="1" applyAlignment="1">
      <alignment horizontal="center"/>
    </xf>
    <xf numFmtId="165" fontId="3" fillId="9" borderId="8" xfId="0" applyNumberFormat="1" applyFont="1" applyFill="1" applyBorder="1" applyAlignment="1">
      <alignment horizontal="center" vertical="center" wrapText="1"/>
    </xf>
    <xf numFmtId="165" fontId="5" fillId="9" borderId="8" xfId="0" applyNumberFormat="1" applyFont="1" applyFill="1" applyBorder="1" applyAlignment="1">
      <alignment horizontal="center"/>
    </xf>
    <xf numFmtId="165" fontId="3" fillId="9" borderId="11" xfId="0" applyNumberFormat="1" applyFont="1" applyFill="1" applyBorder="1" applyAlignment="1">
      <alignment horizontal="center" vertical="center" wrapText="1"/>
    </xf>
    <xf numFmtId="165" fontId="2" fillId="9" borderId="2" xfId="0" applyNumberFormat="1" applyFont="1" applyFill="1" applyBorder="1" applyAlignment="1">
      <alignment horizontal="center" vertical="center" wrapText="1"/>
    </xf>
    <xf numFmtId="165" fontId="5" fillId="9" borderId="2" xfId="0" applyNumberFormat="1" applyFont="1" applyFill="1" applyBorder="1" applyAlignment="1">
      <alignment horizontal="center"/>
    </xf>
    <xf numFmtId="165" fontId="2" fillId="9" borderId="13" xfId="0" applyNumberFormat="1" applyFont="1" applyFill="1" applyBorder="1" applyAlignment="1">
      <alignment horizontal="center" vertical="center" wrapText="1"/>
    </xf>
    <xf numFmtId="165" fontId="2" fillId="9" borderId="11" xfId="0" applyNumberFormat="1" applyFont="1" applyFill="1" applyBorder="1" applyAlignment="1">
      <alignment horizontal="center" vertical="center" wrapText="1"/>
    </xf>
    <xf numFmtId="165" fontId="2" fillId="9" borderId="0" xfId="0" applyNumberFormat="1" applyFont="1" applyFill="1" applyBorder="1" applyAlignment="1">
      <alignment horizontal="center" vertical="center" wrapText="1"/>
    </xf>
    <xf numFmtId="165" fontId="2" fillId="9" borderId="6" xfId="0" applyNumberFormat="1" applyFont="1" applyFill="1" applyBorder="1" applyAlignment="1">
      <alignment horizontal="center" vertical="center" wrapText="1"/>
    </xf>
    <xf numFmtId="165" fontId="0" fillId="9" borderId="1" xfId="0" applyNumberFormat="1" applyFont="1" applyFill="1" applyBorder="1" applyAlignment="1">
      <alignment horizontal="center"/>
    </xf>
    <xf numFmtId="165" fontId="0" fillId="9" borderId="0" xfId="0" applyNumberFormat="1" applyFont="1" applyFill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165" fontId="6" fillId="10" borderId="0" xfId="0" applyNumberFormat="1" applyFont="1" applyFill="1" applyBorder="1" applyAlignment="1">
      <alignment horizontal="center" vertical="center" wrapText="1"/>
    </xf>
    <xf numFmtId="165" fontId="2" fillId="10" borderId="8" xfId="0" applyNumberFormat="1" applyFont="1" applyFill="1" applyBorder="1" applyAlignment="1">
      <alignment horizontal="center" vertical="center" wrapText="1"/>
    </xf>
    <xf numFmtId="165" fontId="7" fillId="10" borderId="1" xfId="0" applyNumberFormat="1" applyFont="1" applyFill="1" applyBorder="1" applyAlignment="1">
      <alignment horizontal="center" vertical="center" wrapText="1"/>
    </xf>
    <xf numFmtId="164" fontId="7" fillId="10" borderId="1" xfId="0" applyNumberFormat="1" applyFont="1" applyFill="1" applyBorder="1" applyAlignment="1">
      <alignment horizontal="center" vertical="center" wrapText="1"/>
    </xf>
    <xf numFmtId="165" fontId="3" fillId="10" borderId="1" xfId="0" applyNumberFormat="1" applyFont="1" applyFill="1" applyBorder="1" applyAlignment="1">
      <alignment horizontal="center" vertical="center" wrapText="1"/>
    </xf>
    <xf numFmtId="165" fontId="2" fillId="10" borderId="3" xfId="0" applyNumberFormat="1" applyFont="1" applyFill="1" applyBorder="1" applyAlignment="1">
      <alignment horizontal="center" vertical="center" wrapText="1"/>
    </xf>
    <xf numFmtId="165" fontId="2" fillId="10" borderId="1" xfId="0" applyNumberFormat="1" applyFont="1" applyFill="1" applyBorder="1" applyAlignment="1">
      <alignment horizontal="center" vertical="center"/>
    </xf>
    <xf numFmtId="165" fontId="2" fillId="10" borderId="3" xfId="0" applyNumberFormat="1" applyFont="1" applyFill="1" applyBorder="1" applyAlignment="1">
      <alignment horizontal="center"/>
    </xf>
    <xf numFmtId="165" fontId="3" fillId="10" borderId="3" xfId="0" applyNumberFormat="1" applyFont="1" applyFill="1" applyBorder="1" applyAlignment="1">
      <alignment horizontal="center"/>
    </xf>
    <xf numFmtId="165" fontId="8" fillId="10" borderId="3" xfId="0" applyNumberFormat="1" applyFont="1" applyFill="1" applyBorder="1" applyAlignment="1">
      <alignment horizontal="center"/>
    </xf>
    <xf numFmtId="165" fontId="2" fillId="10" borderId="1" xfId="0" applyNumberFormat="1" applyFont="1" applyFill="1" applyBorder="1" applyAlignment="1">
      <alignment horizontal="center"/>
    </xf>
    <xf numFmtId="165" fontId="8" fillId="10" borderId="3" xfId="0" applyNumberFormat="1" applyFont="1" applyFill="1" applyBorder="1" applyAlignment="1">
      <alignment horizontal="center" vertical="center" wrapText="1"/>
    </xf>
    <xf numFmtId="165" fontId="2" fillId="10" borderId="1" xfId="0" applyNumberFormat="1" applyFont="1" applyFill="1" applyBorder="1" applyAlignment="1">
      <alignment horizontal="center" vertical="center" wrapText="1"/>
    </xf>
    <xf numFmtId="165" fontId="30" fillId="10" borderId="1" xfId="0" applyNumberFormat="1" applyFont="1" applyFill="1" applyBorder="1" applyAlignment="1">
      <alignment horizontal="center" vertical="center" wrapText="1"/>
    </xf>
    <xf numFmtId="165" fontId="3" fillId="10" borderId="1" xfId="0" applyNumberFormat="1" applyFont="1" applyFill="1" applyBorder="1" applyAlignment="1">
      <alignment horizontal="center"/>
    </xf>
    <xf numFmtId="165" fontId="7" fillId="10" borderId="1" xfId="0" applyNumberFormat="1" applyFont="1" applyFill="1" applyBorder="1" applyAlignment="1">
      <alignment horizontal="center"/>
    </xf>
    <xf numFmtId="165" fontId="3" fillId="10" borderId="2" xfId="0" applyNumberFormat="1" applyFont="1" applyFill="1" applyBorder="1" applyAlignment="1">
      <alignment horizontal="center"/>
    </xf>
    <xf numFmtId="165" fontId="3" fillId="10" borderId="1" xfId="0" applyNumberFormat="1" applyFont="1" applyFill="1" applyBorder="1" applyAlignment="1">
      <alignment horizontal="center" vertical="center"/>
    </xf>
    <xf numFmtId="165" fontId="3" fillId="10" borderId="2" xfId="0" applyNumberFormat="1" applyFont="1" applyFill="1" applyBorder="1" applyAlignment="1">
      <alignment horizontal="center" vertical="center"/>
    </xf>
    <xf numFmtId="165" fontId="3" fillId="10" borderId="2" xfId="0" applyNumberFormat="1" applyFont="1" applyFill="1" applyBorder="1" applyAlignment="1">
      <alignment horizontal="center" vertical="center" wrapText="1"/>
    </xf>
    <xf numFmtId="165" fontId="2" fillId="10" borderId="14" xfId="0" applyNumberFormat="1" applyFont="1" applyFill="1" applyBorder="1" applyAlignment="1">
      <alignment horizontal="center" vertical="center" wrapText="1"/>
    </xf>
    <xf numFmtId="165" fontId="2" fillId="10" borderId="7" xfId="0" applyNumberFormat="1" applyFont="1" applyFill="1" applyBorder="1" applyAlignment="1">
      <alignment horizontal="center" vertical="center" wrapText="1"/>
    </xf>
    <xf numFmtId="165" fontId="2" fillId="10" borderId="9" xfId="0" applyNumberFormat="1" applyFont="1" applyFill="1" applyBorder="1" applyAlignment="1">
      <alignment horizontal="center" vertical="center" wrapText="1"/>
    </xf>
    <xf numFmtId="165" fontId="3" fillId="10" borderId="0" xfId="0" applyNumberFormat="1" applyFont="1" applyFill="1" applyBorder="1" applyAlignment="1">
      <alignment horizontal="center" vertical="center" wrapText="1"/>
    </xf>
    <xf numFmtId="165" fontId="3" fillId="10" borderId="8" xfId="0" applyNumberFormat="1" applyFont="1" applyFill="1" applyBorder="1" applyAlignment="1">
      <alignment horizontal="center" vertical="center" wrapText="1"/>
    </xf>
    <xf numFmtId="165" fontId="5" fillId="10" borderId="8" xfId="0" applyNumberFormat="1" applyFont="1" applyFill="1" applyBorder="1" applyAlignment="1">
      <alignment horizontal="center"/>
    </xf>
    <xf numFmtId="165" fontId="3" fillId="10" borderId="11" xfId="0" applyNumberFormat="1" applyFont="1" applyFill="1" applyBorder="1" applyAlignment="1">
      <alignment horizontal="center" vertical="center" wrapText="1"/>
    </xf>
    <xf numFmtId="165" fontId="5" fillId="10" borderId="1" xfId="0" applyNumberFormat="1" applyFont="1" applyFill="1" applyBorder="1" applyAlignment="1">
      <alignment horizontal="center"/>
    </xf>
    <xf numFmtId="165" fontId="2" fillId="10" borderId="2" xfId="0" applyNumberFormat="1" applyFont="1" applyFill="1" applyBorder="1" applyAlignment="1">
      <alignment horizontal="center" vertical="center" wrapText="1"/>
    </xf>
    <xf numFmtId="165" fontId="5" fillId="10" borderId="2" xfId="0" applyNumberFormat="1" applyFont="1" applyFill="1" applyBorder="1" applyAlignment="1">
      <alignment horizontal="center"/>
    </xf>
    <xf numFmtId="165" fontId="2" fillId="10" borderId="13" xfId="0" applyNumberFormat="1" applyFont="1" applyFill="1" applyBorder="1" applyAlignment="1">
      <alignment horizontal="center" vertical="center" wrapText="1"/>
    </xf>
    <xf numFmtId="165" fontId="2" fillId="10" borderId="11" xfId="0" applyNumberFormat="1" applyFont="1" applyFill="1" applyBorder="1" applyAlignment="1">
      <alignment horizontal="center" vertical="center" wrapText="1"/>
    </xf>
    <xf numFmtId="165" fontId="2" fillId="10" borderId="0" xfId="0" applyNumberFormat="1" applyFont="1" applyFill="1" applyBorder="1" applyAlignment="1">
      <alignment horizontal="center" vertical="center" wrapText="1"/>
    </xf>
    <xf numFmtId="165" fontId="2" fillId="10" borderId="6" xfId="0" applyNumberFormat="1" applyFont="1" applyFill="1" applyBorder="1" applyAlignment="1">
      <alignment horizontal="center" vertical="center" wrapText="1"/>
    </xf>
    <xf numFmtId="165" fontId="0" fillId="10" borderId="0" xfId="0" applyNumberFormat="1" applyFont="1" applyFill="1" applyAlignment="1">
      <alignment horizontal="center"/>
    </xf>
    <xf numFmtId="0" fontId="0" fillId="10" borderId="1" xfId="0" applyFont="1" applyFill="1" applyBorder="1" applyAlignment="1">
      <alignment horizontal="center" vertical="center" wrapText="1"/>
    </xf>
    <xf numFmtId="165" fontId="0" fillId="10" borderId="1" xfId="0" applyNumberFormat="1" applyFont="1" applyFill="1" applyBorder="1" applyAlignment="1">
      <alignment horizontal="center"/>
    </xf>
    <xf numFmtId="0" fontId="2" fillId="9" borderId="3" xfId="0" applyNumberFormat="1" applyFont="1" applyFill="1" applyBorder="1" applyAlignment="1">
      <alignment horizontal="center" vertical="center" wrapText="1"/>
    </xf>
    <xf numFmtId="165" fontId="2" fillId="10" borderId="3" xfId="0" applyNumberFormat="1" applyFont="1" applyFill="1" applyBorder="1" applyAlignment="1">
      <alignment horizontal="center" vertical="center"/>
    </xf>
    <xf numFmtId="165" fontId="8" fillId="10" borderId="3" xfId="0" applyNumberFormat="1" applyFont="1" applyFill="1" applyBorder="1" applyAlignment="1">
      <alignment horizontal="center" vertical="center"/>
    </xf>
    <xf numFmtId="10" fontId="2" fillId="10" borderId="3" xfId="0" applyNumberFormat="1" applyFont="1" applyFill="1" applyBorder="1" applyAlignment="1">
      <alignment horizontal="center" vertical="center" wrapText="1"/>
    </xf>
    <xf numFmtId="10" fontId="7" fillId="10" borderId="1" xfId="0" applyNumberFormat="1" applyFont="1" applyFill="1" applyBorder="1" applyAlignment="1">
      <alignment horizontal="center" vertical="center" wrapText="1"/>
    </xf>
    <xf numFmtId="10" fontId="3" fillId="4" borderId="1" xfId="0" applyNumberFormat="1" applyFont="1" applyFill="1" applyBorder="1" applyAlignment="1">
      <alignment horizontal="center" vertical="center" wrapText="1"/>
    </xf>
    <xf numFmtId="10" fontId="2" fillId="10" borderId="3" xfId="0" applyNumberFormat="1" applyFont="1" applyFill="1" applyBorder="1" applyAlignment="1">
      <alignment horizontal="center" vertical="center"/>
    </xf>
    <xf numFmtId="10" fontId="8" fillId="10" borderId="3" xfId="0" applyNumberFormat="1" applyFont="1" applyFill="1" applyBorder="1" applyAlignment="1">
      <alignment horizontal="center" vertical="center"/>
    </xf>
    <xf numFmtId="10" fontId="8" fillId="10" borderId="3" xfId="0" applyNumberFormat="1" applyFont="1" applyFill="1" applyBorder="1" applyAlignment="1">
      <alignment horizontal="center" vertical="center" wrapText="1"/>
    </xf>
    <xf numFmtId="10" fontId="2" fillId="10" borderId="1" xfId="0" applyNumberFormat="1" applyFont="1" applyFill="1" applyBorder="1" applyAlignment="1">
      <alignment horizontal="center" vertical="center"/>
    </xf>
    <xf numFmtId="10" fontId="2" fillId="10" borderId="1" xfId="0" applyNumberFormat="1" applyFont="1" applyFill="1" applyBorder="1" applyAlignment="1">
      <alignment horizontal="center" vertical="center" wrapText="1"/>
    </xf>
    <xf numFmtId="10" fontId="2" fillId="9" borderId="3" xfId="0" applyNumberFormat="1" applyFont="1" applyFill="1" applyBorder="1" applyAlignment="1">
      <alignment horizontal="center" vertical="center" wrapText="1"/>
    </xf>
    <xf numFmtId="10" fontId="2" fillId="9" borderId="3" xfId="0" applyNumberFormat="1" applyFont="1" applyFill="1" applyBorder="1" applyAlignment="1">
      <alignment horizontal="center" vertical="center"/>
    </xf>
    <xf numFmtId="10" fontId="8" fillId="9" borderId="3" xfId="0" applyNumberFormat="1" applyFont="1" applyFill="1" applyBorder="1" applyAlignment="1">
      <alignment horizontal="center" vertical="center"/>
    </xf>
    <xf numFmtId="10" fontId="8" fillId="9" borderId="3" xfId="0" applyNumberFormat="1" applyFont="1" applyFill="1" applyBorder="1" applyAlignment="1">
      <alignment horizontal="center" vertical="center" wrapText="1"/>
    </xf>
    <xf numFmtId="10" fontId="0" fillId="9" borderId="1" xfId="0" applyNumberFormat="1" applyFont="1" applyFill="1" applyBorder="1" applyAlignment="1">
      <alignment horizontal="center" vertical="center"/>
    </xf>
    <xf numFmtId="10" fontId="2" fillId="9" borderId="1" xfId="0" applyNumberFormat="1" applyFont="1" applyFill="1" applyBorder="1" applyAlignment="1">
      <alignment horizontal="center" vertical="center" wrapText="1"/>
    </xf>
    <xf numFmtId="10" fontId="2" fillId="9" borderId="1" xfId="0" applyNumberFormat="1" applyFont="1" applyFill="1" applyBorder="1" applyAlignment="1">
      <alignment horizontal="center" vertical="center"/>
    </xf>
    <xf numFmtId="10" fontId="3" fillId="9" borderId="1" xfId="0" applyNumberFormat="1" applyFont="1" applyFill="1" applyBorder="1" applyAlignment="1">
      <alignment horizontal="center" vertical="center"/>
    </xf>
    <xf numFmtId="165" fontId="0" fillId="9" borderId="0" xfId="0" applyNumberFormat="1" applyFont="1" applyFill="1" applyBorder="1" applyAlignment="1">
      <alignment horizontal="center"/>
    </xf>
    <xf numFmtId="165" fontId="0" fillId="10" borderId="0" xfId="0" applyNumberFormat="1" applyFont="1" applyFill="1" applyBorder="1" applyAlignment="1">
      <alignment horizontal="center"/>
    </xf>
    <xf numFmtId="164" fontId="7" fillId="10" borderId="8" xfId="0" applyNumberFormat="1" applyFont="1" applyFill="1" applyBorder="1" applyAlignment="1">
      <alignment horizontal="center" vertical="center" wrapText="1"/>
    </xf>
    <xf numFmtId="164" fontId="7" fillId="9" borderId="8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left" vertical="center" wrapText="1"/>
    </xf>
    <xf numFmtId="166" fontId="2" fillId="3" borderId="3" xfId="0" applyNumberFormat="1" applyFont="1" applyFill="1" applyBorder="1" applyAlignment="1">
      <alignment horizontal="left" vertical="center" wrapText="1"/>
    </xf>
    <xf numFmtId="166" fontId="2" fillId="3" borderId="1" xfId="0" applyNumberFormat="1" applyFont="1" applyFill="1" applyBorder="1" applyAlignment="1">
      <alignment horizontal="left" vertical="center" wrapText="1"/>
    </xf>
    <xf numFmtId="166" fontId="2" fillId="4" borderId="3" xfId="0" applyNumberFormat="1" applyFont="1" applyFill="1" applyBorder="1" applyAlignment="1">
      <alignment horizontal="left" vertical="center" wrapText="1"/>
    </xf>
    <xf numFmtId="166" fontId="3" fillId="3" borderId="1" xfId="0" applyNumberFormat="1" applyFont="1" applyFill="1" applyBorder="1" applyAlignment="1">
      <alignment horizontal="left" vertical="center" wrapText="1"/>
    </xf>
    <xf numFmtId="0" fontId="2" fillId="3" borderId="3" xfId="0" applyNumberFormat="1" applyFont="1" applyFill="1" applyBorder="1" applyAlignment="1">
      <alignment horizontal="left" vertical="center" wrapText="1"/>
    </xf>
    <xf numFmtId="167" fontId="3" fillId="4" borderId="1" xfId="0" applyNumberFormat="1" applyFont="1" applyFill="1" applyBorder="1" applyAlignment="1">
      <alignment horizontal="left" vertical="center" wrapText="1"/>
    </xf>
    <xf numFmtId="167" fontId="3" fillId="3" borderId="1" xfId="0" applyNumberFormat="1" applyFont="1" applyFill="1" applyBorder="1" applyAlignment="1">
      <alignment horizontal="left" vertical="center" wrapText="1"/>
    </xf>
    <xf numFmtId="165" fontId="3" fillId="3" borderId="7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167" fontId="15" fillId="2" borderId="8" xfId="0" applyNumberFormat="1" applyFont="1" applyFill="1" applyBorder="1" applyAlignment="1">
      <alignment horizontal="left" vertical="center"/>
    </xf>
    <xf numFmtId="167" fontId="15" fillId="2" borderId="1" xfId="0" applyNumberFormat="1" applyFont="1" applyFill="1" applyBorder="1" applyAlignment="1">
      <alignment horizontal="left" vertical="center"/>
    </xf>
    <xf numFmtId="167" fontId="3" fillId="3" borderId="7" xfId="0" applyNumberFormat="1" applyFont="1" applyFill="1" applyBorder="1" applyAlignment="1">
      <alignment horizontal="left" vertical="center" wrapText="1"/>
    </xf>
    <xf numFmtId="167" fontId="2" fillId="3" borderId="2" xfId="0" applyNumberFormat="1" applyFont="1" applyFill="1" applyBorder="1" applyAlignment="1">
      <alignment horizontal="left" vertical="center" wrapText="1"/>
    </xf>
    <xf numFmtId="166" fontId="3" fillId="3" borderId="0" xfId="0" applyNumberFormat="1" applyFont="1" applyFill="1" applyBorder="1" applyAlignment="1">
      <alignment horizontal="left" vertical="center" wrapText="1"/>
    </xf>
    <xf numFmtId="165" fontId="15" fillId="2" borderId="0" xfId="0" applyNumberFormat="1" applyFont="1" applyFill="1" applyAlignment="1">
      <alignment horizontal="left" vertical="center"/>
    </xf>
    <xf numFmtId="165" fontId="15" fillId="2" borderId="6" xfId="0" applyNumberFormat="1" applyFont="1" applyFill="1" applyBorder="1" applyAlignment="1">
      <alignment horizontal="left" vertical="center"/>
    </xf>
    <xf numFmtId="166" fontId="2" fillId="0" borderId="3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/>
    </xf>
    <xf numFmtId="0" fontId="33" fillId="3" borderId="1" xfId="0" applyFont="1" applyFill="1" applyBorder="1" applyAlignment="1">
      <alignment horizontal="left" vertical="center" wrapText="1"/>
    </xf>
    <xf numFmtId="168" fontId="0" fillId="2" borderId="0" xfId="0" applyNumberFormat="1" applyFont="1" applyFill="1" applyAlignment="1">
      <alignment horizontal="center"/>
    </xf>
    <xf numFmtId="0" fontId="31" fillId="4" borderId="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left" vertical="center" wrapText="1"/>
    </xf>
    <xf numFmtId="165" fontId="2" fillId="9" borderId="3" xfId="0" applyNumberFormat="1" applyFont="1" applyFill="1" applyBorder="1" applyAlignment="1">
      <alignment horizontal="center" vertical="center"/>
    </xf>
    <xf numFmtId="165" fontId="8" fillId="9" borderId="3" xfId="0" applyNumberFormat="1" applyFont="1" applyFill="1" applyBorder="1" applyAlignment="1">
      <alignment horizontal="center" vertical="center"/>
    </xf>
    <xf numFmtId="165" fontId="0" fillId="9" borderId="1" xfId="0" applyNumberFormat="1" applyFont="1" applyFill="1" applyBorder="1" applyAlignment="1">
      <alignment horizontal="center" vertical="center"/>
    </xf>
    <xf numFmtId="10" fontId="0" fillId="3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0" fontId="34" fillId="3" borderId="7" xfId="0" applyFont="1" applyFill="1" applyBorder="1" applyAlignment="1">
      <alignment horizontal="center" vertical="center" wrapText="1"/>
    </xf>
    <xf numFmtId="0" fontId="34" fillId="3" borderId="17" xfId="0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/>
    </xf>
    <xf numFmtId="4" fontId="7" fillId="1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/>
    </xf>
    <xf numFmtId="4" fontId="7" fillId="7" borderId="1" xfId="0" applyNumberFormat="1" applyFont="1" applyFill="1" applyBorder="1" applyAlignment="1">
      <alignment horizontal="center" vertical="center" wrapText="1"/>
    </xf>
    <xf numFmtId="165" fontId="7" fillId="9" borderId="2" xfId="0" applyNumberFormat="1" applyFont="1" applyFill="1" applyBorder="1" applyAlignment="1">
      <alignment horizontal="center" vertical="center" wrapText="1"/>
    </xf>
    <xf numFmtId="165" fontId="2" fillId="9" borderId="6" xfId="0" applyNumberFormat="1" applyFont="1" applyFill="1" applyBorder="1" applyAlignment="1">
      <alignment horizontal="center" vertical="center"/>
    </xf>
    <xf numFmtId="165" fontId="8" fillId="9" borderId="6" xfId="0" applyNumberFormat="1" applyFont="1" applyFill="1" applyBorder="1" applyAlignment="1">
      <alignment horizontal="center" vertical="center"/>
    </xf>
    <xf numFmtId="165" fontId="8" fillId="9" borderId="6" xfId="0" applyNumberFormat="1" applyFont="1" applyFill="1" applyBorder="1" applyAlignment="1">
      <alignment horizontal="center" vertical="center" wrapText="1"/>
    </xf>
    <xf numFmtId="165" fontId="0" fillId="9" borderId="2" xfId="0" applyNumberFormat="1" applyFont="1" applyFill="1" applyBorder="1" applyAlignment="1">
      <alignment horizontal="center" vertical="center"/>
    </xf>
    <xf numFmtId="165" fontId="2" fillId="9" borderId="2" xfId="0" applyNumberFormat="1" applyFont="1" applyFill="1" applyBorder="1" applyAlignment="1">
      <alignment horizontal="center" vertical="center"/>
    </xf>
    <xf numFmtId="165" fontId="30" fillId="9" borderId="2" xfId="0" applyNumberFormat="1" applyFont="1" applyFill="1" applyBorder="1" applyAlignment="1">
      <alignment horizontal="center" vertical="center" wrapText="1"/>
    </xf>
    <xf numFmtId="165" fontId="7" fillId="9" borderId="2" xfId="0" applyNumberFormat="1" applyFont="1" applyFill="1" applyBorder="1" applyAlignment="1">
      <alignment horizontal="center"/>
    </xf>
    <xf numFmtId="165" fontId="0" fillId="9" borderId="2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8" fontId="2" fillId="2" borderId="1" xfId="0" applyNumberFormat="1" applyFont="1" applyFill="1" applyBorder="1" applyAlignment="1">
      <alignment horizontal="center" vertical="center"/>
    </xf>
    <xf numFmtId="168" fontId="2" fillId="4" borderId="1" xfId="0" applyNumberFormat="1" applyFont="1" applyFill="1" applyBorder="1" applyAlignment="1">
      <alignment horizontal="center" vertical="center"/>
    </xf>
    <xf numFmtId="168" fontId="8" fillId="3" borderId="1" xfId="0" applyNumberFormat="1" applyFont="1" applyFill="1" applyBorder="1" applyAlignment="1">
      <alignment horizontal="center" vertical="center"/>
    </xf>
    <xf numFmtId="168" fontId="2" fillId="8" borderId="1" xfId="0" applyNumberFormat="1" applyFont="1" applyFill="1" applyBorder="1" applyAlignment="1">
      <alignment horizontal="center" vertical="center"/>
    </xf>
    <xf numFmtId="168" fontId="30" fillId="8" borderId="15" xfId="0" applyNumberFormat="1" applyFont="1" applyFill="1" applyBorder="1" applyAlignment="1">
      <alignment horizontal="center" vertical="center" wrapText="1"/>
    </xf>
    <xf numFmtId="168" fontId="0" fillId="3" borderId="0" xfId="0" applyNumberFormat="1" applyFont="1" applyFill="1" applyAlignment="1">
      <alignment horizontal="center"/>
    </xf>
    <xf numFmtId="168" fontId="5" fillId="3" borderId="0" xfId="0" applyNumberFormat="1" applyFont="1" applyFill="1" applyAlignment="1">
      <alignment horizontal="center"/>
    </xf>
    <xf numFmtId="165" fontId="35" fillId="3" borderId="8" xfId="0" applyNumberFormat="1" applyFont="1" applyFill="1" applyBorder="1" applyAlignment="1">
      <alignment horizontal="left" vertical="center" wrapText="1"/>
    </xf>
    <xf numFmtId="0" fontId="2" fillId="13" borderId="1" xfId="0" applyFont="1" applyFill="1" applyBorder="1" applyAlignment="1">
      <alignment horizontal="left" vertical="center" wrapText="1"/>
    </xf>
    <xf numFmtId="165" fontId="2" fillId="13" borderId="1" xfId="0" applyNumberFormat="1" applyFont="1" applyFill="1" applyBorder="1" applyAlignment="1">
      <alignment horizontal="left" vertical="center" wrapText="1"/>
    </xf>
    <xf numFmtId="170" fontId="0" fillId="3" borderId="0" xfId="0" applyNumberFormat="1" applyFont="1" applyFill="1" applyAlignment="1">
      <alignment horizontal="center"/>
    </xf>
    <xf numFmtId="165" fontId="11" fillId="2" borderId="2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left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/>
    </xf>
    <xf numFmtId="166" fontId="7" fillId="2" borderId="7" xfId="0" applyNumberFormat="1" applyFont="1" applyFill="1" applyBorder="1" applyAlignment="1">
      <alignment horizontal="center" vertical="center" textRotation="90" wrapText="1"/>
    </xf>
    <xf numFmtId="0" fontId="9" fillId="4" borderId="3" xfId="0" applyFont="1" applyFill="1" applyBorder="1" applyAlignment="1">
      <alignment horizontal="left" vertical="center" wrapText="1"/>
    </xf>
    <xf numFmtId="0" fontId="22" fillId="3" borderId="3" xfId="0" applyFont="1" applyFill="1" applyBorder="1" applyAlignment="1">
      <alignment horizontal="left" vertical="center" wrapText="1"/>
    </xf>
    <xf numFmtId="0" fontId="21" fillId="3" borderId="13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9" borderId="2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 wrapText="1"/>
    </xf>
    <xf numFmtId="165" fontId="2" fillId="0" borderId="18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ont="1" applyFill="1" applyBorder="1" applyAlignment="1">
      <alignment horizontal="center" vertical="center"/>
    </xf>
    <xf numFmtId="165" fontId="0" fillId="3" borderId="0" xfId="0" applyNumberFormat="1" applyFont="1" applyFill="1" applyAlignment="1">
      <alignment horizontal="center" vertical="center"/>
    </xf>
    <xf numFmtId="165" fontId="0" fillId="3" borderId="39" xfId="0" applyNumberFormat="1" applyFont="1" applyFill="1" applyBorder="1" applyAlignment="1">
      <alignment horizontal="center" vertical="center"/>
    </xf>
    <xf numFmtId="165" fontId="0" fillId="3" borderId="40" xfId="0" applyNumberFormat="1" applyFont="1" applyFill="1" applyBorder="1" applyAlignment="1">
      <alignment horizontal="center" vertical="center"/>
    </xf>
    <xf numFmtId="165" fontId="2" fillId="10" borderId="2" xfId="0" applyNumberFormat="1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36" fillId="3" borderId="3" xfId="0" applyFont="1" applyFill="1" applyBorder="1" applyAlignment="1">
      <alignment horizontal="left" vertical="center" wrapText="1"/>
    </xf>
    <xf numFmtId="0" fontId="37" fillId="3" borderId="1" xfId="0" applyFont="1" applyFill="1" applyBorder="1" applyAlignment="1">
      <alignment horizontal="center" vertical="center" wrapText="1"/>
    </xf>
    <xf numFmtId="165" fontId="2" fillId="10" borderId="2" xfId="0" applyNumberFormat="1" applyFont="1" applyFill="1" applyBorder="1" applyAlignment="1">
      <alignment horizontal="center" vertical="center"/>
    </xf>
    <xf numFmtId="0" fontId="37" fillId="3" borderId="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36" fillId="3" borderId="40" xfId="0" applyFont="1" applyFill="1" applyBorder="1" applyAlignment="1">
      <alignment horizontal="left"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7" fillId="3" borderId="17" xfId="0" applyFont="1" applyFill="1" applyBorder="1" applyAlignment="1">
      <alignment horizontal="center" vertical="center" wrapText="1"/>
    </xf>
    <xf numFmtId="165" fontId="0" fillId="0" borderId="39" xfId="0" applyNumberFormat="1" applyFont="1" applyFill="1" applyBorder="1" applyAlignment="1">
      <alignment horizontal="center"/>
    </xf>
    <xf numFmtId="165" fontId="0" fillId="0" borderId="40" xfId="0" applyNumberFormat="1" applyFont="1" applyFill="1" applyBorder="1" applyAlignment="1">
      <alignment horizontal="center"/>
    </xf>
    <xf numFmtId="165" fontId="2" fillId="0" borderId="21" xfId="0" applyNumberFormat="1" applyFont="1" applyFill="1" applyBorder="1" applyAlignment="1">
      <alignment horizontal="center" vertical="center" wrapText="1"/>
    </xf>
    <xf numFmtId="165" fontId="2" fillId="0" borderId="24" xfId="0" applyNumberFormat="1" applyFont="1" applyFill="1" applyBorder="1" applyAlignment="1">
      <alignment horizontal="center" vertical="center" wrapText="1"/>
    </xf>
    <xf numFmtId="165" fontId="2" fillId="0" borderId="38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0" fillId="10" borderId="14" xfId="0" applyFont="1" applyFill="1" applyBorder="1" applyAlignment="1">
      <alignment horizontal="center" vertical="center" wrapText="1"/>
    </xf>
    <xf numFmtId="0" fontId="0" fillId="9" borderId="14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5" fontId="4" fillId="3" borderId="19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164" fontId="2" fillId="3" borderId="1" xfId="1" applyNumberFormat="1" applyFont="1" applyFill="1" applyBorder="1" applyAlignment="1">
      <alignment horizontal="left" vertical="center" wrapText="1"/>
    </xf>
    <xf numFmtId="164" fontId="2" fillId="3" borderId="1" xfId="1" applyNumberFormat="1" applyFont="1" applyFill="1" applyBorder="1"/>
    <xf numFmtId="165" fontId="2" fillId="11" borderId="3" xfId="0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/>
    </xf>
    <xf numFmtId="165" fontId="2" fillId="3" borderId="1" xfId="1" applyNumberFormat="1" applyFont="1" applyFill="1" applyBorder="1"/>
    <xf numFmtId="165" fontId="38" fillId="3" borderId="19" xfId="3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10" fontId="2" fillId="9" borderId="2" xfId="0" applyNumberFormat="1" applyFont="1" applyFill="1" applyBorder="1" applyAlignment="1">
      <alignment horizontal="center" vertical="center"/>
    </xf>
    <xf numFmtId="169" fontId="2" fillId="9" borderId="2" xfId="0" applyNumberFormat="1" applyFont="1" applyFill="1" applyBorder="1" applyAlignment="1">
      <alignment horizontal="center" vertical="center"/>
    </xf>
    <xf numFmtId="168" fontId="2" fillId="3" borderId="2" xfId="0" applyNumberFormat="1" applyFont="1" applyFill="1" applyBorder="1" applyAlignment="1">
      <alignment horizontal="center" vertical="center"/>
    </xf>
    <xf numFmtId="10" fontId="2" fillId="10" borderId="2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166" fontId="3" fillId="4" borderId="3" xfId="0" applyNumberFormat="1" applyFont="1" applyFill="1" applyBorder="1" applyAlignment="1">
      <alignment horizontal="left" vertical="center"/>
    </xf>
    <xf numFmtId="166" fontId="3" fillId="4" borderId="3" xfId="0" applyNumberFormat="1" applyFont="1" applyFill="1" applyBorder="1" applyAlignment="1">
      <alignment horizontal="center" vertical="center" wrapText="1"/>
    </xf>
    <xf numFmtId="166" fontId="2" fillId="3" borderId="3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/>
    </xf>
    <xf numFmtId="166" fontId="2" fillId="3" borderId="3" xfId="0" applyNumberFormat="1" applyFont="1" applyFill="1" applyBorder="1" applyAlignment="1">
      <alignment horizontal="center"/>
    </xf>
    <xf numFmtId="166" fontId="2" fillId="3" borderId="1" xfId="0" applyNumberFormat="1" applyFont="1" applyFill="1" applyBorder="1"/>
    <xf numFmtId="166" fontId="2" fillId="0" borderId="3" xfId="0" applyNumberFormat="1" applyFont="1" applyFill="1" applyBorder="1" applyAlignment="1">
      <alignment horizontal="center"/>
    </xf>
    <xf numFmtId="166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66" fontId="2" fillId="3" borderId="1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/>
    </xf>
    <xf numFmtId="166" fontId="8" fillId="3" borderId="3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left" vertical="center"/>
    </xf>
    <xf numFmtId="166" fontId="0" fillId="3" borderId="1" xfId="0" applyNumberFormat="1" applyFont="1" applyFill="1" applyBorder="1" applyAlignment="1">
      <alignment horizontal="center"/>
    </xf>
    <xf numFmtId="166" fontId="0" fillId="3" borderId="0" xfId="0" applyNumberFormat="1" applyFont="1" applyFill="1" applyAlignment="1">
      <alignment horizontal="center"/>
    </xf>
    <xf numFmtId="166" fontId="2" fillId="3" borderId="3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/>
    </xf>
    <xf numFmtId="166" fontId="3" fillId="3" borderId="3" xfId="0" applyNumberFormat="1" applyFont="1" applyFill="1" applyBorder="1" applyAlignment="1">
      <alignment horizontal="center"/>
    </xf>
    <xf numFmtId="166" fontId="3" fillId="3" borderId="3" xfId="0" applyNumberFormat="1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 horizontal="left" vertical="center"/>
    </xf>
    <xf numFmtId="166" fontId="3" fillId="0" borderId="3" xfId="0" applyNumberFormat="1" applyFont="1" applyFill="1" applyBorder="1" applyAlignment="1">
      <alignment horizontal="center" vertical="center"/>
    </xf>
    <xf numFmtId="166" fontId="8" fillId="3" borderId="3" xfId="0" applyNumberFormat="1" applyFont="1" applyFill="1" applyBorder="1" applyAlignment="1">
      <alignment horizontal="left" vertical="center"/>
    </xf>
    <xf numFmtId="166" fontId="8" fillId="3" borderId="3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/>
    </xf>
    <xf numFmtId="166" fontId="2" fillId="0" borderId="1" xfId="0" applyNumberFormat="1" applyFont="1" applyFill="1" applyBorder="1"/>
    <xf numFmtId="166" fontId="2" fillId="0" borderId="1" xfId="0" applyNumberFormat="1" applyFont="1" applyFill="1" applyBorder="1" applyAlignment="1">
      <alignment horizontal="center" vertical="center"/>
    </xf>
    <xf numFmtId="166" fontId="8" fillId="3" borderId="3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center"/>
    </xf>
    <xf numFmtId="166" fontId="8" fillId="3" borderId="1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/>
    <xf numFmtId="166" fontId="2" fillId="0" borderId="3" xfId="0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" fillId="3" borderId="6" xfId="0" applyNumberFormat="1" applyFont="1" applyFill="1" applyBorder="1" applyAlignment="1">
      <alignment horizontal="center" vertical="center" wrapText="1"/>
    </xf>
    <xf numFmtId="166" fontId="2" fillId="3" borderId="2" xfId="0" applyNumberFormat="1" applyFont="1" applyFill="1" applyBorder="1"/>
    <xf numFmtId="166" fontId="2" fillId="3" borderId="0" xfId="0" applyNumberFormat="1" applyFont="1" applyFill="1" applyAlignment="1">
      <alignment horizontal="left" vertical="center" wrapText="1"/>
    </xf>
    <xf numFmtId="166" fontId="2" fillId="7" borderId="3" xfId="0" applyNumberFormat="1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166" fontId="2" fillId="3" borderId="2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left" vertical="center" wrapText="1"/>
    </xf>
    <xf numFmtId="166" fontId="7" fillId="8" borderId="15" xfId="0" applyNumberFormat="1" applyFont="1" applyFill="1" applyBorder="1" applyAlignment="1">
      <alignment horizontal="center" vertical="center" wrapText="1"/>
    </xf>
    <xf numFmtId="166" fontId="7" fillId="8" borderId="1" xfId="0" applyNumberFormat="1" applyFont="1" applyFill="1" applyBorder="1" applyAlignment="1">
      <alignment horizontal="center" vertical="center" wrapText="1"/>
    </xf>
    <xf numFmtId="166" fontId="7" fillId="8" borderId="16" xfId="0" applyNumberFormat="1" applyFont="1" applyFill="1" applyBorder="1" applyAlignment="1">
      <alignment horizontal="center" vertical="center" wrapText="1"/>
    </xf>
    <xf numFmtId="166" fontId="30" fillId="8" borderId="15" xfId="0" applyNumberFormat="1" applyFont="1" applyFill="1" applyBorder="1" applyAlignment="1">
      <alignment horizontal="left" vertical="center" wrapText="1"/>
    </xf>
    <xf numFmtId="166" fontId="30" fillId="8" borderId="15" xfId="0" applyNumberFormat="1" applyFont="1" applyFill="1" applyBorder="1" applyAlignment="1">
      <alignment horizontal="center" vertical="center" wrapText="1"/>
    </xf>
    <xf numFmtId="166" fontId="7" fillId="8" borderId="3" xfId="0" applyNumberFormat="1" applyFont="1" applyFill="1" applyBorder="1" applyAlignment="1">
      <alignment horizontal="center" vertical="center" wrapText="1"/>
    </xf>
    <xf numFmtId="166" fontId="30" fillId="8" borderId="16" xfId="0" applyNumberFormat="1" applyFont="1" applyFill="1" applyBorder="1" applyAlignment="1">
      <alignment horizontal="center" vertical="center" wrapText="1"/>
    </xf>
    <xf numFmtId="166" fontId="2" fillId="0" borderId="18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3" borderId="8" xfId="0" applyNumberFormat="1" applyFont="1" applyFill="1" applyBorder="1" applyAlignment="1">
      <alignment horizontal="center" vertical="center" wrapText="1"/>
    </xf>
    <xf numFmtId="166" fontId="2" fillId="3" borderId="13" xfId="0" applyNumberFormat="1" applyFont="1" applyFill="1" applyBorder="1" applyAlignment="1">
      <alignment horizontal="center" vertical="center" wrapText="1"/>
    </xf>
    <xf numFmtId="166" fontId="2" fillId="3" borderId="8" xfId="0" applyNumberFormat="1" applyFont="1" applyFill="1" applyBorder="1" applyAlignment="1">
      <alignment horizontal="left" vertical="center" wrapText="1"/>
    </xf>
    <xf numFmtId="166" fontId="2" fillId="3" borderId="8" xfId="0" applyNumberFormat="1" applyFont="1" applyFill="1" applyBorder="1" applyAlignment="1">
      <alignment horizontal="center"/>
    </xf>
    <xf numFmtId="166" fontId="7" fillId="8" borderId="1" xfId="0" applyNumberFormat="1" applyFont="1" applyFill="1" applyBorder="1" applyAlignment="1">
      <alignment horizontal="left" vertical="center" wrapText="1"/>
    </xf>
    <xf numFmtId="166" fontId="7" fillId="8" borderId="1" xfId="0" applyNumberFormat="1" applyFont="1" applyFill="1" applyBorder="1" applyAlignment="1">
      <alignment horizontal="center"/>
    </xf>
    <xf numFmtId="166" fontId="7" fillId="8" borderId="3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 vertical="center" wrapText="1"/>
    </xf>
    <xf numFmtId="166" fontId="3" fillId="3" borderId="3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left" vertical="center" wrapText="1"/>
    </xf>
    <xf numFmtId="166" fontId="0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 wrapText="1"/>
    </xf>
    <xf numFmtId="165" fontId="3" fillId="4" borderId="18" xfId="0" applyNumberFormat="1" applyFont="1" applyFill="1" applyBorder="1" applyAlignment="1">
      <alignment horizontal="center" vertical="center" wrapText="1"/>
    </xf>
    <xf numFmtId="166" fontId="2" fillId="4" borderId="18" xfId="0" applyNumberFormat="1" applyFont="1" applyFill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166" fontId="2" fillId="4" borderId="24" xfId="0" applyNumberFormat="1" applyFont="1" applyFill="1" applyBorder="1" applyAlignment="1">
      <alignment horizontal="center" vertical="center" wrapText="1"/>
    </xf>
    <xf numFmtId="166" fontId="2" fillId="4" borderId="18" xfId="0" applyNumberFormat="1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vertical="center" wrapText="1"/>
    </xf>
    <xf numFmtId="4" fontId="7" fillId="2" borderId="7" xfId="0" applyNumberFormat="1" applyFont="1" applyFill="1" applyBorder="1" applyAlignment="1">
      <alignment horizontal="center" vertical="center" textRotation="90" wrapText="1"/>
    </xf>
    <xf numFmtId="165" fontId="11" fillId="2" borderId="3" xfId="0" applyNumberFormat="1" applyFont="1" applyFill="1" applyBorder="1" applyAlignment="1">
      <alignment vertical="center" wrapText="1"/>
    </xf>
    <xf numFmtId="4" fontId="7" fillId="2" borderId="7" xfId="0" applyNumberFormat="1" applyFont="1" applyFill="1" applyBorder="1" applyAlignment="1">
      <alignment horizontal="center" vertical="center" textRotation="90" wrapText="1"/>
    </xf>
    <xf numFmtId="0" fontId="0" fillId="0" borderId="8" xfId="0" applyFont="1" applyBorder="1" applyAlignment="1">
      <alignment horizontal="center" vertical="center" textRotation="90" wrapText="1"/>
    </xf>
    <xf numFmtId="0" fontId="14" fillId="2" borderId="0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3" fillId="3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165" fontId="30" fillId="3" borderId="7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165" fontId="11" fillId="3" borderId="2" xfId="0" applyNumberFormat="1" applyFont="1" applyFill="1" applyBorder="1" applyAlignment="1">
      <alignment horizontal="center" vertical="center" wrapText="1"/>
    </xf>
    <xf numFmtId="165" fontId="11" fillId="3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textRotation="90" wrapText="1"/>
    </xf>
    <xf numFmtId="0" fontId="0" fillId="2" borderId="7" xfId="0" applyFont="1" applyFill="1" applyBorder="1" applyAlignment="1">
      <alignment horizontal="center" vertical="center" wrapText="1"/>
    </xf>
    <xf numFmtId="166" fontId="9" fillId="2" borderId="2" xfId="0" applyNumberFormat="1" applyFont="1" applyFill="1" applyBorder="1" applyAlignment="1">
      <alignment horizontal="center" vertical="center" wrapText="1"/>
    </xf>
    <xf numFmtId="166" fontId="9" fillId="2" borderId="6" xfId="0" applyNumberFormat="1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5" fontId="7" fillId="2" borderId="7" xfId="0" applyNumberFormat="1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 wrapText="1"/>
    </xf>
    <xf numFmtId="165" fontId="14" fillId="2" borderId="34" xfId="0" applyNumberFormat="1" applyFont="1" applyFill="1" applyBorder="1" applyAlignment="1">
      <alignment horizontal="center" vertical="center" textRotation="90" wrapText="1"/>
    </xf>
    <xf numFmtId="165" fontId="14" fillId="2" borderId="22" xfId="0" applyNumberFormat="1" applyFont="1" applyFill="1" applyBorder="1" applyAlignment="1">
      <alignment horizontal="center" vertical="center" textRotation="90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5" fontId="9" fillId="4" borderId="2" xfId="0" applyNumberFormat="1" applyFont="1" applyFill="1" applyBorder="1" applyAlignment="1">
      <alignment horizontal="center" vertical="center" wrapText="1"/>
    </xf>
    <xf numFmtId="165" fontId="9" fillId="4" borderId="6" xfId="0" applyNumberFormat="1" applyFont="1" applyFill="1" applyBorder="1" applyAlignment="1">
      <alignment horizontal="center" vertical="center" wrapText="1"/>
    </xf>
    <xf numFmtId="165" fontId="9" fillId="4" borderId="3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165" fontId="6" fillId="2" borderId="7" xfId="0" applyNumberFormat="1" applyFont="1" applyFill="1" applyBorder="1" applyAlignment="1">
      <alignment horizontal="center" vertical="center" textRotation="90" wrapText="1"/>
    </xf>
    <xf numFmtId="165" fontId="6" fillId="2" borderId="8" xfId="0" applyNumberFormat="1" applyFont="1" applyFill="1" applyBorder="1" applyAlignment="1">
      <alignment horizontal="center" vertical="center" textRotation="90" wrapText="1"/>
    </xf>
    <xf numFmtId="165" fontId="9" fillId="3" borderId="30" xfId="0" applyNumberFormat="1" applyFont="1" applyFill="1" applyBorder="1" applyAlignment="1">
      <alignment horizontal="center" vertical="center" wrapText="1"/>
    </xf>
    <xf numFmtId="165" fontId="9" fillId="3" borderId="31" xfId="0" applyNumberFormat="1" applyFont="1" applyFill="1" applyBorder="1" applyAlignment="1">
      <alignment horizontal="center" vertical="center" wrapText="1"/>
    </xf>
    <xf numFmtId="165" fontId="9" fillId="3" borderId="32" xfId="0" applyNumberFormat="1" applyFont="1" applyFill="1" applyBorder="1" applyAlignment="1">
      <alignment horizontal="center" vertical="center" wrapText="1"/>
    </xf>
    <xf numFmtId="165" fontId="9" fillId="3" borderId="33" xfId="0" applyNumberFormat="1" applyFont="1" applyFill="1" applyBorder="1" applyAlignment="1">
      <alignment horizontal="center" vertical="center" wrapText="1"/>
    </xf>
    <xf numFmtId="165" fontId="9" fillId="4" borderId="25" xfId="0" applyNumberFormat="1" applyFont="1" applyFill="1" applyBorder="1" applyAlignment="1">
      <alignment horizontal="center" vertical="center" wrapText="1"/>
    </xf>
    <xf numFmtId="165" fontId="9" fillId="4" borderId="26" xfId="0" applyNumberFormat="1" applyFont="1" applyFill="1" applyBorder="1" applyAlignment="1">
      <alignment horizontal="center" vertical="center" wrapText="1"/>
    </xf>
    <xf numFmtId="165" fontId="9" fillId="4" borderId="27" xfId="0" applyNumberFormat="1" applyFont="1" applyFill="1" applyBorder="1" applyAlignment="1">
      <alignment horizontal="center" vertical="center" wrapText="1"/>
    </xf>
    <xf numFmtId="165" fontId="9" fillId="4" borderId="28" xfId="0" applyNumberFormat="1" applyFont="1" applyFill="1" applyBorder="1" applyAlignment="1">
      <alignment horizontal="center" vertical="center" wrapText="1"/>
    </xf>
    <xf numFmtId="165" fontId="9" fillId="3" borderId="29" xfId="0" applyNumberFormat="1" applyFont="1" applyFill="1" applyBorder="1" applyAlignment="1">
      <alignment horizontal="center" vertical="center" wrapText="1"/>
    </xf>
    <xf numFmtId="165" fontId="9" fillId="3" borderId="26" xfId="0" applyNumberFormat="1" applyFont="1" applyFill="1" applyBorder="1" applyAlignment="1">
      <alignment horizontal="center" vertical="center" wrapText="1"/>
    </xf>
    <xf numFmtId="165" fontId="9" fillId="3" borderId="27" xfId="0" applyNumberFormat="1" applyFont="1" applyFill="1" applyBorder="1" applyAlignment="1">
      <alignment horizontal="center" vertical="center" wrapText="1"/>
    </xf>
    <xf numFmtId="165" fontId="9" fillId="3" borderId="28" xfId="0" applyNumberFormat="1" applyFont="1" applyFill="1" applyBorder="1" applyAlignment="1">
      <alignment horizontal="center" vertical="center" wrapText="1"/>
    </xf>
    <xf numFmtId="165" fontId="16" fillId="3" borderId="35" xfId="0" applyNumberFormat="1" applyFont="1" applyFill="1" applyBorder="1" applyAlignment="1">
      <alignment horizontal="center" vertical="center" wrapText="1"/>
    </xf>
    <xf numFmtId="165" fontId="16" fillId="3" borderId="6" xfId="0" applyNumberFormat="1" applyFont="1" applyFill="1" applyBorder="1" applyAlignment="1">
      <alignment horizontal="center" vertical="center" wrapText="1"/>
    </xf>
    <xf numFmtId="165" fontId="16" fillId="3" borderId="3" xfId="0" applyNumberFormat="1" applyFont="1" applyFill="1" applyBorder="1" applyAlignment="1">
      <alignment horizontal="center" vertical="center" wrapText="1"/>
    </xf>
    <xf numFmtId="165" fontId="14" fillId="2" borderId="7" xfId="0" applyNumberFormat="1" applyFont="1" applyFill="1" applyBorder="1" applyAlignment="1">
      <alignment horizontal="center" vertical="center" textRotation="90" wrapText="1"/>
    </xf>
    <xf numFmtId="165" fontId="14" fillId="2" borderId="8" xfId="0" applyNumberFormat="1" applyFont="1" applyFill="1" applyBorder="1" applyAlignment="1">
      <alignment horizontal="center" vertical="center" textRotation="90" wrapText="1"/>
    </xf>
    <xf numFmtId="165" fontId="7" fillId="2" borderId="7" xfId="0" applyNumberFormat="1" applyFont="1" applyFill="1" applyBorder="1" applyAlignment="1">
      <alignment horizontal="center" vertical="center" textRotation="90" wrapText="1"/>
    </xf>
    <xf numFmtId="165" fontId="7" fillId="2" borderId="8" xfId="0" applyNumberFormat="1" applyFont="1" applyFill="1" applyBorder="1" applyAlignment="1">
      <alignment horizontal="center" vertical="center" textRotation="90" wrapText="1"/>
    </xf>
    <xf numFmtId="166" fontId="7" fillId="2" borderId="7" xfId="0" applyNumberFormat="1" applyFont="1" applyFill="1" applyBorder="1" applyAlignment="1">
      <alignment horizontal="center" vertical="center" textRotation="90" wrapText="1"/>
    </xf>
    <xf numFmtId="166" fontId="7" fillId="2" borderId="8" xfId="0" applyNumberFormat="1" applyFont="1" applyFill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22" fillId="3" borderId="2" xfId="0" applyFont="1" applyFill="1" applyBorder="1" applyAlignment="1">
      <alignment horizontal="left" vertical="center" wrapText="1"/>
    </xf>
    <xf numFmtId="0" fontId="22" fillId="3" borderId="3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left" vertical="center" wrapText="1"/>
    </xf>
    <xf numFmtId="0" fontId="21" fillId="3" borderId="13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left" vertical="center" wrapText="1"/>
    </xf>
    <xf numFmtId="165" fontId="3" fillId="4" borderId="41" xfId="0" applyNumberFormat="1" applyFont="1" applyFill="1" applyBorder="1" applyAlignment="1">
      <alignment horizontal="center" vertical="center" wrapText="1"/>
    </xf>
    <xf numFmtId="165" fontId="3" fillId="4" borderId="42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0" fillId="3" borderId="1" xfId="0" applyFont="1" applyFill="1" applyBorder="1" applyAlignment="1"/>
    <xf numFmtId="0" fontId="3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wrapText="1"/>
    </xf>
    <xf numFmtId="0" fontId="0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wrapText="1"/>
    </xf>
    <xf numFmtId="0" fontId="0" fillId="10" borderId="2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166" fontId="30" fillId="2" borderId="2" xfId="0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20" fillId="3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19" fillId="3" borderId="1" xfId="1" applyFont="1" applyFill="1" applyBorder="1" applyAlignment="1">
      <alignment horizontal="left" wrapText="1"/>
    </xf>
    <xf numFmtId="0" fontId="0" fillId="9" borderId="39" xfId="0" applyFont="1" applyFill="1" applyBorder="1" applyAlignment="1">
      <alignment horizontal="center" vertical="justify" wrapText="1"/>
    </xf>
    <xf numFmtId="0" fontId="0" fillId="9" borderId="0" xfId="0" applyFont="1" applyFill="1" applyBorder="1" applyAlignment="1">
      <alignment horizontal="center" vertical="justify" wrapText="1"/>
    </xf>
    <xf numFmtId="0" fontId="0" fillId="9" borderId="0" xfId="0" applyFont="1" applyFill="1" applyAlignment="1">
      <alignment horizontal="center" vertical="justify" wrapText="1"/>
    </xf>
    <xf numFmtId="0" fontId="0" fillId="0" borderId="0" xfId="0" applyFont="1" applyAlignment="1">
      <alignment horizontal="center" vertical="justify" wrapText="1"/>
    </xf>
    <xf numFmtId="0" fontId="0" fillId="10" borderId="3" xfId="0" applyFont="1" applyFill="1" applyBorder="1" applyAlignment="1">
      <alignment horizontal="center" vertical="center" wrapText="1"/>
    </xf>
    <xf numFmtId="164" fontId="7" fillId="10" borderId="7" xfId="0" applyNumberFormat="1" applyFont="1" applyFill="1" applyBorder="1" applyAlignment="1">
      <alignment horizontal="center" vertical="center" wrapText="1"/>
    </xf>
    <xf numFmtId="0" fontId="0" fillId="10" borderId="8" xfId="0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 wrapText="1"/>
    </xf>
    <xf numFmtId="164" fontId="7" fillId="9" borderId="7" xfId="0" applyNumberFormat="1" applyFont="1" applyFill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 vertical="center"/>
    </xf>
    <xf numFmtId="0" fontId="0" fillId="9" borderId="7" xfId="0" applyFont="1" applyFill="1" applyBorder="1" applyAlignment="1">
      <alignment horizontal="center" vertical="center" wrapText="1"/>
    </xf>
  </cellXfs>
  <cellStyles count="5">
    <cellStyle name="TableStyleLight1" xfId="4"/>
    <cellStyle name="Гиперссылка" xfId="3" builtinId="8"/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N619"/>
  <sheetViews>
    <sheetView tabSelected="1" view="pageBreakPreview" zoomScaleNormal="79" zoomScaleSheetLayoutView="100" workbookViewId="0">
      <pane xSplit="14" ySplit="6" topLeftCell="AD7" activePane="bottomRight" state="frozen"/>
      <selection activeCell="A2" sqref="A2"/>
      <selection pane="topRight" activeCell="H2" sqref="H2"/>
      <selection pane="bottomLeft" activeCell="A6" sqref="A6"/>
      <selection pane="bottomRight" activeCell="BA5" sqref="BA5"/>
    </sheetView>
  </sheetViews>
  <sheetFormatPr defaultColWidth="9.140625" defaultRowHeight="18.75" x14ac:dyDescent="0.3"/>
  <cols>
    <col min="1" max="1" width="7.42578125" style="34" hidden="1" customWidth="1"/>
    <col min="2" max="2" width="3.5703125" style="26" hidden="1" customWidth="1"/>
    <col min="3" max="3" width="3.85546875" style="27" hidden="1" customWidth="1"/>
    <col min="4" max="4" width="7.85546875" style="27" hidden="1" customWidth="1"/>
    <col min="5" max="8" width="4.5703125" style="34" hidden="1" customWidth="1"/>
    <col min="9" max="9" width="5.140625" style="34" hidden="1" customWidth="1"/>
    <col min="10" max="10" width="4.42578125" style="34" hidden="1" customWidth="1"/>
    <col min="11" max="11" width="9.140625" style="34" hidden="1" customWidth="1"/>
    <col min="12" max="12" width="8.140625" style="34" hidden="1" customWidth="1"/>
    <col min="13" max="13" width="4.5703125" style="34" customWidth="1"/>
    <col min="14" max="14" width="32.28515625" style="14" customWidth="1"/>
    <col min="15" max="15" width="1" style="14" hidden="1" customWidth="1"/>
    <col min="16" max="16" width="15.5703125" style="14" hidden="1" customWidth="1"/>
    <col min="17" max="17" width="4.7109375" style="14" hidden="1" customWidth="1"/>
    <col min="18" max="18" width="5.28515625" style="14" hidden="1" customWidth="1"/>
    <col min="19" max="19" width="23" style="14" hidden="1" customWidth="1"/>
    <col min="20" max="20" width="5.42578125" style="14" hidden="1" customWidth="1"/>
    <col min="21" max="21" width="4.28515625" style="14" hidden="1" customWidth="1"/>
    <col min="22" max="22" width="16.7109375" style="16" hidden="1" customWidth="1"/>
    <col min="23" max="23" width="15.5703125" style="16" hidden="1" customWidth="1"/>
    <col min="24" max="26" width="15.5703125" style="20" hidden="1" customWidth="1"/>
    <col min="27" max="27" width="4.28515625" style="20" hidden="1" customWidth="1"/>
    <col min="28" max="28" width="13.42578125" style="16" customWidth="1"/>
    <col min="29" max="29" width="12.5703125" style="16" customWidth="1"/>
    <col min="30" max="30" width="11.42578125" style="20" customWidth="1"/>
    <col min="31" max="31" width="11.28515625" style="20" customWidth="1"/>
    <col min="32" max="32" width="15.5703125" style="20" customWidth="1"/>
    <col min="33" max="33" width="12.5703125" style="20" customWidth="1"/>
    <col min="34" max="34" width="12.140625" style="20" hidden="1" customWidth="1"/>
    <col min="35" max="35" width="17.85546875" style="16" hidden="1" customWidth="1"/>
    <col min="36" max="36" width="15.42578125" style="16" hidden="1" customWidth="1"/>
    <col min="37" max="37" width="15.5703125" style="20" hidden="1" customWidth="1"/>
    <col min="38" max="38" width="14.42578125" style="20" hidden="1" customWidth="1"/>
    <col min="39" max="39" width="12.140625" style="20" hidden="1" customWidth="1"/>
    <col min="40" max="40" width="17.85546875" style="16" hidden="1" customWidth="1"/>
    <col min="41" max="41" width="15.42578125" style="16" hidden="1" customWidth="1"/>
    <col min="42" max="42" width="15.5703125" style="20" hidden="1" customWidth="1"/>
    <col min="43" max="43" width="14.42578125" style="20" hidden="1" customWidth="1"/>
    <col min="44" max="44" width="11.42578125" style="20" hidden="1" customWidth="1"/>
    <col min="45" max="45" width="14" style="16" hidden="1" customWidth="1"/>
    <col min="46" max="46" width="15.42578125" style="16" hidden="1" customWidth="1"/>
    <col min="47" max="47" width="15.5703125" style="20" hidden="1" customWidth="1"/>
    <col min="48" max="48" width="14.42578125" style="20" hidden="1" customWidth="1"/>
    <col min="49" max="49" width="11.42578125" style="20" hidden="1" customWidth="1"/>
    <col min="50" max="50" width="22" style="58" hidden="1" customWidth="1"/>
    <col min="51" max="51" width="14.85546875" style="15" customWidth="1"/>
    <col min="52" max="52" width="13.7109375" style="46" customWidth="1"/>
    <col min="53" max="53" width="12.28515625" style="46" customWidth="1"/>
    <col min="54" max="54" width="12.140625" style="46" customWidth="1"/>
    <col min="55" max="55" width="15" style="46" customWidth="1"/>
    <col min="56" max="56" width="14.85546875" style="46" customWidth="1"/>
    <col min="57" max="57" width="9.28515625" style="46" hidden="1" customWidth="1"/>
    <col min="58" max="58" width="9.85546875" style="46" hidden="1" customWidth="1"/>
    <col min="59" max="59" width="14.42578125" style="46" hidden="1" customWidth="1"/>
    <col min="60" max="60" width="10.28515625" style="46" hidden="1" customWidth="1"/>
    <col min="61" max="61" width="11.28515625" style="46" hidden="1" customWidth="1"/>
    <col min="62" max="62" width="14.85546875" style="46" hidden="1" customWidth="1"/>
    <col min="63" max="63" width="14.140625" style="46" hidden="1" customWidth="1"/>
    <col min="64" max="64" width="9.85546875" style="46" hidden="1" customWidth="1"/>
    <col min="65" max="65" width="16.42578125" style="46" hidden="1" customWidth="1"/>
    <col min="66" max="66" width="14.28515625" style="46" hidden="1" customWidth="1"/>
    <col min="67" max="67" width="16" style="46" hidden="1" customWidth="1"/>
    <col min="68" max="68" width="14.85546875" style="46" hidden="1" customWidth="1"/>
    <col min="69" max="69" width="13.7109375" style="46" hidden="1" customWidth="1"/>
    <col min="70" max="70" width="13.5703125" style="15" hidden="1" customWidth="1"/>
    <col min="71" max="71" width="2.7109375" style="86" hidden="1" customWidth="1"/>
    <col min="72" max="72" width="13.5703125" style="15" hidden="1" customWidth="1"/>
    <col min="73" max="73" width="13.85546875" style="15" hidden="1" customWidth="1"/>
    <col min="74" max="74" width="14.140625" style="15" hidden="1" customWidth="1"/>
    <col min="75" max="75" width="15.7109375" style="99" customWidth="1"/>
    <col min="76" max="76" width="15" style="99" customWidth="1"/>
    <col min="77" max="77" width="11.5703125" style="99" customWidth="1"/>
    <col min="78" max="78" width="12.42578125" style="99" customWidth="1"/>
    <col min="79" max="79" width="15" style="99" customWidth="1"/>
    <col min="80" max="80" width="14.28515625" style="99" customWidth="1"/>
    <col min="81" max="81" width="11.28515625" style="99" hidden="1" customWidth="1"/>
    <col min="82" max="82" width="12.7109375" style="15" customWidth="1"/>
    <col min="83" max="83" width="14.7109375" style="99" customWidth="1"/>
    <col min="84" max="84" width="11.5703125" style="99" customWidth="1"/>
    <col min="85" max="85" width="11.85546875" style="99" customWidth="1"/>
    <col min="86" max="86" width="16.28515625" style="99" customWidth="1"/>
    <col min="87" max="87" width="12.85546875" style="99" customWidth="1"/>
    <col min="88" max="88" width="14.140625" style="15" hidden="1" customWidth="1"/>
    <col min="89" max="89" width="13" style="15" customWidth="1"/>
    <col min="90" max="91" width="12.7109375" style="15" customWidth="1"/>
    <col min="92" max="93" width="15.140625" style="15" hidden="1" customWidth="1"/>
    <col min="94" max="94" width="13" style="15" customWidth="1"/>
    <col min="95" max="95" width="11" style="15" hidden="1" customWidth="1"/>
    <col min="96" max="96" width="15.7109375" style="15" hidden="1" customWidth="1"/>
    <col min="97" max="97" width="13.140625" style="15" customWidth="1"/>
    <col min="98" max="98" width="13.7109375" style="15" customWidth="1"/>
    <col min="99" max="99" width="12.140625" style="15" customWidth="1"/>
    <col min="100" max="100" width="14.7109375" style="15" customWidth="1"/>
    <col min="101" max="101" width="9.42578125" style="15" hidden="1" customWidth="1"/>
    <col min="102" max="102" width="10" style="15" hidden="1" customWidth="1"/>
    <col min="103" max="103" width="15.28515625" style="15" hidden="1" customWidth="1"/>
    <col min="104" max="104" width="15.42578125" style="15" hidden="1" customWidth="1"/>
    <col min="105" max="105" width="14.7109375" style="15" hidden="1" customWidth="1"/>
    <col min="106" max="106" width="11.42578125" style="15" hidden="1" customWidth="1"/>
    <col min="107" max="107" width="0.42578125" style="19" hidden="1" customWidth="1"/>
    <col min="108" max="108" width="16" style="15" hidden="1" customWidth="1"/>
    <col min="109" max="109" width="18.140625" style="15" hidden="1" customWidth="1"/>
    <col min="110" max="110" width="14.7109375" style="15" hidden="1" customWidth="1"/>
    <col min="111" max="111" width="15" style="34" hidden="1" customWidth="1"/>
    <col min="112" max="112" width="14.28515625" style="34" hidden="1" customWidth="1"/>
    <col min="113" max="113" width="15" style="16" hidden="1" customWidth="1"/>
    <col min="114" max="114" width="13.85546875" style="34" hidden="1" customWidth="1"/>
    <col min="115" max="115" width="14" style="15" hidden="1" customWidth="1"/>
    <col min="116" max="116" width="16.28515625" style="15" hidden="1" customWidth="1"/>
    <col min="117" max="117" width="15.140625" style="15" hidden="1" customWidth="1"/>
    <col min="118" max="118" width="14.85546875" style="15" hidden="1" customWidth="1"/>
    <col min="119" max="119" width="16.42578125" style="15" hidden="1" customWidth="1"/>
    <col min="120" max="120" width="14.28515625" style="34" hidden="1" customWidth="1"/>
    <col min="121" max="121" width="14.5703125" style="34" hidden="1" customWidth="1"/>
    <col min="122" max="122" width="15.42578125" style="34" hidden="1" customWidth="1"/>
    <col min="123" max="123" width="15" style="34" hidden="1" customWidth="1"/>
    <col min="124" max="124" width="9.28515625" style="34" hidden="1" customWidth="1"/>
    <col min="125" max="125" width="12.42578125" style="34" hidden="1" customWidth="1"/>
    <col min="126" max="126" width="12.85546875" style="34" hidden="1" customWidth="1"/>
    <col min="127" max="127" width="10.5703125" style="16" hidden="1" customWidth="1"/>
    <col min="128" max="128" width="15.42578125" style="15" hidden="1" customWidth="1"/>
    <col min="129" max="129" width="1.42578125" style="34" hidden="1" customWidth="1"/>
    <col min="130" max="130" width="15.28515625" style="15" hidden="1" customWidth="1"/>
    <col min="131" max="131" width="14.7109375" style="15" hidden="1" customWidth="1"/>
    <col min="132" max="132" width="1.5703125" style="34" hidden="1" customWidth="1"/>
    <col min="133" max="133" width="15.28515625" style="15" hidden="1" customWidth="1"/>
    <col min="134" max="134" width="15.42578125" style="15" hidden="1" customWidth="1"/>
    <col min="135" max="135" width="1.5703125" style="34" hidden="1" customWidth="1"/>
    <col min="136" max="136" width="18.140625" style="15" hidden="1" customWidth="1"/>
    <col min="137" max="137" width="22.140625" style="34" hidden="1" customWidth="1"/>
    <col min="138" max="138" width="7.140625" style="34" hidden="1" customWidth="1"/>
    <col min="139" max="140" width="16" style="46" hidden="1" customWidth="1"/>
    <col min="141" max="141" width="17" style="99" hidden="1" customWidth="1"/>
    <col min="142" max="142" width="15.5703125" style="99" hidden="1" customWidth="1"/>
    <col min="143" max="143" width="18.42578125" style="99" hidden="1" customWidth="1"/>
    <col min="144" max="144" width="16" style="99" hidden="1" customWidth="1"/>
    <col min="145" max="146" width="16" style="46" hidden="1" customWidth="1"/>
    <col min="147" max="147" width="15.85546875" style="15" hidden="1" customWidth="1"/>
    <col min="148" max="148" width="15.140625" style="15" hidden="1" customWidth="1"/>
    <col min="149" max="150" width="16" style="46" hidden="1" customWidth="1"/>
    <col min="151" max="151" width="14.140625" style="15" hidden="1" customWidth="1"/>
    <col min="152" max="152" width="16" style="46" hidden="1" customWidth="1"/>
    <col min="153" max="153" width="16" style="346" hidden="1" customWidth="1"/>
    <col min="154" max="154" width="15.85546875" style="346" hidden="1" customWidth="1"/>
    <col min="155" max="155" width="13.28515625" style="346" hidden="1" customWidth="1"/>
    <col min="156" max="156" width="15.28515625" style="346" hidden="1" customWidth="1"/>
    <col min="157" max="157" width="13.7109375" style="346" hidden="1" customWidth="1"/>
    <col min="158" max="158" width="14.28515625" style="346" hidden="1" customWidth="1"/>
    <col min="159" max="159" width="15" style="346" hidden="1" customWidth="1"/>
    <col min="160" max="160" width="13.28515625" style="346" hidden="1" customWidth="1"/>
    <col min="161" max="161" width="12.7109375" style="346" hidden="1" customWidth="1"/>
    <col min="162" max="162" width="16.7109375" style="346" hidden="1" customWidth="1"/>
    <col min="163" max="163" width="12.28515625" style="346" hidden="1" customWidth="1"/>
    <col min="164" max="164" width="18.42578125" style="346" hidden="1" customWidth="1"/>
    <col min="165" max="165" width="19.7109375" style="346" hidden="1" customWidth="1"/>
    <col min="166" max="166" width="12.28515625" style="46" hidden="1" customWidth="1"/>
    <col min="167" max="167" width="16" style="382" hidden="1" customWidth="1"/>
    <col min="168" max="168" width="17.7109375" style="382" hidden="1" customWidth="1"/>
    <col min="169" max="169" width="14.7109375" style="382" hidden="1" customWidth="1"/>
    <col min="170" max="170" width="9.28515625" style="382" hidden="1" customWidth="1"/>
    <col min="171" max="171" width="12.42578125" style="382" hidden="1" customWidth="1"/>
    <col min="172" max="172" width="14.28515625" style="382" hidden="1" customWidth="1"/>
    <col min="173" max="173" width="15" style="382" hidden="1" customWidth="1"/>
    <col min="174" max="174" width="13.28515625" style="382" hidden="1" customWidth="1"/>
    <col min="175" max="175" width="12.28515625" style="382" hidden="1" customWidth="1"/>
    <col min="176" max="176" width="12.140625" style="382" hidden="1" customWidth="1"/>
    <col min="177" max="177" width="13.28515625" style="382" hidden="1" customWidth="1"/>
    <col min="178" max="179" width="14.7109375" style="382" hidden="1" customWidth="1"/>
    <col min="180" max="180" width="16" style="346" hidden="1" customWidth="1"/>
    <col min="181" max="181" width="17" style="346" hidden="1" customWidth="1"/>
    <col min="182" max="182" width="13.28515625" style="346" hidden="1" customWidth="1"/>
    <col min="183" max="183" width="9.28515625" style="346" hidden="1" customWidth="1"/>
    <col min="184" max="184" width="13.28515625" style="346" hidden="1" customWidth="1"/>
    <col min="185" max="185" width="14.28515625" style="346" hidden="1" customWidth="1"/>
    <col min="186" max="186" width="15" style="346" hidden="1" customWidth="1"/>
    <col min="187" max="187" width="13.28515625" style="346" hidden="1" customWidth="1"/>
    <col min="188" max="190" width="12.28515625" style="346" hidden="1" customWidth="1"/>
    <col min="191" max="191" width="14.7109375" style="346" hidden="1" customWidth="1"/>
    <col min="192" max="192" width="16.7109375" style="346" hidden="1" customWidth="1"/>
    <col min="193" max="193" width="14" style="460" hidden="1" customWidth="1"/>
    <col min="194" max="195" width="9.140625" style="34" hidden="1" customWidth="1"/>
    <col min="196" max="197" width="0" style="34" hidden="1" customWidth="1"/>
    <col min="198" max="16384" width="9.140625" style="34"/>
  </cols>
  <sheetData>
    <row r="1" spans="2:196" ht="55.5" customHeight="1" x14ac:dyDescent="0.2">
      <c r="B1" s="35"/>
      <c r="E1" s="73" t="s">
        <v>291</v>
      </c>
      <c r="F1" s="73"/>
      <c r="G1" s="73"/>
      <c r="H1" s="73"/>
      <c r="I1" s="73"/>
      <c r="J1" s="73"/>
      <c r="K1" s="73"/>
      <c r="L1" s="73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6" t="s">
        <v>747</v>
      </c>
      <c r="AC1" s="646"/>
      <c r="AD1" s="646"/>
      <c r="AE1" s="646"/>
      <c r="AF1" s="646"/>
      <c r="AG1" s="646"/>
      <c r="AH1" s="646"/>
      <c r="AI1" s="646"/>
      <c r="AJ1" s="646"/>
      <c r="AK1" s="646"/>
      <c r="AL1" s="646"/>
      <c r="AM1" s="646"/>
      <c r="AN1" s="646"/>
      <c r="AO1" s="646"/>
      <c r="AP1" s="646"/>
      <c r="AQ1" s="646"/>
      <c r="AR1" s="646"/>
      <c r="AS1" s="646"/>
      <c r="AT1" s="646"/>
      <c r="AU1" s="646"/>
      <c r="AV1" s="646"/>
      <c r="AW1" s="646"/>
      <c r="AX1" s="646"/>
      <c r="AY1" s="646"/>
      <c r="AZ1" s="646"/>
      <c r="BA1" s="646"/>
      <c r="BB1" s="646"/>
      <c r="BC1" s="646"/>
      <c r="BD1" s="646"/>
      <c r="BE1" s="646"/>
      <c r="BF1" s="646"/>
      <c r="BG1" s="646"/>
      <c r="BH1" s="646"/>
      <c r="BI1" s="646"/>
      <c r="BJ1" s="646"/>
      <c r="BK1" s="646"/>
      <c r="BL1" s="646"/>
      <c r="BM1" s="646"/>
      <c r="BN1" s="646"/>
      <c r="BO1" s="646"/>
      <c r="BP1" s="646"/>
      <c r="BQ1" s="646"/>
      <c r="BR1" s="646"/>
      <c r="BS1" s="646"/>
      <c r="BT1" s="646"/>
      <c r="BU1" s="646"/>
      <c r="BV1" s="646"/>
      <c r="BW1" s="646"/>
      <c r="BX1" s="646"/>
      <c r="BY1" s="646"/>
      <c r="BZ1" s="646"/>
      <c r="CA1" s="641"/>
      <c r="CB1" s="641"/>
      <c r="CC1" s="641"/>
      <c r="CD1" s="641"/>
      <c r="CE1" s="641"/>
      <c r="CF1" s="641"/>
      <c r="CG1" s="641"/>
      <c r="CH1" s="641"/>
      <c r="CI1" s="641"/>
      <c r="CJ1" s="641"/>
      <c r="CK1" s="641"/>
      <c r="CL1" s="641"/>
      <c r="CM1" s="641"/>
      <c r="CN1" s="641"/>
      <c r="CO1" s="641"/>
      <c r="CP1" s="641"/>
      <c r="CQ1" s="641"/>
      <c r="CR1" s="641"/>
      <c r="CS1" s="641"/>
      <c r="CT1" s="641"/>
      <c r="CU1" s="641"/>
      <c r="CV1" s="641"/>
      <c r="CW1" s="641"/>
      <c r="CX1" s="641"/>
      <c r="CY1" s="641"/>
      <c r="CZ1" s="641"/>
      <c r="DA1" s="641"/>
      <c r="DB1" s="641"/>
      <c r="DC1" s="641"/>
      <c r="DD1" s="641"/>
      <c r="DE1" s="641"/>
      <c r="DF1" s="641"/>
      <c r="DG1" s="641"/>
      <c r="DH1" s="641"/>
      <c r="DI1" s="641"/>
      <c r="DJ1" s="641"/>
      <c r="DK1" s="641"/>
      <c r="DL1" s="641"/>
      <c r="DM1" s="641"/>
      <c r="DN1" s="641"/>
      <c r="DO1" s="641"/>
      <c r="DP1" s="641"/>
      <c r="DQ1" s="641"/>
      <c r="DR1" s="641"/>
      <c r="DS1" s="641"/>
      <c r="DT1" s="641"/>
      <c r="DU1" s="641"/>
      <c r="DV1" s="641"/>
      <c r="DW1" s="641"/>
      <c r="DX1" s="641"/>
      <c r="DY1" s="641"/>
      <c r="DZ1" s="641"/>
      <c r="EA1" s="641"/>
      <c r="EC1" s="75"/>
      <c r="ED1" s="75"/>
      <c r="EF1" s="75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758" t="s">
        <v>347</v>
      </c>
      <c r="EX1" s="759"/>
      <c r="EY1" s="759"/>
      <c r="EZ1" s="759"/>
      <c r="FA1" s="760"/>
      <c r="FB1" s="760"/>
      <c r="FC1" s="760"/>
      <c r="FD1" s="760"/>
      <c r="FE1" s="760"/>
      <c r="FF1" s="760"/>
      <c r="FG1" s="760"/>
      <c r="FH1" s="761"/>
      <c r="FI1" s="761"/>
      <c r="FJ1" s="761"/>
      <c r="FK1" s="761"/>
      <c r="FL1" s="761"/>
      <c r="FM1" s="761"/>
      <c r="FN1" s="761"/>
      <c r="FO1" s="761"/>
      <c r="FP1" s="761"/>
      <c r="FQ1" s="761"/>
      <c r="FR1" s="761"/>
      <c r="FS1" s="761"/>
      <c r="FT1" s="761"/>
      <c r="FU1" s="761"/>
      <c r="FV1" s="761"/>
      <c r="FW1" s="761"/>
      <c r="FX1" s="761"/>
      <c r="FY1" s="761"/>
      <c r="FZ1" s="761"/>
      <c r="GA1" s="761"/>
      <c r="GB1" s="761"/>
      <c r="GC1" s="761"/>
      <c r="GD1" s="761"/>
      <c r="GE1" s="761"/>
      <c r="GF1" s="761"/>
      <c r="GG1" s="761"/>
      <c r="GH1" s="761"/>
      <c r="GI1" s="761"/>
      <c r="GJ1" s="761"/>
    </row>
    <row r="2" spans="2:196" ht="12.75" hidden="1" customHeight="1" thickBot="1" x14ac:dyDescent="0.25">
      <c r="B2" s="35"/>
      <c r="E2" s="73"/>
      <c r="F2" s="73"/>
      <c r="G2" s="73"/>
      <c r="H2" s="73"/>
      <c r="I2" s="10"/>
      <c r="J2" s="10"/>
      <c r="K2" s="10"/>
      <c r="L2" s="10"/>
      <c r="M2" s="474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2"/>
      <c r="BS2" s="102"/>
      <c r="BT2" s="102"/>
      <c r="BU2" s="102"/>
      <c r="BV2" s="102"/>
      <c r="BW2" s="98"/>
      <c r="BX2" s="98"/>
      <c r="BY2" s="98"/>
      <c r="BZ2" s="98"/>
      <c r="CA2" s="98"/>
      <c r="CB2" s="98"/>
      <c r="CC2" s="98"/>
      <c r="CD2" s="74"/>
      <c r="CE2" s="98"/>
      <c r="CF2" s="98"/>
      <c r="CG2" s="98"/>
      <c r="CH2" s="98"/>
      <c r="CI2" s="98"/>
      <c r="CJ2" s="74"/>
      <c r="CK2" s="74"/>
      <c r="CL2" s="74"/>
      <c r="CM2" s="74"/>
      <c r="CN2" s="74"/>
      <c r="CO2" s="74"/>
      <c r="CP2" s="74"/>
      <c r="CQ2" s="74"/>
      <c r="CR2" s="89"/>
      <c r="CS2" s="74"/>
      <c r="CT2" s="74"/>
      <c r="CU2" s="74"/>
      <c r="CV2" s="74"/>
      <c r="CW2" s="74"/>
      <c r="CX2" s="89"/>
      <c r="CY2" s="89"/>
      <c r="CZ2" s="89"/>
      <c r="DA2" s="75"/>
      <c r="DB2" s="75"/>
      <c r="DI2" s="34"/>
      <c r="EC2" s="75"/>
      <c r="ED2" s="75"/>
      <c r="EF2" s="75"/>
      <c r="EI2" s="90"/>
      <c r="EJ2" s="90"/>
      <c r="EK2" s="98"/>
      <c r="EL2" s="98"/>
      <c r="EM2" s="98"/>
      <c r="EN2" s="98"/>
      <c r="EO2" s="90"/>
      <c r="EP2" s="90"/>
      <c r="EQ2" s="74"/>
      <c r="ER2" s="74"/>
      <c r="ES2" s="90"/>
      <c r="ET2" s="90"/>
      <c r="EU2" s="74"/>
      <c r="EV2" s="90"/>
      <c r="EW2" s="305"/>
      <c r="EX2" s="305"/>
      <c r="EY2" s="305"/>
      <c r="EZ2" s="305"/>
      <c r="FA2" s="305"/>
      <c r="FB2" s="305"/>
      <c r="FC2" s="305"/>
      <c r="FD2" s="305"/>
      <c r="FE2" s="305"/>
      <c r="FF2" s="305"/>
      <c r="FG2" s="305"/>
      <c r="FH2" s="305"/>
      <c r="FI2" s="305"/>
      <c r="FJ2" s="90"/>
      <c r="FK2" s="348"/>
      <c r="FL2" s="348"/>
      <c r="FM2" s="348"/>
      <c r="FN2" s="348"/>
      <c r="FO2" s="348"/>
      <c r="FP2" s="348"/>
      <c r="FQ2" s="348"/>
      <c r="FR2" s="348"/>
      <c r="FS2" s="348"/>
      <c r="FT2" s="348"/>
      <c r="FU2" s="348"/>
      <c r="FV2" s="348"/>
      <c r="FW2" s="348"/>
      <c r="FX2" s="305"/>
      <c r="FY2" s="305"/>
      <c r="FZ2" s="305"/>
      <c r="GA2" s="305"/>
      <c r="GB2" s="305"/>
      <c r="GC2" s="305"/>
      <c r="GD2" s="305"/>
      <c r="GE2" s="305"/>
      <c r="GF2" s="305"/>
      <c r="GG2" s="305"/>
      <c r="GH2" s="305"/>
      <c r="GI2" s="305"/>
      <c r="GJ2" s="305"/>
    </row>
    <row r="3" spans="2:196" ht="48.75" customHeight="1" thickBot="1" x14ac:dyDescent="0.25">
      <c r="B3" s="35"/>
      <c r="E3" s="73"/>
      <c r="F3" s="73"/>
      <c r="G3" s="73"/>
      <c r="H3" s="73"/>
      <c r="I3" s="10"/>
      <c r="J3" s="10"/>
      <c r="K3" s="10"/>
      <c r="L3" s="10"/>
      <c r="M3" s="722" t="s">
        <v>0</v>
      </c>
      <c r="N3" s="725" t="s">
        <v>1</v>
      </c>
      <c r="O3" s="474"/>
      <c r="P3" s="474"/>
      <c r="Q3" s="474"/>
      <c r="R3" s="474"/>
      <c r="S3" s="474"/>
      <c r="T3" s="474"/>
      <c r="U3" s="474"/>
      <c r="V3" s="102"/>
      <c r="W3" s="102"/>
      <c r="X3" s="102"/>
      <c r="Y3" s="102"/>
      <c r="Z3" s="102"/>
      <c r="AA3" s="102"/>
      <c r="AB3" s="662" t="s">
        <v>359</v>
      </c>
      <c r="AC3" s="663"/>
      <c r="AD3" s="663"/>
      <c r="AE3" s="663"/>
      <c r="AF3" s="663"/>
      <c r="AG3" s="663"/>
      <c r="AH3" s="664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474"/>
      <c r="AY3" s="647" t="s">
        <v>360</v>
      </c>
      <c r="AZ3" s="647"/>
      <c r="BA3" s="647"/>
      <c r="BB3" s="647"/>
      <c r="BC3" s="647"/>
      <c r="BD3" s="647"/>
      <c r="BE3" s="647"/>
      <c r="BF3" s="658" t="s">
        <v>26</v>
      </c>
      <c r="BG3" s="659"/>
      <c r="BH3" s="659"/>
      <c r="BI3" s="659"/>
      <c r="BJ3" s="659"/>
      <c r="BK3" s="659"/>
      <c r="BL3" s="660"/>
      <c r="BM3" s="660"/>
      <c r="BN3" s="660"/>
      <c r="BO3" s="660"/>
      <c r="BP3" s="660"/>
      <c r="BQ3" s="660"/>
      <c r="BR3" s="660"/>
      <c r="BS3" s="660"/>
      <c r="BT3" s="660"/>
      <c r="BU3" s="660"/>
      <c r="BV3" s="661"/>
      <c r="BW3" s="657" t="s">
        <v>252</v>
      </c>
      <c r="BX3" s="657"/>
      <c r="BY3" s="657"/>
      <c r="BZ3" s="658"/>
      <c r="CA3" s="658"/>
      <c r="CB3" s="658"/>
      <c r="CC3" s="657"/>
      <c r="CD3" s="652" t="s">
        <v>745</v>
      </c>
      <c r="CE3" s="652"/>
      <c r="CF3" s="652"/>
      <c r="CG3" s="652"/>
      <c r="CH3" s="652"/>
      <c r="CI3" s="652"/>
      <c r="CJ3" s="652"/>
      <c r="CK3" s="652" t="s">
        <v>746</v>
      </c>
      <c r="CL3" s="652"/>
      <c r="CM3" s="652"/>
      <c r="CN3" s="652"/>
      <c r="CO3" s="652"/>
      <c r="CP3" s="652"/>
      <c r="CQ3" s="652"/>
      <c r="CR3" s="89"/>
      <c r="CS3" s="647" t="s">
        <v>255</v>
      </c>
      <c r="CT3" s="647"/>
      <c r="CU3" s="647"/>
      <c r="CV3" s="647"/>
      <c r="CW3" s="643"/>
      <c r="CX3" s="647" t="s">
        <v>741</v>
      </c>
      <c r="CY3" s="647"/>
      <c r="CZ3" s="647"/>
      <c r="DA3" s="647"/>
      <c r="DB3" s="647"/>
      <c r="DC3" s="647"/>
      <c r="DI3" s="34"/>
      <c r="EC3" s="75"/>
      <c r="ED3" s="75"/>
      <c r="EF3" s="75"/>
      <c r="EI3" s="90"/>
      <c r="EJ3" s="90"/>
      <c r="EK3" s="98"/>
      <c r="EL3" s="98"/>
      <c r="EM3" s="98"/>
      <c r="EN3" s="98"/>
      <c r="EO3" s="90"/>
      <c r="EP3" s="90"/>
      <c r="EQ3" s="74"/>
      <c r="ER3" s="74"/>
      <c r="ES3" s="90"/>
      <c r="ET3" s="90"/>
      <c r="EU3" s="74"/>
      <c r="EV3" s="90"/>
      <c r="EW3" s="305"/>
      <c r="EX3" s="305"/>
      <c r="EY3" s="305"/>
      <c r="EZ3" s="305"/>
      <c r="FA3" s="305"/>
      <c r="FB3" s="305"/>
      <c r="FC3" s="305"/>
      <c r="FD3" s="305"/>
      <c r="FE3" s="305"/>
      <c r="FF3" s="305"/>
      <c r="FG3" s="305"/>
      <c r="FH3" s="305"/>
      <c r="FI3" s="305"/>
      <c r="FJ3" s="90"/>
      <c r="FK3" s="348"/>
      <c r="FL3" s="348"/>
      <c r="FM3" s="348"/>
      <c r="FN3" s="348"/>
      <c r="FO3" s="348"/>
      <c r="FP3" s="348"/>
      <c r="FQ3" s="348"/>
      <c r="FR3" s="348"/>
      <c r="FS3" s="348"/>
      <c r="FT3" s="348"/>
      <c r="FU3" s="348"/>
      <c r="FV3" s="348"/>
      <c r="FW3" s="348"/>
      <c r="FX3" s="305"/>
      <c r="FY3" s="305"/>
      <c r="FZ3" s="305"/>
      <c r="GA3" s="305"/>
      <c r="GB3" s="305"/>
      <c r="GC3" s="305"/>
      <c r="GD3" s="305"/>
      <c r="GE3" s="305"/>
      <c r="GF3" s="305"/>
      <c r="GG3" s="305"/>
      <c r="GH3" s="305"/>
      <c r="GI3" s="305"/>
      <c r="GJ3" s="305"/>
      <c r="GK3" s="500"/>
      <c r="GN3" s="503"/>
    </row>
    <row r="4" spans="2:196" ht="39.75" customHeight="1" thickBot="1" x14ac:dyDescent="0.3">
      <c r="B4" s="668" t="s">
        <v>247</v>
      </c>
      <c r="C4" s="669"/>
      <c r="D4" s="669"/>
      <c r="E4" s="670"/>
      <c r="F4" s="671" t="s">
        <v>249</v>
      </c>
      <c r="G4" s="672"/>
      <c r="H4" s="673"/>
      <c r="I4" s="50"/>
      <c r="J4" s="50"/>
      <c r="K4" s="50"/>
      <c r="L4" s="50"/>
      <c r="M4" s="723"/>
      <c r="N4" s="725"/>
      <c r="O4" s="289"/>
      <c r="P4" s="289"/>
      <c r="Q4" s="289"/>
      <c r="R4" s="289"/>
      <c r="S4" s="289"/>
      <c r="T4" s="705" t="s">
        <v>305</v>
      </c>
      <c r="U4" s="705" t="s">
        <v>306</v>
      </c>
      <c r="V4" s="753" t="s">
        <v>719</v>
      </c>
      <c r="W4" s="660"/>
      <c r="X4" s="660"/>
      <c r="Y4" s="660"/>
      <c r="Z4" s="660"/>
      <c r="AA4" s="661"/>
      <c r="AB4" s="665" t="s">
        <v>7</v>
      </c>
      <c r="AC4" s="644" t="s">
        <v>328</v>
      </c>
      <c r="AD4" s="653" t="s">
        <v>329</v>
      </c>
      <c r="AE4" s="654"/>
      <c r="AF4" s="655"/>
      <c r="AG4" s="644" t="s">
        <v>331</v>
      </c>
      <c r="AH4" s="479"/>
      <c r="AI4" s="662" t="s">
        <v>320</v>
      </c>
      <c r="AJ4" s="663"/>
      <c r="AK4" s="663"/>
      <c r="AL4" s="663"/>
      <c r="AM4" s="664"/>
      <c r="AN4" s="662" t="s">
        <v>319</v>
      </c>
      <c r="AO4" s="663"/>
      <c r="AP4" s="663"/>
      <c r="AQ4" s="663"/>
      <c r="AR4" s="664"/>
      <c r="AS4" s="662" t="s">
        <v>318</v>
      </c>
      <c r="AT4" s="663"/>
      <c r="AU4" s="663"/>
      <c r="AV4" s="663"/>
      <c r="AW4" s="664"/>
      <c r="AX4" s="674" t="s">
        <v>361</v>
      </c>
      <c r="AY4" s="648" t="s">
        <v>23</v>
      </c>
      <c r="AZ4" s="644" t="s">
        <v>328</v>
      </c>
      <c r="BA4" s="653" t="s">
        <v>329</v>
      </c>
      <c r="BB4" s="654"/>
      <c r="BC4" s="655"/>
      <c r="BD4" s="644" t="s">
        <v>331</v>
      </c>
      <c r="BE4" s="472"/>
      <c r="BF4" s="656" t="s">
        <v>738</v>
      </c>
      <c r="BG4" s="650" t="s">
        <v>328</v>
      </c>
      <c r="BH4" s="653" t="s">
        <v>329</v>
      </c>
      <c r="BI4" s="654"/>
      <c r="BJ4" s="655"/>
      <c r="BK4" s="650" t="s">
        <v>331</v>
      </c>
      <c r="BL4" s="502"/>
      <c r="BM4" s="658" t="s">
        <v>288</v>
      </c>
      <c r="BN4" s="659"/>
      <c r="BO4" s="659"/>
      <c r="BP4" s="659"/>
      <c r="BQ4" s="678"/>
      <c r="BR4" s="679" t="s">
        <v>310</v>
      </c>
      <c r="BS4" s="680"/>
      <c r="BT4" s="680"/>
      <c r="BU4" s="680"/>
      <c r="BV4" s="681"/>
      <c r="BW4" s="648" t="s">
        <v>739</v>
      </c>
      <c r="BX4" s="644" t="s">
        <v>328</v>
      </c>
      <c r="BY4" s="653" t="s">
        <v>329</v>
      </c>
      <c r="BZ4" s="654"/>
      <c r="CA4" s="655"/>
      <c r="CB4" s="644" t="s">
        <v>331</v>
      </c>
      <c r="CC4" s="481"/>
      <c r="CD4" s="648" t="s">
        <v>740</v>
      </c>
      <c r="CE4" s="644" t="s">
        <v>328</v>
      </c>
      <c r="CF4" s="653" t="s">
        <v>329</v>
      </c>
      <c r="CG4" s="654"/>
      <c r="CH4" s="655"/>
      <c r="CI4" s="644" t="s">
        <v>331</v>
      </c>
      <c r="CJ4" s="482"/>
      <c r="CK4" s="648" t="s">
        <v>740</v>
      </c>
      <c r="CL4" s="644" t="s">
        <v>328</v>
      </c>
      <c r="CM4" s="644" t="s">
        <v>329</v>
      </c>
      <c r="CN4" s="644"/>
      <c r="CO4" s="644"/>
      <c r="CP4" s="644" t="s">
        <v>331</v>
      </c>
      <c r="CQ4" s="482"/>
      <c r="CR4" s="682" t="s">
        <v>158</v>
      </c>
      <c r="CS4" s="648" t="s">
        <v>740</v>
      </c>
      <c r="CT4" s="644" t="s">
        <v>328</v>
      </c>
      <c r="CU4" s="644" t="s">
        <v>329</v>
      </c>
      <c r="CV4" s="644" t="s">
        <v>331</v>
      </c>
      <c r="CW4" s="473"/>
      <c r="CX4" s="648" t="s">
        <v>742</v>
      </c>
      <c r="CY4" s="650" t="s">
        <v>328</v>
      </c>
      <c r="CZ4" s="650" t="s">
        <v>329</v>
      </c>
      <c r="DA4" s="650" t="s">
        <v>331</v>
      </c>
      <c r="DB4" s="480"/>
      <c r="DD4" s="676" t="s">
        <v>311</v>
      </c>
      <c r="DE4" s="676" t="s">
        <v>298</v>
      </c>
      <c r="DF4" s="686" t="s">
        <v>312</v>
      </c>
      <c r="DG4" s="687"/>
      <c r="DH4" s="687"/>
      <c r="DI4" s="688"/>
      <c r="DJ4" s="689"/>
      <c r="DK4" s="690" t="s">
        <v>313</v>
      </c>
      <c r="DL4" s="691"/>
      <c r="DM4" s="691"/>
      <c r="DN4" s="692"/>
      <c r="DO4" s="693"/>
      <c r="DP4" s="694" t="s">
        <v>315</v>
      </c>
      <c r="DQ4" s="695"/>
      <c r="DR4" s="695"/>
      <c r="DS4" s="696"/>
      <c r="DT4" s="697"/>
      <c r="DU4" s="698" t="s">
        <v>314</v>
      </c>
      <c r="DV4" s="699"/>
      <c r="DW4" s="700"/>
      <c r="DX4" s="701" t="s">
        <v>292</v>
      </c>
      <c r="DY4" s="25"/>
      <c r="DZ4" s="703" t="s">
        <v>301</v>
      </c>
      <c r="EA4" s="703" t="s">
        <v>302</v>
      </c>
      <c r="EC4" s="684" t="s">
        <v>293</v>
      </c>
      <c r="ED4" s="684" t="s">
        <v>294</v>
      </c>
      <c r="EF4" s="684" t="s">
        <v>295</v>
      </c>
      <c r="EI4" s="657" t="s">
        <v>296</v>
      </c>
      <c r="EJ4" s="657"/>
      <c r="EK4" s="657"/>
      <c r="EL4" s="657"/>
      <c r="EM4" s="657"/>
      <c r="EN4" s="657"/>
      <c r="EO4" s="657"/>
      <c r="EP4" s="657" t="s">
        <v>297</v>
      </c>
      <c r="EQ4" s="657"/>
      <c r="ER4" s="657"/>
      <c r="ES4" s="657"/>
      <c r="ET4" s="657"/>
      <c r="EU4" s="657"/>
      <c r="EV4" s="657"/>
      <c r="EW4" s="750" t="s">
        <v>343</v>
      </c>
      <c r="EX4" s="751"/>
      <c r="EY4" s="752"/>
      <c r="EZ4" s="750" t="s">
        <v>344</v>
      </c>
      <c r="FA4" s="765"/>
      <c r="FB4" s="750" t="s">
        <v>345</v>
      </c>
      <c r="FC4" s="751"/>
      <c r="FD4" s="752"/>
      <c r="FE4" s="750" t="s">
        <v>346</v>
      </c>
      <c r="FF4" s="765"/>
      <c r="FG4" s="768" t="s">
        <v>355</v>
      </c>
      <c r="FH4" s="766" t="s">
        <v>348</v>
      </c>
      <c r="FI4" s="750" t="s">
        <v>349</v>
      </c>
      <c r="FJ4" s="765"/>
      <c r="FK4" s="747" t="s">
        <v>353</v>
      </c>
      <c r="FL4" s="748"/>
      <c r="FM4" s="749"/>
      <c r="FN4" s="747" t="s">
        <v>344</v>
      </c>
      <c r="FO4" s="762"/>
      <c r="FP4" s="747" t="s">
        <v>351</v>
      </c>
      <c r="FQ4" s="748"/>
      <c r="FR4" s="749"/>
      <c r="FS4" s="747" t="s">
        <v>346</v>
      </c>
      <c r="FT4" s="762"/>
      <c r="FU4" s="540"/>
      <c r="FV4" s="763" t="s">
        <v>348</v>
      </c>
      <c r="FW4" s="383" t="s">
        <v>349</v>
      </c>
      <c r="FX4" s="750" t="s">
        <v>354</v>
      </c>
      <c r="FY4" s="751"/>
      <c r="FZ4" s="752"/>
      <c r="GA4" s="750" t="s">
        <v>344</v>
      </c>
      <c r="GB4" s="765"/>
      <c r="GC4" s="750" t="s">
        <v>352</v>
      </c>
      <c r="GD4" s="751"/>
      <c r="GE4" s="752"/>
      <c r="GF4" s="750" t="s">
        <v>346</v>
      </c>
      <c r="GG4" s="765"/>
      <c r="GH4" s="541"/>
      <c r="GI4" s="766" t="s">
        <v>348</v>
      </c>
      <c r="GJ4" s="495" t="s">
        <v>349</v>
      </c>
      <c r="GK4" s="667" t="s">
        <v>692</v>
      </c>
      <c r="GN4" s="503"/>
    </row>
    <row r="5" spans="2:196" ht="238.15" customHeight="1" x14ac:dyDescent="0.25">
      <c r="B5" s="486" t="s">
        <v>180</v>
      </c>
      <c r="C5" s="486" t="s">
        <v>179</v>
      </c>
      <c r="D5" s="486" t="s">
        <v>178</v>
      </c>
      <c r="E5" s="477" t="s">
        <v>0</v>
      </c>
      <c r="F5" s="486" t="s">
        <v>248</v>
      </c>
      <c r="G5" s="486" t="s">
        <v>179</v>
      </c>
      <c r="H5" s="486"/>
      <c r="I5" s="51"/>
      <c r="J5" s="51"/>
      <c r="K5" s="51"/>
      <c r="L5" s="51"/>
      <c r="M5" s="724"/>
      <c r="N5" s="725"/>
      <c r="O5" s="291"/>
      <c r="P5" s="291"/>
      <c r="Q5" s="468" t="s">
        <v>698</v>
      </c>
      <c r="R5" s="291"/>
      <c r="S5" s="291" t="s">
        <v>374</v>
      </c>
      <c r="T5" s="706"/>
      <c r="U5" s="706"/>
      <c r="V5" s="21" t="s">
        <v>7</v>
      </c>
      <c r="W5" s="250" t="s">
        <v>328</v>
      </c>
      <c r="X5" s="250" t="s">
        <v>329</v>
      </c>
      <c r="Y5" s="447" t="s">
        <v>376</v>
      </c>
      <c r="Z5" s="450" t="s">
        <v>377</v>
      </c>
      <c r="AA5" s="250" t="s">
        <v>330</v>
      </c>
      <c r="AB5" s="651"/>
      <c r="AC5" s="645"/>
      <c r="AD5" s="642" t="s">
        <v>735</v>
      </c>
      <c r="AE5" s="642" t="s">
        <v>736</v>
      </c>
      <c r="AF5" s="642" t="s">
        <v>737</v>
      </c>
      <c r="AG5" s="666"/>
      <c r="AH5" s="12" t="s">
        <v>161</v>
      </c>
      <c r="AI5" s="21" t="s">
        <v>7</v>
      </c>
      <c r="AJ5" s="11" t="s">
        <v>160</v>
      </c>
      <c r="AK5" s="11" t="s">
        <v>258</v>
      </c>
      <c r="AL5" s="11" t="s">
        <v>254</v>
      </c>
      <c r="AM5" s="12" t="s">
        <v>161</v>
      </c>
      <c r="AN5" s="21" t="s">
        <v>7</v>
      </c>
      <c r="AO5" s="11" t="s">
        <v>160</v>
      </c>
      <c r="AP5" s="11" t="s">
        <v>258</v>
      </c>
      <c r="AQ5" s="11" t="s">
        <v>254</v>
      </c>
      <c r="AR5" s="12" t="s">
        <v>161</v>
      </c>
      <c r="AS5" s="21" t="s">
        <v>7</v>
      </c>
      <c r="AT5" s="11" t="s">
        <v>160</v>
      </c>
      <c r="AU5" s="11" t="s">
        <v>258</v>
      </c>
      <c r="AV5" s="11" t="s">
        <v>254</v>
      </c>
      <c r="AW5" s="12" t="s">
        <v>161</v>
      </c>
      <c r="AX5" s="675"/>
      <c r="AY5" s="649"/>
      <c r="AZ5" s="645"/>
      <c r="BA5" s="542" t="s">
        <v>735</v>
      </c>
      <c r="BB5" s="642" t="s">
        <v>736</v>
      </c>
      <c r="BC5" s="642" t="s">
        <v>737</v>
      </c>
      <c r="BD5" s="645"/>
      <c r="BE5" s="105" t="s">
        <v>181</v>
      </c>
      <c r="BF5" s="649"/>
      <c r="BG5" s="651"/>
      <c r="BH5" s="542" t="s">
        <v>735</v>
      </c>
      <c r="BI5" s="501" t="s">
        <v>736</v>
      </c>
      <c r="BJ5" s="501" t="s">
        <v>737</v>
      </c>
      <c r="BK5" s="651"/>
      <c r="BL5" s="105" t="s">
        <v>159</v>
      </c>
      <c r="BM5" s="23" t="s">
        <v>24</v>
      </c>
      <c r="BN5" s="104" t="s">
        <v>183</v>
      </c>
      <c r="BO5" s="104" t="s">
        <v>258</v>
      </c>
      <c r="BP5" s="104" t="s">
        <v>182</v>
      </c>
      <c r="BQ5" s="104" t="s">
        <v>181</v>
      </c>
      <c r="BR5" s="68" t="s">
        <v>24</v>
      </c>
      <c r="BS5" s="85" t="s">
        <v>183</v>
      </c>
      <c r="BT5" s="69" t="s">
        <v>184</v>
      </c>
      <c r="BU5" s="69" t="s">
        <v>182</v>
      </c>
      <c r="BV5" s="70" t="s">
        <v>181</v>
      </c>
      <c r="BW5" s="649"/>
      <c r="BX5" s="645"/>
      <c r="BY5" s="542" t="s">
        <v>735</v>
      </c>
      <c r="BZ5" s="642" t="s">
        <v>736</v>
      </c>
      <c r="CA5" s="642" t="s">
        <v>737</v>
      </c>
      <c r="CB5" s="645"/>
      <c r="CC5" s="104" t="s">
        <v>181</v>
      </c>
      <c r="CD5" s="649"/>
      <c r="CE5" s="645"/>
      <c r="CF5" s="542" t="s">
        <v>735</v>
      </c>
      <c r="CG5" s="642" t="s">
        <v>736</v>
      </c>
      <c r="CH5" s="642" t="s">
        <v>737</v>
      </c>
      <c r="CI5" s="645"/>
      <c r="CJ5" s="22" t="s">
        <v>181</v>
      </c>
      <c r="CK5" s="649"/>
      <c r="CL5" s="645"/>
      <c r="CM5" s="645"/>
      <c r="CN5" s="645" t="s">
        <v>376</v>
      </c>
      <c r="CO5" s="645" t="s">
        <v>377</v>
      </c>
      <c r="CP5" s="645"/>
      <c r="CQ5" s="22" t="s">
        <v>181</v>
      </c>
      <c r="CR5" s="683"/>
      <c r="CS5" s="649"/>
      <c r="CT5" s="645"/>
      <c r="CU5" s="645"/>
      <c r="CV5" s="645"/>
      <c r="CW5" s="22" t="s">
        <v>181</v>
      </c>
      <c r="CX5" s="649"/>
      <c r="CY5" s="651"/>
      <c r="CZ5" s="651"/>
      <c r="DA5" s="651"/>
      <c r="DB5" s="22" t="s">
        <v>181</v>
      </c>
      <c r="DD5" s="677"/>
      <c r="DE5" s="677"/>
      <c r="DF5" s="47" t="s">
        <v>24</v>
      </c>
      <c r="DG5" s="100" t="s">
        <v>185</v>
      </c>
      <c r="DH5" s="100" t="s">
        <v>184</v>
      </c>
      <c r="DI5" s="48" t="s">
        <v>182</v>
      </c>
      <c r="DJ5" s="49" t="s">
        <v>181</v>
      </c>
      <c r="DK5" s="543" t="s">
        <v>24</v>
      </c>
      <c r="DL5" s="22" t="s">
        <v>185</v>
      </c>
      <c r="DM5" s="22" t="s">
        <v>184</v>
      </c>
      <c r="DN5" s="22" t="s">
        <v>182</v>
      </c>
      <c r="DO5" s="24" t="s">
        <v>181</v>
      </c>
      <c r="DP5" s="2" t="s">
        <v>24</v>
      </c>
      <c r="DQ5" s="22" t="s">
        <v>185</v>
      </c>
      <c r="DR5" s="22" t="s">
        <v>184</v>
      </c>
      <c r="DS5" s="22" t="s">
        <v>182</v>
      </c>
      <c r="DT5" s="24" t="s">
        <v>181</v>
      </c>
      <c r="DU5" s="22" t="s">
        <v>186</v>
      </c>
      <c r="DV5" s="22" t="s">
        <v>187</v>
      </c>
      <c r="DW5" s="11" t="s">
        <v>188</v>
      </c>
      <c r="DX5" s="702"/>
      <c r="DY5" s="25"/>
      <c r="DZ5" s="704"/>
      <c r="EA5" s="704"/>
      <c r="EC5" s="685"/>
      <c r="ED5" s="685"/>
      <c r="EF5" s="685"/>
      <c r="EI5" s="93" t="s">
        <v>24</v>
      </c>
      <c r="EJ5" s="250" t="s">
        <v>328</v>
      </c>
      <c r="EK5" s="250" t="s">
        <v>329</v>
      </c>
      <c r="EL5" s="447" t="s">
        <v>376</v>
      </c>
      <c r="EM5" s="450" t="s">
        <v>377</v>
      </c>
      <c r="EN5" s="250" t="s">
        <v>331</v>
      </c>
      <c r="EO5" s="91" t="s">
        <v>181</v>
      </c>
      <c r="EP5" s="93" t="s">
        <v>24</v>
      </c>
      <c r="EQ5" s="250" t="s">
        <v>328</v>
      </c>
      <c r="ER5" s="250" t="s">
        <v>329</v>
      </c>
      <c r="ES5" s="447" t="s">
        <v>376</v>
      </c>
      <c r="ET5" s="450" t="s">
        <v>377</v>
      </c>
      <c r="EU5" s="250" t="s">
        <v>331</v>
      </c>
      <c r="EV5" s="104" t="s">
        <v>181</v>
      </c>
      <c r="EW5" s="308" t="s">
        <v>24</v>
      </c>
      <c r="EX5" s="306" t="s">
        <v>341</v>
      </c>
      <c r="EY5" s="307" t="s">
        <v>342</v>
      </c>
      <c r="EZ5" s="306" t="s">
        <v>341</v>
      </c>
      <c r="FA5" s="307" t="s">
        <v>342</v>
      </c>
      <c r="FB5" s="308" t="s">
        <v>24</v>
      </c>
      <c r="FC5" s="306" t="s">
        <v>341</v>
      </c>
      <c r="FD5" s="307" t="s">
        <v>342</v>
      </c>
      <c r="FE5" s="306" t="s">
        <v>341</v>
      </c>
      <c r="FF5" s="307" t="s">
        <v>342</v>
      </c>
      <c r="FG5" s="651"/>
      <c r="FH5" s="767"/>
      <c r="FI5" s="306" t="s">
        <v>350</v>
      </c>
      <c r="FJ5" s="294" t="s">
        <v>342</v>
      </c>
      <c r="FK5" s="349" t="s">
        <v>24</v>
      </c>
      <c r="FL5" s="350" t="s">
        <v>341</v>
      </c>
      <c r="FM5" s="351" t="s">
        <v>342</v>
      </c>
      <c r="FN5" s="350" t="s">
        <v>341</v>
      </c>
      <c r="FO5" s="351" t="s">
        <v>342</v>
      </c>
      <c r="FP5" s="349" t="s">
        <v>24</v>
      </c>
      <c r="FQ5" s="350" t="s">
        <v>341</v>
      </c>
      <c r="FR5" s="351" t="s">
        <v>342</v>
      </c>
      <c r="FS5" s="350" t="s">
        <v>341</v>
      </c>
      <c r="FT5" s="351" t="s">
        <v>342</v>
      </c>
      <c r="FU5" s="406" t="s">
        <v>355</v>
      </c>
      <c r="FV5" s="764"/>
      <c r="FW5" s="350" t="s">
        <v>350</v>
      </c>
      <c r="FX5" s="308" t="s">
        <v>24</v>
      </c>
      <c r="FY5" s="306" t="s">
        <v>341</v>
      </c>
      <c r="FZ5" s="307" t="s">
        <v>342</v>
      </c>
      <c r="GA5" s="306" t="s">
        <v>341</v>
      </c>
      <c r="GB5" s="307" t="s">
        <v>342</v>
      </c>
      <c r="GC5" s="308" t="s">
        <v>24</v>
      </c>
      <c r="GD5" s="306" t="s">
        <v>341</v>
      </c>
      <c r="GE5" s="307" t="s">
        <v>342</v>
      </c>
      <c r="GF5" s="306" t="s">
        <v>341</v>
      </c>
      <c r="GG5" s="307" t="s">
        <v>342</v>
      </c>
      <c r="GH5" s="407" t="s">
        <v>355</v>
      </c>
      <c r="GI5" s="767"/>
      <c r="GJ5" s="451" t="s">
        <v>350</v>
      </c>
      <c r="GK5" s="651"/>
    </row>
    <row r="6" spans="2:196" s="36" customFormat="1" ht="12" hidden="1" customHeight="1" x14ac:dyDescent="0.2">
      <c r="B6" s="28"/>
      <c r="C6" s="28"/>
      <c r="D6" s="28"/>
      <c r="E6" s="1"/>
      <c r="F6" s="1"/>
      <c r="G6" s="1"/>
      <c r="H6" s="1"/>
      <c r="I6" s="1"/>
      <c r="J6" s="1"/>
      <c r="K6" s="1"/>
      <c r="L6" s="1"/>
      <c r="M6" s="1">
        <v>1</v>
      </c>
      <c r="N6" s="1">
        <v>2</v>
      </c>
      <c r="O6" s="1"/>
      <c r="P6" s="1"/>
      <c r="Q6" s="1"/>
      <c r="R6" s="1"/>
      <c r="S6" s="1"/>
      <c r="T6" s="1"/>
      <c r="U6" s="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>
        <v>7</v>
      </c>
      <c r="AI6" s="131">
        <v>3</v>
      </c>
      <c r="AJ6" s="131">
        <v>4</v>
      </c>
      <c r="AK6" s="131">
        <v>5</v>
      </c>
      <c r="AL6" s="131">
        <v>6</v>
      </c>
      <c r="AM6" s="131">
        <v>7</v>
      </c>
      <c r="AN6" s="131">
        <v>3</v>
      </c>
      <c r="AO6" s="131">
        <v>4</v>
      </c>
      <c r="AP6" s="131">
        <v>5</v>
      </c>
      <c r="AQ6" s="131">
        <v>6</v>
      </c>
      <c r="AR6" s="131">
        <v>7</v>
      </c>
      <c r="AS6" s="131">
        <v>3</v>
      </c>
      <c r="AT6" s="131">
        <v>4</v>
      </c>
      <c r="AU6" s="131">
        <v>5</v>
      </c>
      <c r="AV6" s="131">
        <v>6</v>
      </c>
      <c r="AW6" s="131">
        <v>7</v>
      </c>
      <c r="AX6" s="408"/>
      <c r="AY6" s="132"/>
      <c r="AZ6" s="132"/>
      <c r="BA6" s="132"/>
      <c r="BB6" s="132"/>
      <c r="BC6" s="132"/>
      <c r="BD6" s="132"/>
      <c r="BE6" s="132">
        <v>12</v>
      </c>
      <c r="BF6" s="132">
        <v>13</v>
      </c>
      <c r="BG6" s="132">
        <v>14</v>
      </c>
      <c r="BH6" s="132">
        <v>15</v>
      </c>
      <c r="BI6" s="132"/>
      <c r="BJ6" s="132"/>
      <c r="BK6" s="132">
        <v>16</v>
      </c>
      <c r="BL6" s="132">
        <v>17</v>
      </c>
      <c r="BM6" s="132">
        <v>18</v>
      </c>
      <c r="BN6" s="132">
        <v>19</v>
      </c>
      <c r="BO6" s="132">
        <v>20</v>
      </c>
      <c r="BP6" s="132">
        <v>21</v>
      </c>
      <c r="BQ6" s="132">
        <v>22</v>
      </c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>
        <v>22</v>
      </c>
      <c r="CD6" s="133"/>
      <c r="CE6" s="132"/>
      <c r="CF6" s="132"/>
      <c r="CG6" s="132"/>
      <c r="CH6" s="132"/>
      <c r="CI6" s="132"/>
      <c r="CJ6" s="132"/>
      <c r="CK6" s="134"/>
      <c r="CL6" s="134"/>
      <c r="CM6" s="134"/>
      <c r="CN6" s="134"/>
      <c r="CO6" s="134"/>
      <c r="CP6" s="134"/>
      <c r="CQ6" s="134"/>
      <c r="CR6" s="132"/>
      <c r="CS6" s="132"/>
      <c r="CT6" s="132"/>
      <c r="CU6" s="132"/>
      <c r="CV6" s="132"/>
      <c r="CW6" s="132"/>
      <c r="CX6" s="135"/>
      <c r="CY6" s="132">
        <v>39</v>
      </c>
      <c r="CZ6" s="132">
        <v>40</v>
      </c>
      <c r="DA6" s="132">
        <v>41</v>
      </c>
      <c r="DB6" s="132">
        <v>42</v>
      </c>
      <c r="DC6" s="136"/>
      <c r="DD6" s="137">
        <v>11</v>
      </c>
      <c r="DE6" s="137">
        <v>11</v>
      </c>
      <c r="DF6" s="134">
        <v>11</v>
      </c>
      <c r="DG6" s="131">
        <v>11</v>
      </c>
      <c r="DH6" s="131">
        <v>11</v>
      </c>
      <c r="DI6" s="131">
        <v>11</v>
      </c>
      <c r="DJ6" s="138">
        <v>11</v>
      </c>
      <c r="DK6" s="133"/>
      <c r="DL6" s="134"/>
      <c r="DM6" s="132"/>
      <c r="DN6" s="132"/>
      <c r="DO6" s="132"/>
      <c r="DP6" s="135"/>
      <c r="DQ6" s="131"/>
      <c r="DR6" s="131"/>
      <c r="DS6" s="131"/>
      <c r="DT6" s="131"/>
      <c r="DU6" s="131"/>
      <c r="DV6" s="133"/>
      <c r="DW6" s="135"/>
      <c r="DX6" s="131"/>
      <c r="DY6" s="139"/>
      <c r="DZ6" s="5"/>
      <c r="EA6" s="84"/>
      <c r="EC6" s="87"/>
      <c r="ED6" s="88"/>
      <c r="EF6" s="5"/>
      <c r="EI6" s="5"/>
      <c r="EJ6" s="5"/>
      <c r="EK6" s="132"/>
      <c r="EL6" s="132"/>
      <c r="EM6" s="132"/>
      <c r="EN6" s="132"/>
      <c r="EO6" s="9"/>
      <c r="EP6" s="5"/>
      <c r="EQ6" s="134"/>
      <c r="ER6" s="134"/>
      <c r="ES6" s="5"/>
      <c r="ET6" s="5"/>
      <c r="EU6" s="134"/>
      <c r="EV6" s="5"/>
      <c r="EW6" s="306"/>
      <c r="EX6" s="306"/>
      <c r="EY6" s="306"/>
      <c r="EZ6" s="306"/>
      <c r="FA6" s="306"/>
      <c r="FB6" s="306"/>
      <c r="FC6" s="306"/>
      <c r="FD6" s="306"/>
      <c r="FE6" s="306"/>
      <c r="FF6" s="306"/>
      <c r="FG6" s="306"/>
      <c r="FH6" s="306"/>
      <c r="FI6" s="306"/>
      <c r="FJ6" s="5"/>
      <c r="FK6" s="350"/>
      <c r="FL6" s="350"/>
      <c r="FM6" s="350"/>
      <c r="FN6" s="389"/>
      <c r="FO6" s="389"/>
      <c r="FP6" s="350"/>
      <c r="FQ6" s="350"/>
      <c r="FR6" s="350"/>
      <c r="FS6" s="350"/>
      <c r="FT6" s="350"/>
      <c r="FU6" s="350"/>
      <c r="FV6" s="350"/>
      <c r="FW6" s="350"/>
      <c r="FX6" s="306"/>
      <c r="FY6" s="306"/>
      <c r="FZ6" s="306"/>
      <c r="GA6" s="306"/>
      <c r="GB6" s="306"/>
      <c r="GC6" s="306"/>
      <c r="GD6" s="306"/>
      <c r="GE6" s="306"/>
      <c r="GF6" s="306"/>
      <c r="GG6" s="306"/>
      <c r="GH6" s="306"/>
      <c r="GI6" s="306"/>
      <c r="GJ6" s="451"/>
      <c r="GK6" s="461"/>
    </row>
    <row r="7" spans="2:196" s="36" customFormat="1" ht="12" customHeight="1" x14ac:dyDescent="0.2">
      <c r="B7" s="28"/>
      <c r="C7" s="28"/>
      <c r="D7" s="28"/>
      <c r="E7" s="1"/>
      <c r="F7" s="1"/>
      <c r="G7" s="1"/>
      <c r="H7" s="1"/>
      <c r="I7" s="1"/>
      <c r="J7" s="1"/>
      <c r="K7" s="1"/>
      <c r="L7" s="1"/>
      <c r="M7" s="1">
        <v>1</v>
      </c>
      <c r="N7" s="1">
        <v>2</v>
      </c>
      <c r="O7" s="1"/>
      <c r="P7" s="1"/>
      <c r="Q7" s="1"/>
      <c r="R7" s="1"/>
      <c r="S7" s="1"/>
      <c r="T7" s="1"/>
      <c r="U7" s="1"/>
      <c r="V7" s="131"/>
      <c r="W7" s="131"/>
      <c r="X7" s="131"/>
      <c r="Y7" s="131"/>
      <c r="Z7" s="131"/>
      <c r="AA7" s="131"/>
      <c r="AB7" s="1">
        <v>3</v>
      </c>
      <c r="AC7" s="1">
        <v>4</v>
      </c>
      <c r="AD7" s="1">
        <v>5</v>
      </c>
      <c r="AE7" s="1">
        <v>6</v>
      </c>
      <c r="AF7" s="1">
        <v>7</v>
      </c>
      <c r="AG7" s="1">
        <v>8</v>
      </c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>
        <v>9</v>
      </c>
      <c r="AZ7" s="1">
        <v>10</v>
      </c>
      <c r="BA7" s="1">
        <v>11</v>
      </c>
      <c r="BB7" s="1">
        <v>12</v>
      </c>
      <c r="BC7" s="1">
        <v>13</v>
      </c>
      <c r="BD7" s="1">
        <v>14</v>
      </c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">
        <v>15</v>
      </c>
      <c r="BX7" s="1">
        <v>16</v>
      </c>
      <c r="BY7" s="1">
        <v>17</v>
      </c>
      <c r="BZ7" s="1">
        <v>18</v>
      </c>
      <c r="CA7" s="1">
        <v>19</v>
      </c>
      <c r="CB7" s="1">
        <v>20</v>
      </c>
      <c r="CC7" s="1"/>
      <c r="CD7" s="1">
        <v>21</v>
      </c>
      <c r="CE7" s="1">
        <v>22</v>
      </c>
      <c r="CF7" s="1">
        <v>23</v>
      </c>
      <c r="CG7" s="1">
        <v>24</v>
      </c>
      <c r="CH7" s="1">
        <v>25</v>
      </c>
      <c r="CI7" s="1">
        <v>26</v>
      </c>
      <c r="CJ7" s="1"/>
      <c r="CK7" s="1">
        <v>27</v>
      </c>
      <c r="CL7" s="1">
        <v>28</v>
      </c>
      <c r="CM7" s="1">
        <v>29</v>
      </c>
      <c r="CN7" s="1"/>
      <c r="CO7" s="1"/>
      <c r="CP7" s="1">
        <v>30</v>
      </c>
      <c r="CQ7" s="1"/>
      <c r="CR7" s="1"/>
      <c r="CS7" s="1">
        <v>31</v>
      </c>
      <c r="CT7" s="1">
        <v>32</v>
      </c>
      <c r="CU7" s="1">
        <v>33</v>
      </c>
      <c r="CV7" s="1">
        <v>34</v>
      </c>
      <c r="CW7" s="132"/>
      <c r="CX7" s="135"/>
      <c r="CY7" s="132"/>
      <c r="CZ7" s="132"/>
      <c r="DA7" s="132"/>
      <c r="DB7" s="132"/>
      <c r="DC7" s="136"/>
      <c r="DD7" s="137"/>
      <c r="DE7" s="137"/>
      <c r="DF7" s="134"/>
      <c r="DG7" s="131"/>
      <c r="DH7" s="131"/>
      <c r="DI7" s="131"/>
      <c r="DJ7" s="138"/>
      <c r="DK7" s="133"/>
      <c r="DL7" s="134"/>
      <c r="DM7" s="132"/>
      <c r="DN7" s="132"/>
      <c r="DO7" s="132"/>
      <c r="DP7" s="135"/>
      <c r="DQ7" s="131"/>
      <c r="DR7" s="131"/>
      <c r="DS7" s="131"/>
      <c r="DT7" s="131"/>
      <c r="DU7" s="131"/>
      <c r="DV7" s="133"/>
      <c r="DW7" s="135"/>
      <c r="DX7" s="131"/>
      <c r="DY7" s="139"/>
      <c r="DZ7" s="5"/>
      <c r="EA7" s="84"/>
      <c r="EC7" s="87"/>
      <c r="ED7" s="88"/>
      <c r="EF7" s="5"/>
      <c r="EI7" s="5"/>
      <c r="EJ7" s="5"/>
      <c r="EK7" s="132"/>
      <c r="EL7" s="132"/>
      <c r="EM7" s="132"/>
      <c r="EN7" s="132"/>
      <c r="EO7" s="9"/>
      <c r="EP7" s="5"/>
      <c r="EQ7" s="134"/>
      <c r="ER7" s="134"/>
      <c r="ES7" s="5"/>
      <c r="ET7" s="5"/>
      <c r="EU7" s="134"/>
      <c r="EV7" s="5"/>
      <c r="EW7" s="306"/>
      <c r="EX7" s="306"/>
      <c r="EY7" s="306"/>
      <c r="EZ7" s="306"/>
      <c r="FA7" s="306"/>
      <c r="FB7" s="306"/>
      <c r="FC7" s="306"/>
      <c r="FD7" s="306"/>
      <c r="FE7" s="306"/>
      <c r="FF7" s="306"/>
      <c r="FG7" s="306"/>
      <c r="FH7" s="306"/>
      <c r="FI7" s="306"/>
      <c r="FJ7" s="5"/>
      <c r="FK7" s="350"/>
      <c r="FL7" s="350"/>
      <c r="FM7" s="350"/>
      <c r="FN7" s="389"/>
      <c r="FO7" s="389"/>
      <c r="FP7" s="350"/>
      <c r="FQ7" s="350"/>
      <c r="FR7" s="350"/>
      <c r="FS7" s="350"/>
      <c r="FT7" s="350"/>
      <c r="FU7" s="350"/>
      <c r="FV7" s="350"/>
      <c r="FW7" s="350"/>
      <c r="FX7" s="306"/>
      <c r="FY7" s="306"/>
      <c r="FZ7" s="306"/>
      <c r="GA7" s="306"/>
      <c r="GB7" s="306"/>
      <c r="GC7" s="306"/>
      <c r="GD7" s="306"/>
      <c r="GE7" s="306"/>
      <c r="GF7" s="306"/>
      <c r="GG7" s="306"/>
      <c r="GH7" s="306"/>
      <c r="GI7" s="306"/>
      <c r="GJ7" s="451"/>
      <c r="GK7" s="461"/>
    </row>
    <row r="8" spans="2:196" s="115" customFormat="1" ht="18" customHeight="1" x14ac:dyDescent="0.25">
      <c r="B8" s="109"/>
      <c r="C8" s="110"/>
      <c r="D8" s="110"/>
      <c r="E8" s="111"/>
      <c r="F8" s="111"/>
      <c r="G8" s="111"/>
      <c r="H8" s="111"/>
      <c r="I8" s="111"/>
      <c r="J8" s="112"/>
      <c r="K8" s="112"/>
      <c r="L8" s="113"/>
      <c r="M8" s="111"/>
      <c r="N8" s="114" t="s">
        <v>8</v>
      </c>
      <c r="O8" s="114"/>
      <c r="P8" s="114">
        <f>BW8-CD8</f>
        <v>0</v>
      </c>
      <c r="Q8" s="114"/>
      <c r="R8" s="114"/>
      <c r="S8" s="114"/>
      <c r="T8" s="158">
        <f>T9</f>
        <v>2</v>
      </c>
      <c r="U8" s="158">
        <f>U9</f>
        <v>0</v>
      </c>
      <c r="V8" s="57">
        <f>W8+X8+AA8</f>
        <v>3232.3</v>
      </c>
      <c r="W8" s="57">
        <f t="shared" ref="W8:AC8" si="0">W9</f>
        <v>0</v>
      </c>
      <c r="X8" s="57">
        <f t="shared" si="0"/>
        <v>3232.3</v>
      </c>
      <c r="Y8" s="57">
        <f t="shared" si="0"/>
        <v>1018.4</v>
      </c>
      <c r="Z8" s="57">
        <f t="shared" si="0"/>
        <v>2213.9</v>
      </c>
      <c r="AA8" s="57">
        <f t="shared" si="0"/>
        <v>0</v>
      </c>
      <c r="AB8" s="564">
        <f t="shared" ref="AB8:AH8" si="1">AB9</f>
        <v>3232.3</v>
      </c>
      <c r="AC8" s="564">
        <f t="shared" si="0"/>
        <v>0</v>
      </c>
      <c r="AD8" s="564">
        <f t="shared" si="1"/>
        <v>3232.3</v>
      </c>
      <c r="AE8" s="564">
        <f t="shared" si="1"/>
        <v>1018.4</v>
      </c>
      <c r="AF8" s="564">
        <f t="shared" si="1"/>
        <v>2213.9</v>
      </c>
      <c r="AG8" s="564">
        <f t="shared" si="1"/>
        <v>0</v>
      </c>
      <c r="AH8" s="564">
        <f t="shared" si="1"/>
        <v>0</v>
      </c>
      <c r="AI8" s="564">
        <f t="shared" ref="AI8:AM8" si="2">AI9</f>
        <v>18842.718000000001</v>
      </c>
      <c r="AJ8" s="564">
        <f t="shared" si="2"/>
        <v>13101.817999999999</v>
      </c>
      <c r="AK8" s="564">
        <f t="shared" si="2"/>
        <v>1076.4000000000001</v>
      </c>
      <c r="AL8" s="564">
        <f t="shared" si="2"/>
        <v>4664.5</v>
      </c>
      <c r="AM8" s="564">
        <f t="shared" si="2"/>
        <v>0</v>
      </c>
      <c r="AN8" s="564">
        <f t="shared" ref="AN8:AR8" si="3">AN9</f>
        <v>16602.718000000001</v>
      </c>
      <c r="AO8" s="564">
        <f t="shared" si="3"/>
        <v>13101.817999999999</v>
      </c>
      <c r="AP8" s="564">
        <f t="shared" si="3"/>
        <v>1076.4000000000001</v>
      </c>
      <c r="AQ8" s="564">
        <f t="shared" si="3"/>
        <v>2424.5</v>
      </c>
      <c r="AR8" s="564">
        <f t="shared" si="3"/>
        <v>0</v>
      </c>
      <c r="AS8" s="564">
        <f t="shared" ref="AS8:AW8" si="4">AS9</f>
        <v>15994.317999999999</v>
      </c>
      <c r="AT8" s="564">
        <f t="shared" si="4"/>
        <v>13101.817999999999</v>
      </c>
      <c r="AU8" s="564">
        <f t="shared" si="4"/>
        <v>468</v>
      </c>
      <c r="AV8" s="564">
        <f t="shared" si="4"/>
        <v>2424.5</v>
      </c>
      <c r="AW8" s="564">
        <f t="shared" si="4"/>
        <v>0</v>
      </c>
      <c r="AX8" s="565"/>
      <c r="AY8" s="564">
        <f t="shared" ref="AY8:DB23" si="5">AY9</f>
        <v>3232.29999</v>
      </c>
      <c r="AZ8" s="564">
        <f t="shared" si="5"/>
        <v>0</v>
      </c>
      <c r="BA8" s="564">
        <f t="shared" si="5"/>
        <v>3232.29999</v>
      </c>
      <c r="BB8" s="564">
        <f t="shared" si="5"/>
        <v>1018.39999</v>
      </c>
      <c r="BC8" s="564">
        <f t="shared" si="5"/>
        <v>2213.9</v>
      </c>
      <c r="BD8" s="564">
        <f t="shared" si="5"/>
        <v>0</v>
      </c>
      <c r="BE8" s="564">
        <f t="shared" si="5"/>
        <v>0</v>
      </c>
      <c r="BF8" s="564">
        <f>BG8+BH8+BK8</f>
        <v>9.9999999747524271E-6</v>
      </c>
      <c r="BG8" s="564">
        <f>AC8-AZ8</f>
        <v>0</v>
      </c>
      <c r="BH8" s="564">
        <f>BI8+BJ8</f>
        <v>9.9999999747524271E-6</v>
      </c>
      <c r="BI8" s="564">
        <f>AE8-BB8</f>
        <v>9.9999999747524271E-6</v>
      </c>
      <c r="BJ8" s="564">
        <f>AF8-BC8</f>
        <v>0</v>
      </c>
      <c r="BK8" s="564">
        <f>AG8-BD8</f>
        <v>0</v>
      </c>
      <c r="BL8" s="564" t="e">
        <f t="shared" si="5"/>
        <v>#REF!</v>
      </c>
      <c r="BM8" s="564">
        <f t="shared" si="5"/>
        <v>18842.718000000001</v>
      </c>
      <c r="BN8" s="564">
        <f t="shared" si="5"/>
        <v>13101.817999999999</v>
      </c>
      <c r="BO8" s="564">
        <f t="shared" si="5"/>
        <v>1076.4000000000001</v>
      </c>
      <c r="BP8" s="564">
        <f t="shared" si="5"/>
        <v>4664.5</v>
      </c>
      <c r="BQ8" s="564">
        <f t="shared" si="5"/>
        <v>0</v>
      </c>
      <c r="BR8" s="564">
        <f t="shared" si="5"/>
        <v>0</v>
      </c>
      <c r="BS8" s="564">
        <f t="shared" si="5"/>
        <v>0</v>
      </c>
      <c r="BT8" s="564">
        <f t="shared" si="5"/>
        <v>0</v>
      </c>
      <c r="BU8" s="564">
        <f t="shared" si="5"/>
        <v>0</v>
      </c>
      <c r="BV8" s="564">
        <f t="shared" si="5"/>
        <v>0</v>
      </c>
      <c r="BW8" s="564">
        <f t="shared" si="5"/>
        <v>2998.4296300000005</v>
      </c>
      <c r="BX8" s="564">
        <f t="shared" si="5"/>
        <v>0</v>
      </c>
      <c r="BY8" s="564">
        <f>BZ8+CA8</f>
        <v>2998.4296300000005</v>
      </c>
      <c r="BZ8" s="564">
        <f t="shared" si="5"/>
        <v>946.00944000000004</v>
      </c>
      <c r="CA8" s="564">
        <f t="shared" si="5"/>
        <v>2052.4201900000003</v>
      </c>
      <c r="CB8" s="564">
        <f t="shared" si="5"/>
        <v>0</v>
      </c>
      <c r="CC8" s="564">
        <f t="shared" si="5"/>
        <v>0</v>
      </c>
      <c r="CD8" s="564">
        <f t="shared" si="5"/>
        <v>2998.4296300000005</v>
      </c>
      <c r="CE8" s="564">
        <f t="shared" si="5"/>
        <v>0</v>
      </c>
      <c r="CF8" s="564">
        <f>CG8+CH8</f>
        <v>2998.4296300000005</v>
      </c>
      <c r="CG8" s="564">
        <f t="shared" si="5"/>
        <v>946.00944000000004</v>
      </c>
      <c r="CH8" s="564">
        <f t="shared" si="5"/>
        <v>2052.4201900000003</v>
      </c>
      <c r="CI8" s="564">
        <f t="shared" si="5"/>
        <v>0</v>
      </c>
      <c r="CJ8" s="564">
        <f t="shared" si="5"/>
        <v>0</v>
      </c>
      <c r="CK8" s="566">
        <f>CL8+CM8+CP8</f>
        <v>999.47655999999995</v>
      </c>
      <c r="CL8" s="564">
        <f t="shared" ref="CL8:CP8" si="6">CL9</f>
        <v>0</v>
      </c>
      <c r="CM8" s="564">
        <f>CM9</f>
        <v>999.47655999999995</v>
      </c>
      <c r="CN8" s="564">
        <f t="shared" ref="CN8:CO8" si="7">CO8+CP8</f>
        <v>0</v>
      </c>
      <c r="CO8" s="564">
        <f t="shared" si="7"/>
        <v>0</v>
      </c>
      <c r="CP8" s="564">
        <f t="shared" si="6"/>
        <v>0</v>
      </c>
      <c r="CQ8" s="564">
        <f t="shared" si="5"/>
        <v>0</v>
      </c>
      <c r="CR8" s="564">
        <f t="shared" si="5"/>
        <v>3997.9061900000006</v>
      </c>
      <c r="CS8" s="564">
        <f>CT8+CU8+CV8</f>
        <v>3997.9061900000006</v>
      </c>
      <c r="CT8" s="564">
        <f>CE8+CL8</f>
        <v>0</v>
      </c>
      <c r="CU8" s="564">
        <f>CF8+CM8</f>
        <v>3997.9061900000006</v>
      </c>
      <c r="CV8" s="564">
        <f>CI8+CP8</f>
        <v>0</v>
      </c>
      <c r="CW8" s="564">
        <f t="shared" si="5"/>
        <v>0</v>
      </c>
      <c r="CX8" s="564">
        <f t="shared" ca="1" si="5"/>
        <v>0</v>
      </c>
      <c r="CY8" s="564">
        <f>BX8-CE8</f>
        <v>0</v>
      </c>
      <c r="CZ8" s="564">
        <f>BY8-CF8</f>
        <v>0</v>
      </c>
      <c r="DA8" s="564">
        <f>CB8-CI8</f>
        <v>0</v>
      </c>
      <c r="DB8" s="57">
        <f t="shared" si="5"/>
        <v>0</v>
      </c>
      <c r="DC8" s="225">
        <f>DD8+DF8-BR8</f>
        <v>18842.718000000001</v>
      </c>
      <c r="DD8" s="226">
        <f t="shared" ref="DD8:EA8" si="8">DD9</f>
        <v>18842.718000000001</v>
      </c>
      <c r="DE8" s="226">
        <f t="shared" si="8"/>
        <v>18842.718000000001</v>
      </c>
      <c r="DF8" s="57">
        <f t="shared" si="8"/>
        <v>0</v>
      </c>
      <c r="DG8" s="57">
        <f t="shared" si="8"/>
        <v>0</v>
      </c>
      <c r="DH8" s="57">
        <f t="shared" si="8"/>
        <v>0</v>
      </c>
      <c r="DI8" s="57">
        <f t="shared" si="8"/>
        <v>0</v>
      </c>
      <c r="DJ8" s="57">
        <f t="shared" si="8"/>
        <v>0</v>
      </c>
      <c r="DK8" s="57">
        <f t="shared" si="8"/>
        <v>0</v>
      </c>
      <c r="DL8" s="57">
        <f t="shared" si="8"/>
        <v>0</v>
      </c>
      <c r="DM8" s="57">
        <f t="shared" si="8"/>
        <v>0</v>
      </c>
      <c r="DN8" s="57">
        <f t="shared" si="8"/>
        <v>0</v>
      </c>
      <c r="DO8" s="57">
        <f t="shared" si="8"/>
        <v>0</v>
      </c>
      <c r="DP8" s="57">
        <f t="shared" si="8"/>
        <v>0</v>
      </c>
      <c r="DQ8" s="57">
        <f t="shared" si="8"/>
        <v>0</v>
      </c>
      <c r="DR8" s="57">
        <f t="shared" si="8"/>
        <v>0</v>
      </c>
      <c r="DS8" s="57">
        <f t="shared" si="8"/>
        <v>0</v>
      </c>
      <c r="DT8" s="57">
        <f t="shared" si="8"/>
        <v>0</v>
      </c>
      <c r="DU8" s="57">
        <f t="shared" si="8"/>
        <v>0</v>
      </c>
      <c r="DV8" s="57">
        <f t="shared" si="8"/>
        <v>0</v>
      </c>
      <c r="DW8" s="57">
        <f t="shared" si="8"/>
        <v>0</v>
      </c>
      <c r="DX8" s="57">
        <f t="shared" ca="1" si="8"/>
        <v>0</v>
      </c>
      <c r="DY8" s="124"/>
      <c r="DZ8" s="57">
        <f t="shared" si="8"/>
        <v>2998.4296300000005</v>
      </c>
      <c r="EA8" s="57">
        <f t="shared" si="8"/>
        <v>2998.4296300000005</v>
      </c>
      <c r="EB8" s="124"/>
      <c r="EC8" s="57">
        <f t="shared" ref="EC8:FD8" si="9">EC9</f>
        <v>2998.4296300000005</v>
      </c>
      <c r="ED8" s="57">
        <f t="shared" ca="1" si="9"/>
        <v>0</v>
      </c>
      <c r="EE8" s="124"/>
      <c r="EF8" s="57">
        <f t="shared" si="9"/>
        <v>15844.28837</v>
      </c>
      <c r="EG8" s="124">
        <f ca="1">DX8-EF8</f>
        <v>-15844.28837</v>
      </c>
      <c r="EH8" s="124"/>
      <c r="EI8" s="57">
        <f t="shared" ref="EI8:EI71" si="10">EJ8+EK8+EN8</f>
        <v>2998.4296300000005</v>
      </c>
      <c r="EJ8" s="57">
        <f t="shared" ref="EJ8:EN8" si="11">EJ9</f>
        <v>0</v>
      </c>
      <c r="EK8" s="57">
        <f>EL8+EM8</f>
        <v>2998.4296300000005</v>
      </c>
      <c r="EL8" s="57">
        <f t="shared" ref="EL8:EM8" si="12">EL9</f>
        <v>946.00944000000004</v>
      </c>
      <c r="EM8" s="57">
        <f t="shared" si="12"/>
        <v>2052.4201900000003</v>
      </c>
      <c r="EN8" s="57">
        <f t="shared" si="11"/>
        <v>0</v>
      </c>
      <c r="EO8" s="57">
        <f t="shared" ref="EO8" si="13">EO9</f>
        <v>0</v>
      </c>
      <c r="EP8" s="57">
        <f t="shared" ref="EP8:EP71" si="14">EQ8+ER8+EU8</f>
        <v>999.47655999999995</v>
      </c>
      <c r="EQ8" s="57">
        <f t="shared" ref="EQ8" si="15">EQ9</f>
        <v>0</v>
      </c>
      <c r="ER8" s="57">
        <f>ER9</f>
        <v>999.47655999999995</v>
      </c>
      <c r="ES8" s="57">
        <f t="shared" ref="ES8:EU8" si="16">ES9</f>
        <v>315.33649000000003</v>
      </c>
      <c r="ET8" s="57">
        <f t="shared" si="16"/>
        <v>684.14007000000004</v>
      </c>
      <c r="EU8" s="57">
        <f t="shared" si="16"/>
        <v>0</v>
      </c>
      <c r="EV8" s="140">
        <f t="shared" si="9"/>
        <v>0</v>
      </c>
      <c r="EW8" s="57">
        <f t="shared" ref="EW8:EW59" si="17">EX8+EY8+EZ8</f>
        <v>0</v>
      </c>
      <c r="EX8" s="57">
        <f t="shared" si="9"/>
        <v>0</v>
      </c>
      <c r="EY8" s="57">
        <f t="shared" si="9"/>
        <v>0</v>
      </c>
      <c r="EZ8" s="390"/>
      <c r="FA8" s="390"/>
      <c r="FB8" s="57">
        <f t="shared" ref="FB8" si="18">FC8+FD8+FE8</f>
        <v>0</v>
      </c>
      <c r="FC8" s="57">
        <f t="shared" si="9"/>
        <v>0</v>
      </c>
      <c r="FD8" s="57">
        <f t="shared" si="9"/>
        <v>0</v>
      </c>
      <c r="FE8" s="390"/>
      <c r="FF8" s="390"/>
      <c r="FG8" s="390"/>
      <c r="FH8" s="304" t="e">
        <f t="shared" ref="FH8:FI8" si="19">FH9</f>
        <v>#DIV/0!</v>
      </c>
      <c r="FI8" s="57" t="e">
        <f t="shared" si="19"/>
        <v>#DIV/0!</v>
      </c>
      <c r="FJ8" s="295"/>
      <c r="FK8" s="57">
        <f t="shared" ref="FK8" si="20">FL8+FM8+FN8</f>
        <v>3232.29999</v>
      </c>
      <c r="FL8" s="57">
        <f t="shared" ref="FL8:FM8" si="21">FL9</f>
        <v>3232.29999</v>
      </c>
      <c r="FM8" s="57">
        <f t="shared" si="21"/>
        <v>0</v>
      </c>
      <c r="FN8" s="390"/>
      <c r="FO8" s="390"/>
      <c r="FP8" s="57">
        <f t="shared" ref="FP8" si="22">FQ8+FR8+FS8</f>
        <v>3997.9061900000006</v>
      </c>
      <c r="FQ8" s="57">
        <f t="shared" ref="FQ8:FR8" si="23">FQ9</f>
        <v>2998.4296300000005</v>
      </c>
      <c r="FR8" s="57">
        <f t="shared" si="23"/>
        <v>999.47655999999995</v>
      </c>
      <c r="FS8" s="390"/>
      <c r="FT8" s="390"/>
      <c r="FU8" s="390"/>
      <c r="FV8" s="57">
        <f t="shared" ref="FV8:FW8" si="24">FV9</f>
        <v>3997.9061900000006</v>
      </c>
      <c r="FW8" s="57">
        <f t="shared" si="24"/>
        <v>-999.47656000000006</v>
      </c>
      <c r="FX8" s="57">
        <f t="shared" ref="FX8" si="25">FY8+FZ8+GA8</f>
        <v>0</v>
      </c>
      <c r="FY8" s="57">
        <f t="shared" ref="FY8:FZ8" si="26">FY9</f>
        <v>0</v>
      </c>
      <c r="FZ8" s="57">
        <f t="shared" si="26"/>
        <v>0</v>
      </c>
      <c r="GA8" s="390"/>
      <c r="GB8" s="390"/>
      <c r="GC8" s="57">
        <f t="shared" ref="GC8" si="27">GD8+GE8+GF8</f>
        <v>0</v>
      </c>
      <c r="GD8" s="57">
        <f t="shared" ref="GD8:GE8" si="28">GD9</f>
        <v>0</v>
      </c>
      <c r="GE8" s="57">
        <f t="shared" si="28"/>
        <v>0</v>
      </c>
      <c r="GF8" s="390"/>
      <c r="GG8" s="390"/>
      <c r="GH8" s="390"/>
      <c r="GI8" s="304" t="e">
        <f t="shared" ref="GI8:GJ8" si="29">GI9</f>
        <v>#DIV/0!</v>
      </c>
      <c r="GJ8" s="77" t="e">
        <f t="shared" si="29"/>
        <v>#DIV/0!</v>
      </c>
      <c r="GK8" s="462">
        <f t="shared" ref="GK8:GK71" si="30">BW8/AB8</f>
        <v>0.9276458342356837</v>
      </c>
    </row>
    <row r="9" spans="2:196" s="37" customFormat="1" ht="15.6" customHeight="1" x14ac:dyDescent="0.25">
      <c r="B9" s="29">
        <v>1</v>
      </c>
      <c r="C9" s="30"/>
      <c r="D9" s="30"/>
      <c r="E9" s="493">
        <v>1</v>
      </c>
      <c r="F9" s="493">
        <v>1</v>
      </c>
      <c r="G9" s="493"/>
      <c r="H9" s="493">
        <v>1</v>
      </c>
      <c r="I9" s="493"/>
      <c r="J9" s="491"/>
      <c r="K9" s="491"/>
      <c r="L9" s="544"/>
      <c r="M9" s="493">
        <v>1</v>
      </c>
      <c r="N9" s="478" t="s">
        <v>2</v>
      </c>
      <c r="O9" s="478"/>
      <c r="P9" s="470">
        <f>BW9-CD9</f>
        <v>0</v>
      </c>
      <c r="Q9" s="478" t="s">
        <v>701</v>
      </c>
      <c r="R9" s="470" t="s">
        <v>699</v>
      </c>
      <c r="S9" s="448" t="s">
        <v>578</v>
      </c>
      <c r="T9" s="156">
        <v>2</v>
      </c>
      <c r="U9" s="157"/>
      <c r="V9" s="2">
        <f t="shared" ref="V9:V72" si="31">W9+X9+AA9</f>
        <v>3232.3</v>
      </c>
      <c r="W9" s="2">
        <v>0</v>
      </c>
      <c r="X9" s="198">
        <f>Y9+Z9</f>
        <v>3232.3</v>
      </c>
      <c r="Y9" s="198">
        <v>1018.4</v>
      </c>
      <c r="Z9" s="42">
        <v>2213.9</v>
      </c>
      <c r="AA9" s="2"/>
      <c r="AB9" s="567">
        <f>AC9+AD9+AG9+AH9</f>
        <v>3232.3</v>
      </c>
      <c r="AC9" s="567">
        <v>0</v>
      </c>
      <c r="AD9" s="568">
        <f>AE9+AF9</f>
        <v>3232.3</v>
      </c>
      <c r="AE9" s="568">
        <v>1018.4</v>
      </c>
      <c r="AF9" s="569">
        <v>2213.9</v>
      </c>
      <c r="AG9" s="567"/>
      <c r="AH9" s="570"/>
      <c r="AI9" s="567">
        <f>AJ9+AK9+AL9+AM9</f>
        <v>18842.718000000001</v>
      </c>
      <c r="AJ9" s="567">
        <v>13101.817999999999</v>
      </c>
      <c r="AK9" s="568">
        <v>1076.4000000000001</v>
      </c>
      <c r="AL9" s="567">
        <v>4664.5</v>
      </c>
      <c r="AM9" s="570"/>
      <c r="AN9" s="567">
        <f>AO9+AP9+AQ9+AR9</f>
        <v>16602.718000000001</v>
      </c>
      <c r="AO9" s="567">
        <v>13101.817999999999</v>
      </c>
      <c r="AP9" s="568">
        <v>1076.4000000000001</v>
      </c>
      <c r="AQ9" s="567">
        <v>2424.5</v>
      </c>
      <c r="AR9" s="570"/>
      <c r="AS9" s="567">
        <f>AT9+AU9+AV9+AW9</f>
        <v>15994.317999999999</v>
      </c>
      <c r="AT9" s="567">
        <v>13101.817999999999</v>
      </c>
      <c r="AU9" s="568">
        <v>468</v>
      </c>
      <c r="AV9" s="567">
        <v>2424.5</v>
      </c>
      <c r="AW9" s="570"/>
      <c r="AX9" s="409" t="s">
        <v>436</v>
      </c>
      <c r="AY9" s="567">
        <f>AZ9+BA9+BD9+BE9</f>
        <v>3232.29999</v>
      </c>
      <c r="AZ9" s="567"/>
      <c r="BA9" s="568">
        <f>BB9+BC9</f>
        <v>3232.29999</v>
      </c>
      <c r="BB9" s="568">
        <f>1018.4-0.00001</f>
        <v>1018.39999</v>
      </c>
      <c r="BC9" s="569">
        <f>2213.89999+0.00001</f>
        <v>2213.9</v>
      </c>
      <c r="BD9" s="567"/>
      <c r="BE9" s="570"/>
      <c r="BF9" s="567">
        <f t="shared" ref="BF9:BF72" si="32">BG9+BH9+BK9</f>
        <v>9.9999999747524271E-6</v>
      </c>
      <c r="BG9" s="567">
        <f t="shared" ref="BG9:BG72" si="33">AC9-AZ9</f>
        <v>0</v>
      </c>
      <c r="BH9" s="567">
        <f t="shared" ref="BH9:BH72" si="34">BI9+BJ9</f>
        <v>9.9999999747524271E-6</v>
      </c>
      <c r="BI9" s="567">
        <f t="shared" ref="BI9:BI72" si="35">AE9-BB9</f>
        <v>9.9999999747524271E-6</v>
      </c>
      <c r="BJ9" s="567">
        <f t="shared" ref="BJ9:BJ72" si="36">AF9-BC9</f>
        <v>0</v>
      </c>
      <c r="BK9" s="567">
        <f t="shared" ref="BK9:BK72" si="37">AG9-BD9</f>
        <v>0</v>
      </c>
      <c r="BL9" s="567" t="e">
        <f>#REF!-BE9</f>
        <v>#REF!</v>
      </c>
      <c r="BM9" s="567">
        <f>BN9+BO9+BP9+BQ9</f>
        <v>18842.718000000001</v>
      </c>
      <c r="BN9" s="567">
        <v>13101.817999999999</v>
      </c>
      <c r="BO9" s="568">
        <f>468+608.4</f>
        <v>1076.4000000000001</v>
      </c>
      <c r="BP9" s="567">
        <f>2424.5+2240</f>
        <v>4664.5</v>
      </c>
      <c r="BQ9" s="570"/>
      <c r="BR9" s="567">
        <f>BS9+BT9+BU9+BV9</f>
        <v>0</v>
      </c>
      <c r="BS9" s="567"/>
      <c r="BT9" s="568"/>
      <c r="BU9" s="567"/>
      <c r="BV9" s="570"/>
      <c r="BW9" s="567">
        <f>BX9+BY9+CB9+CC9</f>
        <v>2998.4296300000005</v>
      </c>
      <c r="BX9" s="567"/>
      <c r="BY9" s="568">
        <f t="shared" ref="BY9:BY72" si="38">BZ9+CA9</f>
        <v>2998.4296300000005</v>
      </c>
      <c r="BZ9" s="571">
        <f>946.00945-0.00001</f>
        <v>946.00944000000004</v>
      </c>
      <c r="CA9" s="571">
        <f>2052.42018+0.00001</f>
        <v>2052.4201900000003</v>
      </c>
      <c r="CB9" s="567"/>
      <c r="CC9" s="570"/>
      <c r="CD9" s="567">
        <f>CE9+CF9+CI9+CJ9</f>
        <v>2998.4296300000005</v>
      </c>
      <c r="CE9" s="567"/>
      <c r="CF9" s="568">
        <f t="shared" ref="CF9:CF72" si="39">CG9+CH9</f>
        <v>2998.4296300000005</v>
      </c>
      <c r="CG9" s="571">
        <f>946.00945-0.00001</f>
        <v>946.00944000000004</v>
      </c>
      <c r="CH9" s="571">
        <f>2052.42018+0.00001</f>
        <v>2052.4201900000003</v>
      </c>
      <c r="CI9" s="567"/>
      <c r="CJ9" s="570"/>
      <c r="CK9" s="572">
        <f>CL9+CM9+CP9</f>
        <v>999.47655999999995</v>
      </c>
      <c r="CL9" s="567"/>
      <c r="CM9" s="567">
        <v>999.47655999999995</v>
      </c>
      <c r="CN9" s="567"/>
      <c r="CO9" s="567"/>
      <c r="CP9" s="567"/>
      <c r="CQ9" s="567"/>
      <c r="CR9" s="573">
        <f>CS9</f>
        <v>3997.9061900000006</v>
      </c>
      <c r="CS9" s="567">
        <f t="shared" ref="CS9:CS72" si="40">CT9+CU9+CV9</f>
        <v>3997.9061900000006</v>
      </c>
      <c r="CT9" s="567">
        <f t="shared" ref="CT9:CT72" si="41">CE9+CL9</f>
        <v>0</v>
      </c>
      <c r="CU9" s="567">
        <f t="shared" ref="CU9:CU72" si="42">CF9+CM9</f>
        <v>3997.9061900000006</v>
      </c>
      <c r="CV9" s="567">
        <f t="shared" ref="CV9:CV72" si="43">CI9+CP9</f>
        <v>0</v>
      </c>
      <c r="CW9" s="567">
        <f>CJ9+CQ9</f>
        <v>0</v>
      </c>
      <c r="CX9" s="567">
        <f t="shared" ca="1" si="5"/>
        <v>0</v>
      </c>
      <c r="CY9" s="567">
        <f t="shared" ref="CY9:CY72" si="44">BX9-CE9</f>
        <v>0</v>
      </c>
      <c r="CZ9" s="567">
        <f t="shared" ref="CZ9:CZ72" si="45">BY9-CF9</f>
        <v>0</v>
      </c>
      <c r="DA9" s="567">
        <f t="shared" ref="DA9:DA72" si="46">CB9-CI9</f>
        <v>0</v>
      </c>
      <c r="DB9" s="2">
        <f>CC9-CJ9</f>
        <v>0</v>
      </c>
      <c r="DC9" s="76"/>
      <c r="DD9" s="253">
        <f>BM9</f>
        <v>18842.718000000001</v>
      </c>
      <c r="DE9" s="253">
        <f>DD9</f>
        <v>18842.718000000001</v>
      </c>
      <c r="DF9" s="2">
        <f>DG9+DH9+DI9+DJ9</f>
        <v>0</v>
      </c>
      <c r="DG9" s="2"/>
      <c r="DH9" s="198"/>
      <c r="DI9" s="2"/>
      <c r="DJ9" s="234"/>
      <c r="DK9" s="2">
        <f>DL9+DM9+DN9+DO9</f>
        <v>0</v>
      </c>
      <c r="DL9" s="2"/>
      <c r="DM9" s="198"/>
      <c r="DN9" s="2"/>
      <c r="DO9" s="234"/>
      <c r="DP9" s="2">
        <f>DQ9+DR9+DS9+DT9</f>
        <v>0</v>
      </c>
      <c r="DQ9" s="2">
        <f>DG9-DL9</f>
        <v>0</v>
      </c>
      <c r="DR9" s="2">
        <f t="shared" ref="DR9:DT9" si="47">DH9-DM9</f>
        <v>0</v>
      </c>
      <c r="DS9" s="2">
        <f t="shared" si="47"/>
        <v>0</v>
      </c>
      <c r="DT9" s="2">
        <f t="shared" si="47"/>
        <v>0</v>
      </c>
      <c r="DU9" s="2"/>
      <c r="DV9" s="2"/>
      <c r="DW9" s="2"/>
      <c r="DX9" s="2">
        <f ca="1">CX9+DP9+DW9</f>
        <v>0</v>
      </c>
      <c r="DY9" s="46"/>
      <c r="DZ9" s="2">
        <f>BW9+DF9+DU9</f>
        <v>2998.4296300000005</v>
      </c>
      <c r="EA9" s="2">
        <f>CD9+DK9+DV9</f>
        <v>2998.4296300000005</v>
      </c>
      <c r="EB9" s="46"/>
      <c r="EC9" s="2">
        <f>EA9</f>
        <v>2998.4296300000005</v>
      </c>
      <c r="ED9" s="2">
        <f ca="1">DX9</f>
        <v>0</v>
      </c>
      <c r="EE9" s="46"/>
      <c r="EF9" s="2">
        <f>DE9-EC9</f>
        <v>15844.28837</v>
      </c>
      <c r="EG9" s="46"/>
      <c r="EH9" s="46"/>
      <c r="EI9" s="2">
        <f t="shared" si="10"/>
        <v>2998.4296300000005</v>
      </c>
      <c r="EJ9" s="2"/>
      <c r="EK9" s="198">
        <f t="shared" ref="EK9:EK72" si="48">EL9+EM9</f>
        <v>2998.4296300000005</v>
      </c>
      <c r="EL9" s="446">
        <f>946.00945-0.00001</f>
        <v>946.00944000000004</v>
      </c>
      <c r="EM9" s="446">
        <f>2052.42018+0.00001</f>
        <v>2052.4201900000003</v>
      </c>
      <c r="EN9" s="2"/>
      <c r="EO9" s="234"/>
      <c r="EP9" s="2">
        <f t="shared" si="14"/>
        <v>999.47655999999995</v>
      </c>
      <c r="EQ9" s="2"/>
      <c r="ER9" s="2">
        <v>999.47655999999995</v>
      </c>
      <c r="ES9" s="2">
        <v>315.33649000000003</v>
      </c>
      <c r="ET9" s="2">
        <v>684.14007000000004</v>
      </c>
      <c r="EU9" s="2"/>
      <c r="EV9" s="141"/>
      <c r="EW9" s="310">
        <f>EX9+EY9</f>
        <v>0</v>
      </c>
      <c r="EX9" s="310">
        <f>AZ9</f>
        <v>0</v>
      </c>
      <c r="EY9" s="310"/>
      <c r="EZ9" s="396" t="e">
        <f>EX9/EW9</f>
        <v>#DIV/0!</v>
      </c>
      <c r="FA9" s="396" t="e">
        <f>EY9/EW9</f>
        <v>#DIV/0!</v>
      </c>
      <c r="FB9" s="310">
        <f>FC9+FD9</f>
        <v>0</v>
      </c>
      <c r="FC9" s="310">
        <f>EJ9</f>
        <v>0</v>
      </c>
      <c r="FD9" s="310">
        <f>EQ9</f>
        <v>0</v>
      </c>
      <c r="FE9" s="396" t="e">
        <f>FC9/FB9</f>
        <v>#DIV/0!</v>
      </c>
      <c r="FF9" s="396" t="e">
        <f>FD9/FB9</f>
        <v>#DIV/0!</v>
      </c>
      <c r="FG9" s="396"/>
      <c r="FH9" s="311" t="e">
        <f>FB9*EZ9</f>
        <v>#DIV/0!</v>
      </c>
      <c r="FI9" s="310" t="e">
        <f>FC9-FH9</f>
        <v>#DIV/0!</v>
      </c>
      <c r="FJ9" s="296" t="e">
        <f>FH9/FE9</f>
        <v>#DIV/0!</v>
      </c>
      <c r="FK9" s="353">
        <f>FL9+FM9</f>
        <v>3232.29999</v>
      </c>
      <c r="FL9" s="353">
        <f>BA9</f>
        <v>3232.29999</v>
      </c>
      <c r="FM9" s="353"/>
      <c r="FN9" s="388">
        <f>FL9/FK9</f>
        <v>1</v>
      </c>
      <c r="FO9" s="388">
        <f>FM9/FK9</f>
        <v>0</v>
      </c>
      <c r="FP9" s="353">
        <f>FQ9+FR9</f>
        <v>3997.9061900000006</v>
      </c>
      <c r="FQ9" s="353">
        <f>EK9</f>
        <v>2998.4296300000005</v>
      </c>
      <c r="FR9" s="353">
        <f>ER9</f>
        <v>999.47655999999995</v>
      </c>
      <c r="FS9" s="388">
        <f>FQ9/FP9</f>
        <v>0.74999999687336338</v>
      </c>
      <c r="FT9" s="388">
        <f>FR9/FP9</f>
        <v>0.25000000312663662</v>
      </c>
      <c r="FU9" s="388"/>
      <c r="FV9" s="353">
        <f>FP9*FN9</f>
        <v>3997.9061900000006</v>
      </c>
      <c r="FW9" s="353">
        <f>FQ9-FV9</f>
        <v>-999.47656000000006</v>
      </c>
      <c r="FX9" s="310">
        <f>FY9+FZ9</f>
        <v>0</v>
      </c>
      <c r="FY9" s="310">
        <f>BD9</f>
        <v>0</v>
      </c>
      <c r="FZ9" s="310"/>
      <c r="GA9" s="396" t="e">
        <f>FY9/FX9</f>
        <v>#DIV/0!</v>
      </c>
      <c r="GB9" s="396" t="e">
        <f>FZ9/FX9</f>
        <v>#DIV/0!</v>
      </c>
      <c r="GC9" s="310">
        <f>GD9+GE9</f>
        <v>0</v>
      </c>
      <c r="GD9" s="310">
        <f>EN9</f>
        <v>0</v>
      </c>
      <c r="GE9" s="310">
        <f>EU9</f>
        <v>0</v>
      </c>
      <c r="GF9" s="396" t="e">
        <f>GD9/GC9</f>
        <v>#DIV/0!</v>
      </c>
      <c r="GG9" s="396" t="e">
        <f>GE9/GC9</f>
        <v>#DIV/0!</v>
      </c>
      <c r="GH9" s="396"/>
      <c r="GI9" s="311" t="e">
        <f>GC9*GA9</f>
        <v>#DIV/0!</v>
      </c>
      <c r="GJ9" s="344" t="e">
        <f>GD9-GI9</f>
        <v>#DIV/0!</v>
      </c>
      <c r="GK9" s="303">
        <f t="shared" si="30"/>
        <v>0.9276458342356837</v>
      </c>
    </row>
    <row r="10" spans="2:196" s="115" customFormat="1" ht="22.9" customHeight="1" x14ac:dyDescent="0.2">
      <c r="B10" s="109"/>
      <c r="C10" s="110"/>
      <c r="D10" s="110"/>
      <c r="E10" s="111"/>
      <c r="F10" s="111"/>
      <c r="G10" s="111"/>
      <c r="H10" s="111"/>
      <c r="M10" s="111"/>
      <c r="N10" s="114" t="s">
        <v>9</v>
      </c>
      <c r="O10" s="114"/>
      <c r="P10" s="114">
        <f t="shared" ref="P10:P73" si="49">BW10-CD10</f>
        <v>0</v>
      </c>
      <c r="Q10" s="114"/>
      <c r="R10" s="114"/>
      <c r="S10" s="114"/>
      <c r="T10" s="158">
        <f>T11+T12+T13+T14+T15+T16+T17+T18+T19+T20+T21</f>
        <v>13</v>
      </c>
      <c r="U10" s="158">
        <f>U11+U12+U13+U14+U15+U16+U17+U18+U19+U20+U21</f>
        <v>0</v>
      </c>
      <c r="V10" s="57">
        <f t="shared" si="31"/>
        <v>48618.500000000007</v>
      </c>
      <c r="W10" s="57">
        <f t="shared" ref="W10:AA10" si="50">SUM(W11:W21)-W12</f>
        <v>0</v>
      </c>
      <c r="X10" s="57">
        <f t="shared" si="50"/>
        <v>48618.500000000007</v>
      </c>
      <c r="Y10" s="57">
        <f t="shared" si="50"/>
        <v>15318.2</v>
      </c>
      <c r="Z10" s="57">
        <f t="shared" si="50"/>
        <v>33300.300000000003</v>
      </c>
      <c r="AA10" s="57">
        <f t="shared" si="50"/>
        <v>0</v>
      </c>
      <c r="AB10" s="564">
        <f t="shared" ref="AB10:AH10" si="51">SUM(AB11:AB21)-AB12</f>
        <v>48618.500000000007</v>
      </c>
      <c r="AC10" s="564">
        <f t="shared" si="51"/>
        <v>0</v>
      </c>
      <c r="AD10" s="564">
        <f t="shared" si="51"/>
        <v>48618.500000000007</v>
      </c>
      <c r="AE10" s="564">
        <f t="shared" si="51"/>
        <v>14110.825079999999</v>
      </c>
      <c r="AF10" s="564">
        <f t="shared" si="51"/>
        <v>34507.674919999998</v>
      </c>
      <c r="AG10" s="564">
        <f t="shared" si="51"/>
        <v>0</v>
      </c>
      <c r="AH10" s="564">
        <f t="shared" si="51"/>
        <v>0</v>
      </c>
      <c r="AI10" s="564">
        <f t="shared" ref="AI10:AM10" si="52">SUM(AI11:AI21)-AI12</f>
        <v>0</v>
      </c>
      <c r="AJ10" s="564">
        <f t="shared" si="52"/>
        <v>0</v>
      </c>
      <c r="AK10" s="564">
        <f t="shared" si="52"/>
        <v>0</v>
      </c>
      <c r="AL10" s="564">
        <f t="shared" si="52"/>
        <v>0</v>
      </c>
      <c r="AM10" s="564">
        <f t="shared" si="52"/>
        <v>0</v>
      </c>
      <c r="AN10" s="564">
        <f t="shared" ref="AN10:AR10" si="53">SUM(AN11:AN21)-AN12</f>
        <v>0</v>
      </c>
      <c r="AO10" s="564">
        <f t="shared" si="53"/>
        <v>0</v>
      </c>
      <c r="AP10" s="564">
        <f t="shared" si="53"/>
        <v>0</v>
      </c>
      <c r="AQ10" s="564">
        <f t="shared" si="53"/>
        <v>0</v>
      </c>
      <c r="AR10" s="564">
        <f t="shared" si="53"/>
        <v>0</v>
      </c>
      <c r="AS10" s="566">
        <f t="shared" ref="AS10:AW10" si="54">SUM(AS11:AS21)-AS12</f>
        <v>0</v>
      </c>
      <c r="AT10" s="564">
        <f t="shared" si="54"/>
        <v>0</v>
      </c>
      <c r="AU10" s="564">
        <f t="shared" si="54"/>
        <v>0</v>
      </c>
      <c r="AV10" s="564">
        <f t="shared" si="54"/>
        <v>0</v>
      </c>
      <c r="AW10" s="564">
        <f t="shared" si="54"/>
        <v>0</v>
      </c>
      <c r="AX10" s="565"/>
      <c r="AY10" s="564">
        <f t="shared" ref="AY10:BD10" si="55">SUM(AY11:AY21)-AY12</f>
        <v>48601.114399999999</v>
      </c>
      <c r="AZ10" s="564">
        <f t="shared" si="55"/>
        <v>0</v>
      </c>
      <c r="BA10" s="564">
        <f>BA11+BA12+BA13+BA14+BA15+BA16+BA17+BA18+BA19+BA20+BA21</f>
        <v>48601.114399999999</v>
      </c>
      <c r="BB10" s="564">
        <f>BB11+BB12+BB13+BB14+BB15+BB16+BB17+BB18+BB19+BB20+BB21</f>
        <v>14093.439479999997</v>
      </c>
      <c r="BC10" s="564">
        <f t="shared" ref="BC10" si="56">SUM(BC11:BC21)-BC12</f>
        <v>34507.674919999998</v>
      </c>
      <c r="BD10" s="564">
        <f t="shared" si="55"/>
        <v>0</v>
      </c>
      <c r="BE10" s="564">
        <f>SUM(BE11:BE21)-BE12</f>
        <v>0</v>
      </c>
      <c r="BF10" s="564">
        <f t="shared" si="32"/>
        <v>17.385600000001432</v>
      </c>
      <c r="BG10" s="564">
        <f t="shared" si="33"/>
        <v>0</v>
      </c>
      <c r="BH10" s="564">
        <f t="shared" si="34"/>
        <v>17.385600000001432</v>
      </c>
      <c r="BI10" s="564">
        <f t="shared" si="35"/>
        <v>17.385600000001432</v>
      </c>
      <c r="BJ10" s="564">
        <f t="shared" si="36"/>
        <v>0</v>
      </c>
      <c r="BK10" s="564">
        <f t="shared" si="37"/>
        <v>0</v>
      </c>
      <c r="BL10" s="564" t="e">
        <f t="shared" ref="BL10:BQ10" si="57">SUM(BL11:BL21)-BL12</f>
        <v>#REF!</v>
      </c>
      <c r="BM10" s="564">
        <f t="shared" si="57"/>
        <v>17695.45</v>
      </c>
      <c r="BN10" s="564">
        <f t="shared" si="57"/>
        <v>0</v>
      </c>
      <c r="BO10" s="564">
        <f t="shared" si="57"/>
        <v>15058.099999999999</v>
      </c>
      <c r="BP10" s="564">
        <f t="shared" si="57"/>
        <v>2637.35</v>
      </c>
      <c r="BQ10" s="564">
        <f t="shared" si="57"/>
        <v>0</v>
      </c>
      <c r="BR10" s="564">
        <f t="shared" ref="BR10:DB10" si="58">SUM(BR11:BR21)-BR12</f>
        <v>0</v>
      </c>
      <c r="BS10" s="564">
        <f t="shared" si="58"/>
        <v>0</v>
      </c>
      <c r="BT10" s="564">
        <f t="shared" si="58"/>
        <v>0</v>
      </c>
      <c r="BU10" s="564">
        <f t="shared" si="58"/>
        <v>0</v>
      </c>
      <c r="BV10" s="564">
        <f t="shared" si="58"/>
        <v>0</v>
      </c>
      <c r="BW10" s="564">
        <f t="shared" si="58"/>
        <v>47173.337149999999</v>
      </c>
      <c r="BX10" s="564">
        <f t="shared" si="58"/>
        <v>0</v>
      </c>
      <c r="BY10" s="564">
        <f t="shared" si="38"/>
        <v>47173.337150000007</v>
      </c>
      <c r="BZ10" s="564">
        <f t="shared" si="58"/>
        <v>13523.659629999998</v>
      </c>
      <c r="CA10" s="564">
        <f t="shared" si="58"/>
        <v>33649.677520000005</v>
      </c>
      <c r="CB10" s="564">
        <f t="shared" si="58"/>
        <v>0</v>
      </c>
      <c r="CC10" s="564">
        <f t="shared" si="58"/>
        <v>0</v>
      </c>
      <c r="CD10" s="564">
        <f t="shared" si="58"/>
        <v>47173.337149999999</v>
      </c>
      <c r="CE10" s="564">
        <f t="shared" ref="CE10" si="59">SUM(CE11:CE21)-CE12</f>
        <v>0</v>
      </c>
      <c r="CF10" s="564">
        <f t="shared" si="39"/>
        <v>47173.337150000007</v>
      </c>
      <c r="CG10" s="564">
        <f t="shared" ref="CG10:CH10" si="60">SUM(CG11:CG21)-CG12</f>
        <v>13523.659629999998</v>
      </c>
      <c r="CH10" s="564">
        <f t="shared" si="60"/>
        <v>33649.677520000005</v>
      </c>
      <c r="CI10" s="564">
        <f t="shared" ref="CI10" si="61">SUM(CI11:CI21)-CI12</f>
        <v>0</v>
      </c>
      <c r="CJ10" s="564">
        <f t="shared" si="58"/>
        <v>0</v>
      </c>
      <c r="CK10" s="566">
        <f t="shared" si="58"/>
        <v>8241.4065300000002</v>
      </c>
      <c r="CL10" s="564">
        <f t="shared" si="58"/>
        <v>0</v>
      </c>
      <c r="CM10" s="564">
        <f>SUM(CM11:CM21)</f>
        <v>8241.4065300000002</v>
      </c>
      <c r="CN10" s="564">
        <f t="shared" si="58"/>
        <v>986.35822000000007</v>
      </c>
      <c r="CO10" s="564">
        <f t="shared" si="58"/>
        <v>2108.8845200000001</v>
      </c>
      <c r="CP10" s="564">
        <f t="shared" si="58"/>
        <v>0</v>
      </c>
      <c r="CQ10" s="564">
        <f t="shared" si="58"/>
        <v>0</v>
      </c>
      <c r="CR10" s="564">
        <f t="shared" si="58"/>
        <v>55414.743679999992</v>
      </c>
      <c r="CS10" s="564">
        <f t="shared" si="40"/>
        <v>55414.743680000007</v>
      </c>
      <c r="CT10" s="564">
        <f t="shared" si="41"/>
        <v>0</v>
      </c>
      <c r="CU10" s="564">
        <f t="shared" si="42"/>
        <v>55414.743680000007</v>
      </c>
      <c r="CV10" s="564">
        <f t="shared" si="43"/>
        <v>0</v>
      </c>
      <c r="CW10" s="564">
        <f t="shared" si="58"/>
        <v>0</v>
      </c>
      <c r="CX10" s="564">
        <f t="shared" ca="1" si="5"/>
        <v>0</v>
      </c>
      <c r="CY10" s="564">
        <f t="shared" si="44"/>
        <v>0</v>
      </c>
      <c r="CZ10" s="564">
        <f t="shared" si="45"/>
        <v>0</v>
      </c>
      <c r="DA10" s="564">
        <f t="shared" si="46"/>
        <v>0</v>
      </c>
      <c r="DB10" s="57">
        <f t="shared" si="58"/>
        <v>0</v>
      </c>
      <c r="DC10" s="225">
        <f>DD10+DF10-BR10</f>
        <v>17695.449999999997</v>
      </c>
      <c r="DD10" s="226">
        <f t="shared" ref="DD10:DX10" si="62">SUM(DD11:DD21)-DD12</f>
        <v>17695.449999999997</v>
      </c>
      <c r="DE10" s="226">
        <f t="shared" si="62"/>
        <v>17695.449999999997</v>
      </c>
      <c r="DF10" s="57">
        <f t="shared" si="62"/>
        <v>0</v>
      </c>
      <c r="DG10" s="57">
        <f t="shared" si="62"/>
        <v>0</v>
      </c>
      <c r="DH10" s="57">
        <f t="shared" si="62"/>
        <v>0</v>
      </c>
      <c r="DI10" s="57">
        <f t="shared" si="62"/>
        <v>0</v>
      </c>
      <c r="DJ10" s="57">
        <f t="shared" si="62"/>
        <v>0</v>
      </c>
      <c r="DK10" s="57">
        <f t="shared" si="62"/>
        <v>0</v>
      </c>
      <c r="DL10" s="57">
        <f t="shared" si="62"/>
        <v>0</v>
      </c>
      <c r="DM10" s="57">
        <f t="shared" si="62"/>
        <v>0</v>
      </c>
      <c r="DN10" s="57">
        <f t="shared" si="62"/>
        <v>0</v>
      </c>
      <c r="DO10" s="57">
        <f t="shared" si="62"/>
        <v>0</v>
      </c>
      <c r="DP10" s="224">
        <f t="shared" si="62"/>
        <v>0</v>
      </c>
      <c r="DQ10" s="224">
        <f t="shared" si="62"/>
        <v>0</v>
      </c>
      <c r="DR10" s="224">
        <f t="shared" si="62"/>
        <v>0</v>
      </c>
      <c r="DS10" s="224">
        <f t="shared" si="62"/>
        <v>0</v>
      </c>
      <c r="DT10" s="224">
        <f t="shared" si="62"/>
        <v>0</v>
      </c>
      <c r="DU10" s="57">
        <f t="shared" si="62"/>
        <v>0</v>
      </c>
      <c r="DV10" s="57">
        <f t="shared" si="62"/>
        <v>0</v>
      </c>
      <c r="DW10" s="57">
        <f t="shared" si="62"/>
        <v>0</v>
      </c>
      <c r="DX10" s="57">
        <f t="shared" ca="1" si="62"/>
        <v>0</v>
      </c>
      <c r="DY10" s="124"/>
      <c r="DZ10" s="57">
        <f>SUM(DZ11:DZ21)-DZ12</f>
        <v>47173.337149999999</v>
      </c>
      <c r="EA10" s="57">
        <f>SUM(EA11:EA21)-EA12</f>
        <v>47173.337149999999</v>
      </c>
      <c r="EB10" s="124"/>
      <c r="EC10" s="57">
        <f>SUM(EC11:EC21)-EC12</f>
        <v>47173.337149999999</v>
      </c>
      <c r="ED10" s="57">
        <f ca="1">SUM(ED11:ED21)-ED12</f>
        <v>0</v>
      </c>
      <c r="EE10" s="124"/>
      <c r="EF10" s="57">
        <f>SUM(EF11:EF21)-EF12</f>
        <v>-29477.887150000002</v>
      </c>
      <c r="EG10" s="124">
        <f ca="1">DX10-EF10</f>
        <v>29477.887150000002</v>
      </c>
      <c r="EH10" s="124"/>
      <c r="EI10" s="57">
        <f t="shared" si="10"/>
        <v>47173.337150000007</v>
      </c>
      <c r="EJ10" s="57">
        <f t="shared" ref="EJ10:EN10" si="63">SUM(EJ11:EJ21)-EJ12</f>
        <v>0</v>
      </c>
      <c r="EK10" s="57">
        <f t="shared" si="48"/>
        <v>47173.337150000007</v>
      </c>
      <c r="EL10" s="57">
        <f t="shared" ref="EL10:EM10" si="64">SUM(EL11:EL21)-EL12</f>
        <v>13523.659629999998</v>
      </c>
      <c r="EM10" s="57">
        <f t="shared" si="64"/>
        <v>33649.677520000005</v>
      </c>
      <c r="EN10" s="57">
        <f t="shared" si="63"/>
        <v>0</v>
      </c>
      <c r="EO10" s="57">
        <f t="shared" ref="EO10" si="65">SUM(EO11:EO21)-EO12</f>
        <v>0</v>
      </c>
      <c r="EP10" s="57">
        <f t="shared" si="14"/>
        <v>8241.4065300000002</v>
      </c>
      <c r="EQ10" s="57">
        <f t="shared" ref="EQ10" si="66">SUM(EQ11:EQ21)-EQ12</f>
        <v>0</v>
      </c>
      <c r="ER10" s="57">
        <f>SUM(ER11:ER21)</f>
        <v>8241.4065300000002</v>
      </c>
      <c r="ES10" s="57">
        <f t="shared" ref="ES10:EU10" si="67">SUM(ES11:ES21)-ES12</f>
        <v>2159.59708</v>
      </c>
      <c r="ET10" s="57">
        <f t="shared" si="67"/>
        <v>6081.8094500000007</v>
      </c>
      <c r="EU10" s="57">
        <f t="shared" si="67"/>
        <v>0</v>
      </c>
      <c r="EV10" s="140">
        <f t="shared" ref="EV10" si="68">SUM(EV11:EV21)-EV12</f>
        <v>0</v>
      </c>
      <c r="EW10" s="57">
        <f t="shared" si="17"/>
        <v>0</v>
      </c>
      <c r="EX10" s="57">
        <f>AZ10</f>
        <v>0</v>
      </c>
      <c r="EY10" s="57">
        <f t="shared" ref="EY10" si="69">SUM(EY11:EY21)-EY12</f>
        <v>0</v>
      </c>
      <c r="EZ10" s="390"/>
      <c r="FA10" s="390"/>
      <c r="FB10" s="57">
        <f t="shared" ref="FB10:FB64" si="70">FC10+FD10</f>
        <v>0</v>
      </c>
      <c r="FC10" s="57">
        <f>SUM(FC11:FC21)</f>
        <v>0</v>
      </c>
      <c r="FD10" s="57">
        <f>SUM(FD11:FD21)</f>
        <v>0</v>
      </c>
      <c r="FE10" s="390"/>
      <c r="FF10" s="390"/>
      <c r="FG10" s="390"/>
      <c r="FH10" s="304">
        <f t="shared" ref="FH10" si="71">SUM(FH11:FH21)</f>
        <v>0</v>
      </c>
      <c r="FI10" s="57">
        <f t="shared" ref="FI10:FI63" si="72">FH10-FE10</f>
        <v>0</v>
      </c>
      <c r="FJ10" s="295"/>
      <c r="FK10" s="57">
        <f t="shared" ref="FK10:FK73" si="73">FL10+FM10</f>
        <v>48601.114399999999</v>
      </c>
      <c r="FL10" s="57">
        <f>BA10</f>
        <v>48601.114399999999</v>
      </c>
      <c r="FM10" s="57">
        <f t="shared" ref="FM10" si="74">SUM(FM11:FM21)-FM12</f>
        <v>0</v>
      </c>
      <c r="FN10" s="390"/>
      <c r="FO10" s="390"/>
      <c r="FP10" s="57">
        <f t="shared" ref="FP10:FP73" si="75">FQ10+FR10</f>
        <v>36583.512990000003</v>
      </c>
      <c r="FQ10" s="57">
        <f>SUM(FQ11:FQ21)</f>
        <v>30413.541840000002</v>
      </c>
      <c r="FR10" s="57">
        <f>SUM(FR11:FR21)</f>
        <v>6169.9711500000003</v>
      </c>
      <c r="FS10" s="390"/>
      <c r="FT10" s="390"/>
      <c r="FU10" s="390"/>
      <c r="FV10" s="57" t="e">
        <f t="shared" ref="FV10" si="76">SUM(FV11:FV21)</f>
        <v>#DIV/0!</v>
      </c>
      <c r="FW10" s="57" t="e">
        <f t="shared" ref="FW10:FW73" si="77">FQ10-FV10</f>
        <v>#DIV/0!</v>
      </c>
      <c r="FX10" s="57">
        <f t="shared" ref="FX10" si="78">FY10+FZ10+GA10</f>
        <v>0</v>
      </c>
      <c r="FY10" s="57">
        <f>BD10</f>
        <v>0</v>
      </c>
      <c r="FZ10" s="57">
        <f t="shared" ref="FZ10" si="79">SUM(FZ11:FZ21)-FZ12</f>
        <v>0</v>
      </c>
      <c r="GA10" s="390"/>
      <c r="GB10" s="390"/>
      <c r="GC10" s="57">
        <f t="shared" ref="GC10:GC68" si="80">GD10+GE10</f>
        <v>0</v>
      </c>
      <c r="GD10" s="57">
        <f>SUM(GD11:GD21)</f>
        <v>0</v>
      </c>
      <c r="GE10" s="57">
        <f>SUM(GE11:GE21)</f>
        <v>0</v>
      </c>
      <c r="GF10" s="390"/>
      <c r="GG10" s="390"/>
      <c r="GH10" s="390"/>
      <c r="GI10" s="304" t="e">
        <f t="shared" ref="GI10" si="81">SUM(GI11:GI21)</f>
        <v>#DIV/0!</v>
      </c>
      <c r="GJ10" s="77" t="e">
        <f t="shared" ref="GJ10:GJ68" si="82">GD10-GI10</f>
        <v>#DIV/0!</v>
      </c>
      <c r="GK10" s="462">
        <f t="shared" si="30"/>
        <v>0.97027545378816693</v>
      </c>
    </row>
    <row r="11" spans="2:196" s="37" customFormat="1" ht="15.75" customHeight="1" x14ac:dyDescent="0.25">
      <c r="B11" s="29">
        <v>1</v>
      </c>
      <c r="C11" s="30"/>
      <c r="D11" s="30"/>
      <c r="E11" s="493">
        <v>2</v>
      </c>
      <c r="F11" s="29">
        <v>1</v>
      </c>
      <c r="G11" s="30"/>
      <c r="H11" s="30">
        <v>1</v>
      </c>
      <c r="M11" s="493">
        <v>2</v>
      </c>
      <c r="N11" s="494" t="s">
        <v>189</v>
      </c>
      <c r="O11" s="127"/>
      <c r="P11" s="127">
        <f t="shared" si="49"/>
        <v>0</v>
      </c>
      <c r="Q11" s="127"/>
      <c r="R11" s="127"/>
      <c r="S11" s="127" t="s">
        <v>533</v>
      </c>
      <c r="T11" s="476">
        <v>2</v>
      </c>
      <c r="U11" s="127"/>
      <c r="V11" s="2">
        <f t="shared" si="31"/>
        <v>16861.400000000001</v>
      </c>
      <c r="W11" s="2"/>
      <c r="X11" s="198">
        <f>Y11+Z11</f>
        <v>16861.400000000001</v>
      </c>
      <c r="Y11" s="198">
        <f>6549.9+461.8</f>
        <v>7011.7</v>
      </c>
      <c r="Z11" s="42">
        <v>9849.7000000000007</v>
      </c>
      <c r="AA11" s="2"/>
      <c r="AB11" s="567">
        <f t="shared" ref="AB11:AB21" si="83">AC11+AD11+AG11+AH11</f>
        <v>16861.400000000001</v>
      </c>
      <c r="AC11" s="567"/>
      <c r="AD11" s="568">
        <f>AE11+AF11</f>
        <v>16861.400000000001</v>
      </c>
      <c r="AE11" s="568">
        <f>6549.9+461.8-1207.37492</f>
        <v>5804.3250799999996</v>
      </c>
      <c r="AF11" s="569">
        <f>9849.7+1207.37492</f>
        <v>11057.074920000001</v>
      </c>
      <c r="AG11" s="567"/>
      <c r="AH11" s="573"/>
      <c r="AI11" s="567"/>
      <c r="AJ11" s="567"/>
      <c r="AK11" s="568"/>
      <c r="AL11" s="567"/>
      <c r="AM11" s="573"/>
      <c r="AN11" s="567"/>
      <c r="AO11" s="567"/>
      <c r="AP11" s="568"/>
      <c r="AQ11" s="567"/>
      <c r="AR11" s="573"/>
      <c r="AS11" s="567"/>
      <c r="AT11" s="567"/>
      <c r="AU11" s="568"/>
      <c r="AV11" s="567"/>
      <c r="AW11" s="567"/>
      <c r="AX11" s="409" t="s">
        <v>405</v>
      </c>
      <c r="AY11" s="567">
        <f t="shared" ref="AY11:AY21" si="84">AZ11+BA11+BD11+BE11</f>
        <v>16844.0154</v>
      </c>
      <c r="AZ11" s="567"/>
      <c r="BA11" s="567">
        <f t="shared" ref="BA11:BA21" si="85">BB11+BC11</f>
        <v>16844.0154</v>
      </c>
      <c r="BB11" s="567">
        <f>6536.57741+457.73799-1207.37492</f>
        <v>5786.9404799999993</v>
      </c>
      <c r="BC11" s="569">
        <f>9849.7+1207.37492</f>
        <v>11057.074920000001</v>
      </c>
      <c r="BD11" s="567"/>
      <c r="BE11" s="567"/>
      <c r="BF11" s="567">
        <f t="shared" si="32"/>
        <v>17.384600000000319</v>
      </c>
      <c r="BG11" s="567">
        <f t="shared" si="33"/>
        <v>0</v>
      </c>
      <c r="BH11" s="567">
        <f t="shared" si="34"/>
        <v>17.384600000000319</v>
      </c>
      <c r="BI11" s="567">
        <f t="shared" si="35"/>
        <v>17.384600000000319</v>
      </c>
      <c r="BJ11" s="567">
        <f t="shared" si="36"/>
        <v>0</v>
      </c>
      <c r="BK11" s="567">
        <f t="shared" si="37"/>
        <v>0</v>
      </c>
      <c r="BL11" s="567" t="e">
        <f>#REF!-BE11</f>
        <v>#REF!</v>
      </c>
      <c r="BM11" s="567">
        <f t="shared" ref="BM11:BM21" si="86">BN11+BO11+BP11+BQ11</f>
        <v>0</v>
      </c>
      <c r="BN11" s="567"/>
      <c r="BO11" s="567"/>
      <c r="BP11" s="567"/>
      <c r="BQ11" s="567"/>
      <c r="BR11" s="567">
        <f t="shared" ref="BR11:BR21" si="87">BS11+BT11+BU11+BV11</f>
        <v>0</v>
      </c>
      <c r="BS11" s="567"/>
      <c r="BT11" s="567"/>
      <c r="BU11" s="567"/>
      <c r="BV11" s="567"/>
      <c r="BW11" s="567">
        <f t="shared" ref="BW11:BW21" si="88">BX11+BY11+CB11+CC11</f>
        <v>16759.795309999998</v>
      </c>
      <c r="BX11" s="567"/>
      <c r="BY11" s="567">
        <f t="shared" si="38"/>
        <v>16759.795309999998</v>
      </c>
      <c r="BZ11" s="574">
        <f>4518.05015+778.46944+406.2008</f>
        <v>5702.7203899999995</v>
      </c>
      <c r="CA11" s="574">
        <f>1207.37492+9119.79532+729.90468</f>
        <v>11057.074919999999</v>
      </c>
      <c r="CB11" s="567"/>
      <c r="CC11" s="567"/>
      <c r="CD11" s="567">
        <f t="shared" ref="CD11:CD21" si="89">CE11+CF11+CI11+CJ11</f>
        <v>16759.795309999998</v>
      </c>
      <c r="CE11" s="567"/>
      <c r="CF11" s="567">
        <f t="shared" si="39"/>
        <v>16759.795309999998</v>
      </c>
      <c r="CG11" s="574">
        <f>4518.05015+778.46944+406.2008</f>
        <v>5702.7203899999995</v>
      </c>
      <c r="CH11" s="574">
        <f>1207.37492+9119.79532+729.90468</f>
        <v>11057.074919999999</v>
      </c>
      <c r="CI11" s="567"/>
      <c r="CJ11" s="567"/>
      <c r="CK11" s="567">
        <f t="shared" ref="CK11:CK21" si="90">CL11+CM11+CP11+CQ11</f>
        <v>2071.4353799999999</v>
      </c>
      <c r="CL11" s="567"/>
      <c r="CM11" s="567">
        <v>2071.4353799999999</v>
      </c>
      <c r="CN11" s="567"/>
      <c r="CO11" s="567"/>
      <c r="CP11" s="567"/>
      <c r="CQ11" s="567"/>
      <c r="CR11" s="573">
        <f t="shared" ref="CR11:CR21" si="91">CS11</f>
        <v>18831.230689999997</v>
      </c>
      <c r="CS11" s="567">
        <f t="shared" si="40"/>
        <v>18831.230689999997</v>
      </c>
      <c r="CT11" s="567">
        <f t="shared" si="41"/>
        <v>0</v>
      </c>
      <c r="CU11" s="567">
        <f t="shared" si="42"/>
        <v>18831.230689999997</v>
      </c>
      <c r="CV11" s="567">
        <f t="shared" si="43"/>
        <v>0</v>
      </c>
      <c r="CW11" s="567">
        <f t="shared" ref="CW11:CW21" si="92">CJ11+CQ11</f>
        <v>0</v>
      </c>
      <c r="CX11" s="567">
        <f t="shared" ca="1" si="5"/>
        <v>0</v>
      </c>
      <c r="CY11" s="567">
        <f t="shared" si="44"/>
        <v>0</v>
      </c>
      <c r="CZ11" s="567">
        <f t="shared" si="45"/>
        <v>0</v>
      </c>
      <c r="DA11" s="567">
        <f t="shared" si="46"/>
        <v>0</v>
      </c>
      <c r="DB11" s="2">
        <f t="shared" ref="DB11:DB21" si="93">CC11-CJ11</f>
        <v>0</v>
      </c>
      <c r="DC11" s="76"/>
      <c r="DD11" s="253">
        <f>BO11</f>
        <v>0</v>
      </c>
      <c r="DE11" s="253">
        <f>DD11-BR11</f>
        <v>0</v>
      </c>
      <c r="DF11" s="2">
        <f t="shared" ref="DF11:DF21" si="94">DG11+DH11+DI11+DJ11</f>
        <v>0</v>
      </c>
      <c r="DG11" s="2"/>
      <c r="DH11" s="2"/>
      <c r="DI11" s="2"/>
      <c r="DJ11" s="2"/>
      <c r="DK11" s="2">
        <f t="shared" ref="DK11:DK21" si="95">DL11+DM11+DN11+DO11</f>
        <v>0</v>
      </c>
      <c r="DL11" s="2"/>
      <c r="DM11" s="2"/>
      <c r="DN11" s="2"/>
      <c r="DO11" s="2"/>
      <c r="DP11" s="2">
        <f t="shared" ref="DP11:DP21" si="96">DQ11+DR11+DS11+DT11</f>
        <v>0</v>
      </c>
      <c r="DQ11" s="2">
        <f>DG11-DL11</f>
        <v>0</v>
      </c>
      <c r="DR11" s="2">
        <f t="shared" ref="DR11:DT21" si="97">DH11-DM11</f>
        <v>0</v>
      </c>
      <c r="DS11" s="2">
        <f t="shared" si="97"/>
        <v>0</v>
      </c>
      <c r="DT11" s="2">
        <f t="shared" si="97"/>
        <v>0</v>
      </c>
      <c r="DU11" s="2"/>
      <c r="DV11" s="2"/>
      <c r="DW11" s="2"/>
      <c r="DX11" s="2">
        <f t="shared" ref="DX11:DX21" ca="1" si="98">CX11+DP11+DW11</f>
        <v>0</v>
      </c>
      <c r="DY11" s="46"/>
      <c r="DZ11" s="2">
        <f t="shared" ref="DZ11:DZ21" si="99">BW11+DF11+DU11</f>
        <v>16759.795309999998</v>
      </c>
      <c r="EA11" s="2">
        <f t="shared" ref="EA11:EA21" si="100">CD11+DK11+DV11</f>
        <v>16759.795309999998</v>
      </c>
      <c r="EB11" s="46"/>
      <c r="EC11" s="2">
        <f>EA11</f>
        <v>16759.795309999998</v>
      </c>
      <c r="ED11" s="2">
        <f ca="1">DX11</f>
        <v>0</v>
      </c>
      <c r="EE11" s="46"/>
      <c r="EF11" s="2">
        <f>DE11-EC11</f>
        <v>-16759.795309999998</v>
      </c>
      <c r="EG11" s="46"/>
      <c r="EH11" s="46"/>
      <c r="EI11" s="2">
        <f t="shared" si="10"/>
        <v>16759.795309999998</v>
      </c>
      <c r="EJ11" s="2"/>
      <c r="EK11" s="2">
        <f t="shared" si="48"/>
        <v>16759.795309999998</v>
      </c>
      <c r="EL11" s="432">
        <f>4518.05015+778.46944+406.2008</f>
        <v>5702.7203899999995</v>
      </c>
      <c r="EM11" s="432">
        <f>1207.37492+9119.79532+729.90468</f>
        <v>11057.074919999999</v>
      </c>
      <c r="EN11" s="2"/>
      <c r="EO11" s="2"/>
      <c r="EP11" s="2">
        <f t="shared" si="14"/>
        <v>2071.4353799999999</v>
      </c>
      <c r="EQ11" s="2"/>
      <c r="ER11" s="2">
        <v>2071.4353799999999</v>
      </c>
      <c r="ES11" s="2">
        <f>707.63681+96.21533+140.41753</f>
        <v>944.26966999999991</v>
      </c>
      <c r="ET11" s="2">
        <v>1127.16571</v>
      </c>
      <c r="EU11" s="2"/>
      <c r="EV11" s="141"/>
      <c r="EW11" s="310"/>
      <c r="EX11" s="310"/>
      <c r="EY11" s="310"/>
      <c r="EZ11" s="396"/>
      <c r="FA11" s="396"/>
      <c r="FB11" s="310"/>
      <c r="FC11" s="310"/>
      <c r="FD11" s="310"/>
      <c r="FE11" s="396"/>
      <c r="FF11" s="396"/>
      <c r="FG11" s="396"/>
      <c r="FH11" s="311"/>
      <c r="FI11" s="310"/>
      <c r="FJ11" s="296" t="e">
        <f t="shared" ref="FJ11:FJ21" si="101">FH11/FE11</f>
        <v>#DIV/0!</v>
      </c>
      <c r="FK11" s="353"/>
      <c r="FL11" s="353"/>
      <c r="FM11" s="353"/>
      <c r="FN11" s="388"/>
      <c r="FO11" s="388"/>
      <c r="FP11" s="353"/>
      <c r="FQ11" s="353"/>
      <c r="FR11" s="353"/>
      <c r="FS11" s="388"/>
      <c r="FT11" s="388"/>
      <c r="FU11" s="388"/>
      <c r="FV11" s="353"/>
      <c r="FW11" s="353">
        <f t="shared" si="77"/>
        <v>0</v>
      </c>
      <c r="FX11" s="310"/>
      <c r="FY11" s="310"/>
      <c r="FZ11" s="310"/>
      <c r="GA11" s="396"/>
      <c r="GB11" s="396"/>
      <c r="GC11" s="310"/>
      <c r="GD11" s="310"/>
      <c r="GE11" s="310"/>
      <c r="GF11" s="396"/>
      <c r="GG11" s="396"/>
      <c r="GH11" s="396"/>
      <c r="GI11" s="311"/>
      <c r="GJ11" s="344"/>
      <c r="GK11" s="303">
        <f t="shared" si="30"/>
        <v>0.99397412492438331</v>
      </c>
    </row>
    <row r="12" spans="2:196" s="37" customFormat="1" ht="15.75" hidden="1" customHeight="1" x14ac:dyDescent="0.25">
      <c r="B12" s="29"/>
      <c r="C12" s="30"/>
      <c r="D12" s="30"/>
      <c r="E12" s="493"/>
      <c r="F12" s="29"/>
      <c r="G12" s="30"/>
      <c r="H12" s="30"/>
      <c r="M12" s="493"/>
      <c r="N12" s="18" t="s">
        <v>246</v>
      </c>
      <c r="O12" s="128"/>
      <c r="P12" s="128">
        <f t="shared" si="49"/>
        <v>0</v>
      </c>
      <c r="Q12" s="128"/>
      <c r="R12" s="128"/>
      <c r="S12" s="128"/>
      <c r="T12" s="128"/>
      <c r="U12" s="128"/>
      <c r="V12" s="2">
        <f t="shared" si="31"/>
        <v>0</v>
      </c>
      <c r="W12" s="2"/>
      <c r="X12" s="198">
        <f>Y12+Z12</f>
        <v>0</v>
      </c>
      <c r="Y12" s="233"/>
      <c r="Z12" s="43"/>
      <c r="AA12" s="2"/>
      <c r="AB12" s="567">
        <f t="shared" si="83"/>
        <v>0</v>
      </c>
      <c r="AC12" s="567"/>
      <c r="AD12" s="568">
        <f>AE12+AF12</f>
        <v>0</v>
      </c>
      <c r="AE12" s="575"/>
      <c r="AF12" s="576"/>
      <c r="AG12" s="567"/>
      <c r="AH12" s="573"/>
      <c r="AI12" s="567"/>
      <c r="AJ12" s="567"/>
      <c r="AK12" s="575"/>
      <c r="AL12" s="567"/>
      <c r="AM12" s="573"/>
      <c r="AN12" s="567"/>
      <c r="AO12" s="567"/>
      <c r="AP12" s="575"/>
      <c r="AQ12" s="567"/>
      <c r="AR12" s="573"/>
      <c r="AS12" s="567"/>
      <c r="AT12" s="567"/>
      <c r="AU12" s="575"/>
      <c r="AV12" s="567"/>
      <c r="AW12" s="567"/>
      <c r="AX12" s="409"/>
      <c r="AY12" s="567">
        <f t="shared" si="84"/>
        <v>0</v>
      </c>
      <c r="AZ12" s="567"/>
      <c r="BA12" s="567">
        <f t="shared" si="85"/>
        <v>0</v>
      </c>
      <c r="BB12" s="567"/>
      <c r="BC12" s="567"/>
      <c r="BD12" s="567"/>
      <c r="BE12" s="567"/>
      <c r="BF12" s="567">
        <f t="shared" si="32"/>
        <v>0</v>
      </c>
      <c r="BG12" s="567">
        <f t="shared" si="33"/>
        <v>0</v>
      </c>
      <c r="BH12" s="567">
        <f t="shared" si="34"/>
        <v>0</v>
      </c>
      <c r="BI12" s="567">
        <f t="shared" si="35"/>
        <v>0</v>
      </c>
      <c r="BJ12" s="567">
        <f t="shared" si="36"/>
        <v>0</v>
      </c>
      <c r="BK12" s="567">
        <f t="shared" si="37"/>
        <v>0</v>
      </c>
      <c r="BL12" s="567" t="e">
        <f>#REF!-BE12</f>
        <v>#REF!</v>
      </c>
      <c r="BM12" s="567">
        <f t="shared" si="86"/>
        <v>0</v>
      </c>
      <c r="BN12" s="567"/>
      <c r="BO12" s="567"/>
      <c r="BP12" s="567"/>
      <c r="BQ12" s="567"/>
      <c r="BR12" s="567">
        <f t="shared" si="87"/>
        <v>0</v>
      </c>
      <c r="BS12" s="567"/>
      <c r="BT12" s="567"/>
      <c r="BU12" s="567"/>
      <c r="BV12" s="567"/>
      <c r="BW12" s="567">
        <f t="shared" si="88"/>
        <v>0</v>
      </c>
      <c r="BX12" s="567"/>
      <c r="BY12" s="567">
        <f t="shared" si="38"/>
        <v>0</v>
      </c>
      <c r="BZ12" s="574"/>
      <c r="CA12" s="574"/>
      <c r="CB12" s="567"/>
      <c r="CC12" s="567"/>
      <c r="CD12" s="567">
        <f t="shared" si="89"/>
        <v>0</v>
      </c>
      <c r="CE12" s="567"/>
      <c r="CF12" s="567">
        <f t="shared" si="39"/>
        <v>0</v>
      </c>
      <c r="CG12" s="574"/>
      <c r="CH12" s="574"/>
      <c r="CI12" s="567"/>
      <c r="CJ12" s="567"/>
      <c r="CK12" s="567">
        <f t="shared" si="90"/>
        <v>0</v>
      </c>
      <c r="CL12" s="567"/>
      <c r="CM12" s="567">
        <f t="shared" ref="CM12:CM71" si="102">CN12+CO12</f>
        <v>0</v>
      </c>
      <c r="CN12" s="567"/>
      <c r="CO12" s="567"/>
      <c r="CP12" s="567"/>
      <c r="CQ12" s="567"/>
      <c r="CR12" s="573">
        <f t="shared" si="91"/>
        <v>0</v>
      </c>
      <c r="CS12" s="567">
        <f t="shared" si="40"/>
        <v>0</v>
      </c>
      <c r="CT12" s="567">
        <f t="shared" si="41"/>
        <v>0</v>
      </c>
      <c r="CU12" s="567">
        <f t="shared" si="42"/>
        <v>0</v>
      </c>
      <c r="CV12" s="567">
        <f t="shared" si="43"/>
        <v>0</v>
      </c>
      <c r="CW12" s="567">
        <f t="shared" si="92"/>
        <v>0</v>
      </c>
      <c r="CX12" s="567">
        <f t="shared" ca="1" si="5"/>
        <v>0</v>
      </c>
      <c r="CY12" s="567">
        <f t="shared" si="44"/>
        <v>0</v>
      </c>
      <c r="CZ12" s="567">
        <f t="shared" si="45"/>
        <v>0</v>
      </c>
      <c r="DA12" s="567">
        <f t="shared" si="46"/>
        <v>0</v>
      </c>
      <c r="DB12" s="2">
        <f t="shared" si="93"/>
        <v>0</v>
      </c>
      <c r="DC12" s="76"/>
      <c r="DD12" s="253"/>
      <c r="DE12" s="253"/>
      <c r="DF12" s="2">
        <f t="shared" si="94"/>
        <v>0</v>
      </c>
      <c r="DG12" s="2"/>
      <c r="DH12" s="2"/>
      <c r="DI12" s="2"/>
      <c r="DJ12" s="2"/>
      <c r="DK12" s="2">
        <f t="shared" si="95"/>
        <v>0</v>
      </c>
      <c r="DL12" s="2"/>
      <c r="DM12" s="2"/>
      <c r="DN12" s="2"/>
      <c r="DO12" s="2"/>
      <c r="DP12" s="2">
        <f t="shared" si="96"/>
        <v>0</v>
      </c>
      <c r="DQ12" s="2">
        <f t="shared" ref="DQ12:DQ21" si="103">DG12-DL12</f>
        <v>0</v>
      </c>
      <c r="DR12" s="2">
        <f t="shared" si="97"/>
        <v>0</v>
      </c>
      <c r="DS12" s="2">
        <f t="shared" si="97"/>
        <v>0</v>
      </c>
      <c r="DT12" s="2">
        <f t="shared" si="97"/>
        <v>0</v>
      </c>
      <c r="DU12" s="2"/>
      <c r="DV12" s="2"/>
      <c r="DW12" s="2"/>
      <c r="DX12" s="2">
        <f t="shared" ca="1" si="98"/>
        <v>0</v>
      </c>
      <c r="DY12" s="46"/>
      <c r="DZ12" s="2">
        <f t="shared" si="99"/>
        <v>0</v>
      </c>
      <c r="EA12" s="2">
        <f t="shared" si="100"/>
        <v>0</v>
      </c>
      <c r="EB12" s="46"/>
      <c r="EC12" s="2">
        <f>EA12</f>
        <v>0</v>
      </c>
      <c r="ED12" s="2">
        <f ca="1">DX12</f>
        <v>0</v>
      </c>
      <c r="EE12" s="46"/>
      <c r="EF12" s="2"/>
      <c r="EG12" s="46"/>
      <c r="EH12" s="46"/>
      <c r="EI12" s="2">
        <f t="shared" si="10"/>
        <v>0</v>
      </c>
      <c r="EJ12" s="2"/>
      <c r="EK12" s="2">
        <f t="shared" si="48"/>
        <v>0</v>
      </c>
      <c r="EL12" s="432"/>
      <c r="EM12" s="432"/>
      <c r="EN12" s="2"/>
      <c r="EO12" s="2"/>
      <c r="EP12" s="2">
        <f t="shared" si="14"/>
        <v>0</v>
      </c>
      <c r="EQ12" s="2"/>
      <c r="ER12" s="2">
        <f t="shared" ref="ER12:ER71" si="104">ES12+ET12</f>
        <v>0</v>
      </c>
      <c r="ES12" s="2"/>
      <c r="ET12" s="2"/>
      <c r="EU12" s="2"/>
      <c r="EV12" s="141"/>
      <c r="EW12" s="310"/>
      <c r="EX12" s="310"/>
      <c r="EY12" s="310"/>
      <c r="EZ12" s="396"/>
      <c r="FA12" s="396"/>
      <c r="FB12" s="310"/>
      <c r="FC12" s="310"/>
      <c r="FD12" s="310"/>
      <c r="FE12" s="396"/>
      <c r="FF12" s="396"/>
      <c r="FG12" s="396"/>
      <c r="FH12" s="311"/>
      <c r="FI12" s="310"/>
      <c r="FJ12" s="296" t="e">
        <f t="shared" si="101"/>
        <v>#DIV/0!</v>
      </c>
      <c r="FK12" s="353"/>
      <c r="FL12" s="353"/>
      <c r="FM12" s="353"/>
      <c r="FN12" s="388"/>
      <c r="FO12" s="388"/>
      <c r="FP12" s="353"/>
      <c r="FQ12" s="353"/>
      <c r="FR12" s="353"/>
      <c r="FS12" s="388"/>
      <c r="FT12" s="388"/>
      <c r="FU12" s="388"/>
      <c r="FV12" s="353"/>
      <c r="FW12" s="353">
        <f t="shared" si="77"/>
        <v>0</v>
      </c>
      <c r="FX12" s="310"/>
      <c r="FY12" s="310"/>
      <c r="FZ12" s="310"/>
      <c r="GA12" s="396"/>
      <c r="GB12" s="396"/>
      <c r="GC12" s="310"/>
      <c r="GD12" s="310"/>
      <c r="GE12" s="310"/>
      <c r="GF12" s="396"/>
      <c r="GG12" s="396"/>
      <c r="GH12" s="396"/>
      <c r="GI12" s="311"/>
      <c r="GJ12" s="344"/>
      <c r="GK12" s="303" t="e">
        <f t="shared" si="30"/>
        <v>#DIV/0!</v>
      </c>
    </row>
    <row r="13" spans="2:196" s="37" customFormat="1" ht="15.6" customHeight="1" x14ac:dyDescent="0.25">
      <c r="B13" s="29"/>
      <c r="C13" s="30">
        <v>1</v>
      </c>
      <c r="D13" s="30"/>
      <c r="E13" s="493">
        <v>3</v>
      </c>
      <c r="F13" s="29"/>
      <c r="G13" s="30">
        <v>1</v>
      </c>
      <c r="H13" s="30">
        <v>1</v>
      </c>
      <c r="I13" s="493"/>
      <c r="J13" s="494"/>
      <c r="K13" s="54"/>
      <c r="M13" s="442">
        <v>3</v>
      </c>
      <c r="N13" s="494" t="s">
        <v>34</v>
      </c>
      <c r="O13" s="494"/>
      <c r="P13" s="494">
        <f t="shared" si="49"/>
        <v>0</v>
      </c>
      <c r="Q13" s="494" t="s">
        <v>701</v>
      </c>
      <c r="R13" s="494" t="s">
        <v>699</v>
      </c>
      <c r="S13" s="494" t="s">
        <v>555</v>
      </c>
      <c r="T13" s="493">
        <v>2</v>
      </c>
      <c r="U13" s="493"/>
      <c r="V13" s="2">
        <f t="shared" si="31"/>
        <v>8977.5</v>
      </c>
      <c r="W13" s="2"/>
      <c r="X13" s="2">
        <f t="shared" ref="X13:X38" si="105">Y13+Z13</f>
        <v>8977.5</v>
      </c>
      <c r="Y13" s="2">
        <v>1129.3</v>
      </c>
      <c r="Z13" s="2">
        <v>7848.2</v>
      </c>
      <c r="AA13" s="2"/>
      <c r="AB13" s="567">
        <f t="shared" si="83"/>
        <v>8977.5</v>
      </c>
      <c r="AC13" s="567"/>
      <c r="AD13" s="567">
        <f t="shared" ref="AD13:AD38" si="106">AE13+AF13</f>
        <v>8977.5</v>
      </c>
      <c r="AE13" s="567">
        <v>1129.3</v>
      </c>
      <c r="AF13" s="567">
        <v>7848.2</v>
      </c>
      <c r="AG13" s="567"/>
      <c r="AH13" s="570"/>
      <c r="AI13" s="567"/>
      <c r="AJ13" s="567"/>
      <c r="AK13" s="567"/>
      <c r="AL13" s="567"/>
      <c r="AM13" s="570"/>
      <c r="AN13" s="567"/>
      <c r="AO13" s="567"/>
      <c r="AP13" s="567"/>
      <c r="AQ13" s="567"/>
      <c r="AR13" s="570"/>
      <c r="AS13" s="567"/>
      <c r="AT13" s="567"/>
      <c r="AU13" s="567"/>
      <c r="AV13" s="567"/>
      <c r="AW13" s="570"/>
      <c r="AX13" s="409" t="s">
        <v>424</v>
      </c>
      <c r="AY13" s="567">
        <f t="shared" si="84"/>
        <v>8977.5</v>
      </c>
      <c r="AZ13" s="567"/>
      <c r="BA13" s="567">
        <f t="shared" si="85"/>
        <v>8977.5</v>
      </c>
      <c r="BB13" s="567">
        <v>1129.3</v>
      </c>
      <c r="BC13" s="567">
        <v>7848.2</v>
      </c>
      <c r="BD13" s="567"/>
      <c r="BE13" s="570"/>
      <c r="BF13" s="567">
        <f t="shared" si="32"/>
        <v>0</v>
      </c>
      <c r="BG13" s="567">
        <f t="shared" si="33"/>
        <v>0</v>
      </c>
      <c r="BH13" s="567">
        <f t="shared" si="34"/>
        <v>0</v>
      </c>
      <c r="BI13" s="567">
        <f t="shared" si="35"/>
        <v>0</v>
      </c>
      <c r="BJ13" s="567">
        <f t="shared" si="36"/>
        <v>0</v>
      </c>
      <c r="BK13" s="567">
        <f t="shared" si="37"/>
        <v>0</v>
      </c>
      <c r="BL13" s="567" t="e">
        <f>#REF!-BE13</f>
        <v>#REF!</v>
      </c>
      <c r="BM13" s="567">
        <f t="shared" si="86"/>
        <v>0</v>
      </c>
      <c r="BN13" s="567"/>
      <c r="BO13" s="567"/>
      <c r="BP13" s="567"/>
      <c r="BQ13" s="570"/>
      <c r="BR13" s="567">
        <f t="shared" si="87"/>
        <v>0</v>
      </c>
      <c r="BS13" s="567"/>
      <c r="BT13" s="568"/>
      <c r="BU13" s="567"/>
      <c r="BV13" s="570"/>
      <c r="BW13" s="567">
        <f t="shared" si="88"/>
        <v>8951.0716499999999</v>
      </c>
      <c r="BX13" s="567"/>
      <c r="BY13" s="567">
        <f t="shared" si="38"/>
        <v>8951.0716499999999</v>
      </c>
      <c r="BZ13" s="574">
        <v>1129.3</v>
      </c>
      <c r="CA13" s="574">
        <f>621.30551+1926.89584+2711.03856+2562.53174</f>
        <v>7821.7716500000006</v>
      </c>
      <c r="CB13" s="567"/>
      <c r="CC13" s="577"/>
      <c r="CD13" s="567">
        <f t="shared" si="89"/>
        <v>8951.0716499999999</v>
      </c>
      <c r="CE13" s="567"/>
      <c r="CF13" s="567">
        <f t="shared" si="39"/>
        <v>8951.0716499999999</v>
      </c>
      <c r="CG13" s="574">
        <v>1129.3</v>
      </c>
      <c r="CH13" s="574">
        <f>621.30551+1926.89584+2711.03856+2562.53174</f>
        <v>7821.7716500000006</v>
      </c>
      <c r="CI13" s="567"/>
      <c r="CJ13" s="570"/>
      <c r="CK13" s="567">
        <f t="shared" si="90"/>
        <v>778.38279</v>
      </c>
      <c r="CL13" s="567"/>
      <c r="CM13" s="567">
        <v>778.38279</v>
      </c>
      <c r="CN13" s="567"/>
      <c r="CO13" s="567"/>
      <c r="CP13" s="567"/>
      <c r="CQ13" s="567"/>
      <c r="CR13" s="573">
        <f t="shared" si="91"/>
        <v>9729.4544399999995</v>
      </c>
      <c r="CS13" s="567">
        <f t="shared" si="40"/>
        <v>9729.4544399999995</v>
      </c>
      <c r="CT13" s="567">
        <f t="shared" si="41"/>
        <v>0</v>
      </c>
      <c r="CU13" s="567">
        <f t="shared" si="42"/>
        <v>9729.4544399999995</v>
      </c>
      <c r="CV13" s="567">
        <f t="shared" si="43"/>
        <v>0</v>
      </c>
      <c r="CW13" s="567">
        <f t="shared" si="92"/>
        <v>0</v>
      </c>
      <c r="CX13" s="567">
        <f t="shared" ca="1" si="5"/>
        <v>0</v>
      </c>
      <c r="CY13" s="567">
        <f t="shared" si="44"/>
        <v>0</v>
      </c>
      <c r="CZ13" s="567">
        <f t="shared" si="45"/>
        <v>0</v>
      </c>
      <c r="DA13" s="567">
        <f t="shared" si="46"/>
        <v>0</v>
      </c>
      <c r="DB13" s="2">
        <f t="shared" si="93"/>
        <v>0</v>
      </c>
      <c r="DC13" s="76"/>
      <c r="DD13" s="545">
        <f>BM13+BM16+BM19+BA301</f>
        <v>12134.05</v>
      </c>
      <c r="DE13" s="545">
        <f>DD13+DF19-BR19</f>
        <v>12134.05</v>
      </c>
      <c r="DF13" s="2">
        <f t="shared" si="94"/>
        <v>0</v>
      </c>
      <c r="DG13" s="2"/>
      <c r="DH13" s="198"/>
      <c r="DI13" s="2"/>
      <c r="DJ13" s="234"/>
      <c r="DK13" s="2">
        <f t="shared" si="95"/>
        <v>0</v>
      </c>
      <c r="DL13" s="2"/>
      <c r="DM13" s="198"/>
      <c r="DN13" s="2"/>
      <c r="DO13" s="234"/>
      <c r="DP13" s="2">
        <f t="shared" si="96"/>
        <v>0</v>
      </c>
      <c r="DQ13" s="2">
        <f t="shared" si="103"/>
        <v>0</v>
      </c>
      <c r="DR13" s="2">
        <f t="shared" si="97"/>
        <v>0</v>
      </c>
      <c r="DS13" s="2">
        <f t="shared" si="97"/>
        <v>0</v>
      </c>
      <c r="DT13" s="2">
        <f t="shared" si="97"/>
        <v>0</v>
      </c>
      <c r="DU13" s="2"/>
      <c r="DV13" s="2">
        <v>0</v>
      </c>
      <c r="DW13" s="2">
        <f>DU13-DV13</f>
        <v>0</v>
      </c>
      <c r="DX13" s="2">
        <f t="shared" ca="1" si="98"/>
        <v>0</v>
      </c>
      <c r="DY13" s="46"/>
      <c r="DZ13" s="2">
        <f t="shared" si="99"/>
        <v>8951.0716499999999</v>
      </c>
      <c r="EA13" s="2">
        <f t="shared" si="100"/>
        <v>8951.0716499999999</v>
      </c>
      <c r="EB13" s="46"/>
      <c r="EC13" s="546">
        <f>EA13+EA16+EA19</f>
        <v>19398.024990000002</v>
      </c>
      <c r="ED13" s="546">
        <f ca="1">DX13+DX16+DX19</f>
        <v>0</v>
      </c>
      <c r="EE13" s="46"/>
      <c r="EF13" s="546">
        <f>DE13-EC13</f>
        <v>-7263.9749900000024</v>
      </c>
      <c r="EG13" s="46">
        <f ca="1">EF13-ED13</f>
        <v>-7263.9749900000024</v>
      </c>
      <c r="EH13" s="46"/>
      <c r="EI13" s="2">
        <f t="shared" si="10"/>
        <v>8951.0716499999999</v>
      </c>
      <c r="EJ13" s="2"/>
      <c r="EK13" s="2">
        <f t="shared" si="48"/>
        <v>8951.0716499999999</v>
      </c>
      <c r="EL13" s="432">
        <v>1129.3</v>
      </c>
      <c r="EM13" s="432">
        <f>621.30551+1926.89584+2711.03856+2562.53174</f>
        <v>7821.7716500000006</v>
      </c>
      <c r="EN13" s="2"/>
      <c r="EO13" s="234"/>
      <c r="EP13" s="2">
        <f t="shared" si="14"/>
        <v>778.38279</v>
      </c>
      <c r="EQ13" s="2"/>
      <c r="ER13" s="2">
        <v>778.38279</v>
      </c>
      <c r="ES13" s="2">
        <v>98.2</v>
      </c>
      <c r="ET13" s="2">
        <f>54.02885+167.56324+235.75244+222.83826</f>
        <v>680.18279000000007</v>
      </c>
      <c r="EU13" s="2"/>
      <c r="EV13" s="141"/>
      <c r="EW13" s="310"/>
      <c r="EX13" s="310"/>
      <c r="EY13" s="310"/>
      <c r="EZ13" s="396"/>
      <c r="FA13" s="396"/>
      <c r="FB13" s="310"/>
      <c r="FC13" s="310"/>
      <c r="FD13" s="310"/>
      <c r="FE13" s="396"/>
      <c r="FF13" s="396"/>
      <c r="FG13" s="396"/>
      <c r="FH13" s="311"/>
      <c r="FI13" s="310"/>
      <c r="FJ13" s="296" t="e">
        <f t="shared" si="101"/>
        <v>#DIV/0!</v>
      </c>
      <c r="FK13" s="353">
        <f t="shared" si="73"/>
        <v>8977.5</v>
      </c>
      <c r="FL13" s="353">
        <f>BA13</f>
        <v>8977.5</v>
      </c>
      <c r="FM13" s="353"/>
      <c r="FN13" s="388">
        <f t="shared" ref="FN13:FN21" si="107">FL13/FK13</f>
        <v>1</v>
      </c>
      <c r="FO13" s="388">
        <f t="shared" ref="FO13:FO21" si="108">FM13/FK13</f>
        <v>0</v>
      </c>
      <c r="FP13" s="353">
        <f t="shared" si="75"/>
        <v>9729.4544399999995</v>
      </c>
      <c r="FQ13" s="353">
        <f t="shared" ref="FQ13:FQ21" si="109">EK13</f>
        <v>8951.0716499999999</v>
      </c>
      <c r="FR13" s="353">
        <f t="shared" ref="FR13:FR21" si="110">ER13</f>
        <v>778.38279</v>
      </c>
      <c r="FS13" s="388">
        <f t="shared" ref="FS13:FS21" si="111">FQ13/FP13</f>
        <v>0.91999728301312655</v>
      </c>
      <c r="FT13" s="388">
        <f t="shared" ref="FT13:FT21" si="112">FR13/FP13</f>
        <v>8.0002716986873529E-2</v>
      </c>
      <c r="FU13" s="388"/>
      <c r="FV13" s="353">
        <f t="shared" ref="FV13:FV40" si="113">FP13*FN13</f>
        <v>9729.4544399999995</v>
      </c>
      <c r="FW13" s="353">
        <f t="shared" si="77"/>
        <v>-778.38278999999966</v>
      </c>
      <c r="FX13" s="310">
        <f t="shared" ref="FX13:FX19" si="114">FY13+FZ13</f>
        <v>0</v>
      </c>
      <c r="FY13" s="310">
        <f>BD13</f>
        <v>0</v>
      </c>
      <c r="FZ13" s="310"/>
      <c r="GA13" s="396" t="e">
        <f t="shared" ref="GA13:GA19" si="115">FY13/FX13</f>
        <v>#DIV/0!</v>
      </c>
      <c r="GB13" s="396" t="e">
        <f t="shared" ref="GB13:GB19" si="116">FZ13/FX13</f>
        <v>#DIV/0!</v>
      </c>
      <c r="GC13" s="310">
        <f t="shared" si="80"/>
        <v>0</v>
      </c>
      <c r="GD13" s="310">
        <f t="shared" ref="GD13:GD19" si="117">EN13</f>
        <v>0</v>
      </c>
      <c r="GE13" s="310">
        <f t="shared" ref="GE13:GE19" si="118">EU13</f>
        <v>0</v>
      </c>
      <c r="GF13" s="396" t="e">
        <f t="shared" ref="GF13:GF19" si="119">GD13/GC13</f>
        <v>#DIV/0!</v>
      </c>
      <c r="GG13" s="396" t="e">
        <f t="shared" ref="GG13:GG19" si="120">GE13/GC13</f>
        <v>#DIV/0!</v>
      </c>
      <c r="GH13" s="396"/>
      <c r="GI13" s="311" t="e">
        <f t="shared" ref="GI13:GI19" si="121">GC13*GA13</f>
        <v>#DIV/0!</v>
      </c>
      <c r="GJ13" s="344" t="e">
        <f t="shared" si="82"/>
        <v>#DIV/0!</v>
      </c>
      <c r="GK13" s="303">
        <f t="shared" si="30"/>
        <v>0.99705615705931494</v>
      </c>
    </row>
    <row r="14" spans="2:196" s="37" customFormat="1" ht="15.75" customHeight="1" x14ac:dyDescent="0.25">
      <c r="B14" s="29"/>
      <c r="C14" s="30"/>
      <c r="D14" s="30">
        <v>1</v>
      </c>
      <c r="E14" s="493">
        <v>4</v>
      </c>
      <c r="F14" s="29"/>
      <c r="G14" s="30"/>
      <c r="H14" s="30">
        <v>1</v>
      </c>
      <c r="I14" s="493"/>
      <c r="J14" s="494"/>
      <c r="K14" s="54"/>
      <c r="M14" s="493">
        <v>4</v>
      </c>
      <c r="N14" s="494" t="s">
        <v>190</v>
      </c>
      <c r="O14" s="494"/>
      <c r="P14" s="494">
        <f t="shared" si="49"/>
        <v>0</v>
      </c>
      <c r="Q14" s="494" t="s">
        <v>701</v>
      </c>
      <c r="R14" s="494" t="s">
        <v>699</v>
      </c>
      <c r="S14" s="494">
        <v>383</v>
      </c>
      <c r="T14" s="493">
        <v>1</v>
      </c>
      <c r="U14" s="493"/>
      <c r="V14" s="2">
        <f t="shared" si="31"/>
        <v>1811.4</v>
      </c>
      <c r="W14" s="2"/>
      <c r="X14" s="198">
        <f t="shared" si="105"/>
        <v>1811.4</v>
      </c>
      <c r="Y14" s="198">
        <v>570.70000000000005</v>
      </c>
      <c r="Z14" s="42">
        <v>1240.7</v>
      </c>
      <c r="AA14" s="2"/>
      <c r="AB14" s="567">
        <f t="shared" si="83"/>
        <v>1811.4</v>
      </c>
      <c r="AC14" s="567"/>
      <c r="AD14" s="568">
        <f t="shared" si="106"/>
        <v>1811.4</v>
      </c>
      <c r="AE14" s="568">
        <v>570.70000000000005</v>
      </c>
      <c r="AF14" s="569">
        <v>1240.7</v>
      </c>
      <c r="AG14" s="567"/>
      <c r="AH14" s="570"/>
      <c r="AI14" s="567"/>
      <c r="AJ14" s="567"/>
      <c r="AK14" s="568"/>
      <c r="AL14" s="567"/>
      <c r="AM14" s="570"/>
      <c r="AN14" s="567"/>
      <c r="AO14" s="567"/>
      <c r="AP14" s="568"/>
      <c r="AQ14" s="567"/>
      <c r="AR14" s="570"/>
      <c r="AS14" s="567"/>
      <c r="AT14" s="567"/>
      <c r="AU14" s="568"/>
      <c r="AV14" s="567"/>
      <c r="AW14" s="570"/>
      <c r="AX14" s="409" t="s">
        <v>654</v>
      </c>
      <c r="AY14" s="567">
        <f t="shared" si="84"/>
        <v>1811.4</v>
      </c>
      <c r="AZ14" s="567"/>
      <c r="BA14" s="568">
        <f t="shared" si="85"/>
        <v>1811.4</v>
      </c>
      <c r="BB14" s="568">
        <v>570.70000000000005</v>
      </c>
      <c r="BC14" s="569">
        <v>1240.7</v>
      </c>
      <c r="BD14" s="567"/>
      <c r="BE14" s="570"/>
      <c r="BF14" s="567">
        <f t="shared" si="32"/>
        <v>0</v>
      </c>
      <c r="BG14" s="567">
        <f t="shared" si="33"/>
        <v>0</v>
      </c>
      <c r="BH14" s="567">
        <f t="shared" si="34"/>
        <v>0</v>
      </c>
      <c r="BI14" s="567">
        <f t="shared" si="35"/>
        <v>0</v>
      </c>
      <c r="BJ14" s="567">
        <f t="shared" si="36"/>
        <v>0</v>
      </c>
      <c r="BK14" s="567">
        <f t="shared" si="37"/>
        <v>0</v>
      </c>
      <c r="BL14" s="567" t="e">
        <f>#REF!-BE14</f>
        <v>#REF!</v>
      </c>
      <c r="BM14" s="567">
        <f t="shared" si="86"/>
        <v>1117.8</v>
      </c>
      <c r="BN14" s="567"/>
      <c r="BO14" s="568">
        <v>1117.8</v>
      </c>
      <c r="BP14" s="567"/>
      <c r="BQ14" s="570"/>
      <c r="BR14" s="567">
        <f t="shared" si="87"/>
        <v>0</v>
      </c>
      <c r="BS14" s="567"/>
      <c r="BT14" s="568"/>
      <c r="BU14" s="567"/>
      <c r="BV14" s="570"/>
      <c r="BW14" s="567">
        <f t="shared" si="88"/>
        <v>1811.4</v>
      </c>
      <c r="BX14" s="567"/>
      <c r="BY14" s="578">
        <f t="shared" si="38"/>
        <v>1811.4</v>
      </c>
      <c r="BZ14" s="578">
        <v>570.70000000000005</v>
      </c>
      <c r="CA14" s="571">
        <v>1240.7</v>
      </c>
      <c r="CB14" s="567"/>
      <c r="CC14" s="577"/>
      <c r="CD14" s="567">
        <f t="shared" si="89"/>
        <v>1811.4</v>
      </c>
      <c r="CE14" s="567"/>
      <c r="CF14" s="578">
        <f t="shared" si="39"/>
        <v>1811.4</v>
      </c>
      <c r="CG14" s="578">
        <v>570.70000000000005</v>
      </c>
      <c r="CH14" s="571">
        <v>1240.7</v>
      </c>
      <c r="CI14" s="567"/>
      <c r="CJ14" s="570"/>
      <c r="CK14" s="567">
        <f t="shared" si="90"/>
        <v>503.22360000000003</v>
      </c>
      <c r="CL14" s="567"/>
      <c r="CM14" s="567">
        <f t="shared" si="102"/>
        <v>503.22360000000003</v>
      </c>
      <c r="CN14" s="567">
        <v>158.54570000000001</v>
      </c>
      <c r="CO14" s="567">
        <v>344.67790000000002</v>
      </c>
      <c r="CP14" s="567"/>
      <c r="CQ14" s="567"/>
      <c r="CR14" s="573">
        <f t="shared" si="91"/>
        <v>2314.6235999999999</v>
      </c>
      <c r="CS14" s="567">
        <f t="shared" si="40"/>
        <v>2314.6235999999999</v>
      </c>
      <c r="CT14" s="567">
        <f t="shared" si="41"/>
        <v>0</v>
      </c>
      <c r="CU14" s="567">
        <f t="shared" si="42"/>
        <v>2314.6235999999999</v>
      </c>
      <c r="CV14" s="567">
        <f t="shared" si="43"/>
        <v>0</v>
      </c>
      <c r="CW14" s="567">
        <f t="shared" si="92"/>
        <v>0</v>
      </c>
      <c r="CX14" s="567">
        <f t="shared" ca="1" si="5"/>
        <v>0</v>
      </c>
      <c r="CY14" s="567">
        <f t="shared" si="44"/>
        <v>0</v>
      </c>
      <c r="CZ14" s="567">
        <f t="shared" si="45"/>
        <v>0</v>
      </c>
      <c r="DA14" s="567">
        <f t="shared" si="46"/>
        <v>0</v>
      </c>
      <c r="DB14" s="2">
        <f t="shared" si="93"/>
        <v>0</v>
      </c>
      <c r="DC14" s="76"/>
      <c r="DD14" s="253">
        <f>BM14+BM15+BM17+BM18+BM20+BM21</f>
        <v>5561.4</v>
      </c>
      <c r="DE14" s="253">
        <f>DD14-BR17</f>
        <v>5561.4</v>
      </c>
      <c r="DF14" s="2">
        <f t="shared" si="94"/>
        <v>0</v>
      </c>
      <c r="DG14" s="2"/>
      <c r="DH14" s="198"/>
      <c r="DI14" s="2"/>
      <c r="DJ14" s="234"/>
      <c r="DK14" s="2">
        <f t="shared" si="95"/>
        <v>0</v>
      </c>
      <c r="DL14" s="2"/>
      <c r="DM14" s="198"/>
      <c r="DN14" s="2"/>
      <c r="DO14" s="234"/>
      <c r="DP14" s="2">
        <f t="shared" si="96"/>
        <v>0</v>
      </c>
      <c r="DQ14" s="2">
        <f t="shared" si="103"/>
        <v>0</v>
      </c>
      <c r="DR14" s="2">
        <f t="shared" si="97"/>
        <v>0</v>
      </c>
      <c r="DS14" s="2">
        <f t="shared" si="97"/>
        <v>0</v>
      </c>
      <c r="DT14" s="2">
        <f t="shared" si="97"/>
        <v>0</v>
      </c>
      <c r="DU14" s="2"/>
      <c r="DV14" s="2"/>
      <c r="DW14" s="2"/>
      <c r="DX14" s="2">
        <f t="shared" ca="1" si="98"/>
        <v>0</v>
      </c>
      <c r="DY14" s="46"/>
      <c r="DZ14" s="2">
        <f t="shared" si="99"/>
        <v>1811.4</v>
      </c>
      <c r="EA14" s="2">
        <f t="shared" si="100"/>
        <v>1811.4</v>
      </c>
      <c r="EB14" s="46"/>
      <c r="EC14" s="2">
        <f>EA14+EA15+EA17+EA18+EA20+EA21</f>
        <v>11015.51685</v>
      </c>
      <c r="ED14" s="2">
        <f ca="1">DX14+DX15+DX17+DX18+DX20+DX21</f>
        <v>0</v>
      </c>
      <c r="EE14" s="46"/>
      <c r="EF14" s="2">
        <f>DE14-EC14</f>
        <v>-5454.1168500000003</v>
      </c>
      <c r="EG14" s="46"/>
      <c r="EH14" s="46"/>
      <c r="EI14" s="2">
        <f t="shared" si="10"/>
        <v>1811.4</v>
      </c>
      <c r="EJ14" s="2"/>
      <c r="EK14" s="433">
        <f t="shared" si="48"/>
        <v>1811.4</v>
      </c>
      <c r="EL14" s="433">
        <v>570.70000000000005</v>
      </c>
      <c r="EM14" s="446">
        <v>1240.7</v>
      </c>
      <c r="EN14" s="2"/>
      <c r="EO14" s="234"/>
      <c r="EP14" s="2">
        <f t="shared" si="14"/>
        <v>503.22360000000003</v>
      </c>
      <c r="EQ14" s="2"/>
      <c r="ER14" s="2">
        <f t="shared" si="104"/>
        <v>503.22360000000003</v>
      </c>
      <c r="ES14" s="2">
        <v>158.54570000000001</v>
      </c>
      <c r="ET14" s="2">
        <v>344.67790000000002</v>
      </c>
      <c r="EU14" s="2"/>
      <c r="EV14" s="141"/>
      <c r="EW14" s="310"/>
      <c r="EX14" s="310"/>
      <c r="EY14" s="310"/>
      <c r="EZ14" s="396"/>
      <c r="FA14" s="396"/>
      <c r="FB14" s="310"/>
      <c r="FC14" s="310"/>
      <c r="FD14" s="310"/>
      <c r="FE14" s="396"/>
      <c r="FF14" s="396"/>
      <c r="FG14" s="396"/>
      <c r="FH14" s="311"/>
      <c r="FI14" s="310"/>
      <c r="FJ14" s="296" t="e">
        <f t="shared" si="101"/>
        <v>#DIV/0!</v>
      </c>
      <c r="FK14" s="353">
        <f t="shared" si="73"/>
        <v>1811.4</v>
      </c>
      <c r="FL14" s="353">
        <f>BA14</f>
        <v>1811.4</v>
      </c>
      <c r="FM14" s="353"/>
      <c r="FN14" s="388">
        <f t="shared" si="107"/>
        <v>1</v>
      </c>
      <c r="FO14" s="388">
        <f t="shared" si="108"/>
        <v>0</v>
      </c>
      <c r="FP14" s="353">
        <f t="shared" si="75"/>
        <v>2314.6235999999999</v>
      </c>
      <c r="FQ14" s="353">
        <f t="shared" si="109"/>
        <v>1811.4</v>
      </c>
      <c r="FR14" s="353">
        <f t="shared" si="110"/>
        <v>503.22360000000003</v>
      </c>
      <c r="FS14" s="388">
        <f t="shared" si="111"/>
        <v>0.78258944564463961</v>
      </c>
      <c r="FT14" s="388">
        <f t="shared" si="112"/>
        <v>0.21741055435536044</v>
      </c>
      <c r="FU14" s="388"/>
      <c r="FV14" s="353">
        <f t="shared" si="113"/>
        <v>2314.6235999999999</v>
      </c>
      <c r="FW14" s="353">
        <f t="shared" si="77"/>
        <v>-503.22359999999981</v>
      </c>
      <c r="FX14" s="310"/>
      <c r="FY14" s="310"/>
      <c r="FZ14" s="310"/>
      <c r="GA14" s="396"/>
      <c r="GB14" s="396"/>
      <c r="GC14" s="310"/>
      <c r="GD14" s="310"/>
      <c r="GE14" s="310"/>
      <c r="GF14" s="396"/>
      <c r="GG14" s="396"/>
      <c r="GH14" s="396"/>
      <c r="GI14" s="311"/>
      <c r="GJ14" s="344"/>
      <c r="GK14" s="303">
        <f t="shared" si="30"/>
        <v>1</v>
      </c>
    </row>
    <row r="15" spans="2:196" s="37" customFormat="1" ht="15.75" hidden="1" customHeight="1" x14ac:dyDescent="0.25">
      <c r="B15" s="29"/>
      <c r="C15" s="30"/>
      <c r="D15" s="30">
        <v>1</v>
      </c>
      <c r="E15" s="493">
        <v>5</v>
      </c>
      <c r="F15" s="29"/>
      <c r="G15" s="30"/>
      <c r="H15" s="30">
        <v>1</v>
      </c>
      <c r="I15" s="493"/>
      <c r="J15" s="494"/>
      <c r="K15" s="54"/>
      <c r="M15" s="493">
        <v>5</v>
      </c>
      <c r="N15" s="494" t="s">
        <v>72</v>
      </c>
      <c r="O15" s="494"/>
      <c r="P15" s="494">
        <f t="shared" si="49"/>
        <v>0</v>
      </c>
      <c r="Q15" s="494"/>
      <c r="R15" s="494"/>
      <c r="S15" s="494"/>
      <c r="T15" s="493"/>
      <c r="U15" s="493"/>
      <c r="V15" s="2">
        <f t="shared" si="31"/>
        <v>0</v>
      </c>
      <c r="W15" s="2"/>
      <c r="X15" s="198">
        <f t="shared" si="105"/>
        <v>0</v>
      </c>
      <c r="Y15" s="198">
        <f>461.8-461.8</f>
        <v>0</v>
      </c>
      <c r="Z15" s="42"/>
      <c r="AA15" s="2"/>
      <c r="AB15" s="567">
        <f t="shared" si="83"/>
        <v>0</v>
      </c>
      <c r="AC15" s="567"/>
      <c r="AD15" s="568">
        <f t="shared" si="106"/>
        <v>0</v>
      </c>
      <c r="AE15" s="568">
        <f>461.8-461.8</f>
        <v>0</v>
      </c>
      <c r="AF15" s="569"/>
      <c r="AG15" s="567"/>
      <c r="AH15" s="570"/>
      <c r="AI15" s="567"/>
      <c r="AJ15" s="567"/>
      <c r="AK15" s="568"/>
      <c r="AL15" s="567"/>
      <c r="AM15" s="570"/>
      <c r="AN15" s="567"/>
      <c r="AO15" s="567"/>
      <c r="AP15" s="568"/>
      <c r="AQ15" s="567"/>
      <c r="AR15" s="570"/>
      <c r="AS15" s="567"/>
      <c r="AT15" s="567"/>
      <c r="AU15" s="568"/>
      <c r="AV15" s="567"/>
      <c r="AW15" s="570"/>
      <c r="AX15" s="579"/>
      <c r="AY15" s="573">
        <f t="shared" si="84"/>
        <v>0</v>
      </c>
      <c r="AZ15" s="567"/>
      <c r="BA15" s="568">
        <f t="shared" si="85"/>
        <v>0</v>
      </c>
      <c r="BB15" s="568"/>
      <c r="BC15" s="569"/>
      <c r="BD15" s="567"/>
      <c r="BE15" s="570"/>
      <c r="BF15" s="567">
        <f t="shared" si="32"/>
        <v>0</v>
      </c>
      <c r="BG15" s="567">
        <f t="shared" si="33"/>
        <v>0</v>
      </c>
      <c r="BH15" s="567">
        <f t="shared" si="34"/>
        <v>0</v>
      </c>
      <c r="BI15" s="567">
        <f t="shared" si="35"/>
        <v>0</v>
      </c>
      <c r="BJ15" s="567">
        <f t="shared" si="36"/>
        <v>0</v>
      </c>
      <c r="BK15" s="567">
        <f t="shared" si="37"/>
        <v>0</v>
      </c>
      <c r="BL15" s="567" t="e">
        <f>#REF!-BE15</f>
        <v>#REF!</v>
      </c>
      <c r="BM15" s="567">
        <f t="shared" si="86"/>
        <v>473.8</v>
      </c>
      <c r="BN15" s="567"/>
      <c r="BO15" s="568">
        <v>473.8</v>
      </c>
      <c r="BP15" s="567"/>
      <c r="BQ15" s="570"/>
      <c r="BR15" s="567">
        <f t="shared" si="87"/>
        <v>0</v>
      </c>
      <c r="BS15" s="567"/>
      <c r="BT15" s="568"/>
      <c r="BU15" s="567"/>
      <c r="BV15" s="570"/>
      <c r="BW15" s="567">
        <f t="shared" si="88"/>
        <v>0</v>
      </c>
      <c r="BX15" s="567"/>
      <c r="BY15" s="568">
        <f t="shared" si="38"/>
        <v>0</v>
      </c>
      <c r="BZ15" s="571"/>
      <c r="CA15" s="571"/>
      <c r="CB15" s="567"/>
      <c r="CC15" s="577"/>
      <c r="CD15" s="567">
        <f t="shared" si="89"/>
        <v>0</v>
      </c>
      <c r="CE15" s="567"/>
      <c r="CF15" s="568">
        <f t="shared" si="39"/>
        <v>0</v>
      </c>
      <c r="CG15" s="571"/>
      <c r="CH15" s="571"/>
      <c r="CI15" s="567"/>
      <c r="CJ15" s="570"/>
      <c r="CK15" s="567">
        <f t="shared" si="90"/>
        <v>0</v>
      </c>
      <c r="CL15" s="567"/>
      <c r="CM15" s="567">
        <f t="shared" si="102"/>
        <v>0</v>
      </c>
      <c r="CN15" s="567"/>
      <c r="CO15" s="567"/>
      <c r="CP15" s="567"/>
      <c r="CQ15" s="567"/>
      <c r="CR15" s="573">
        <f t="shared" si="91"/>
        <v>0</v>
      </c>
      <c r="CS15" s="567">
        <f t="shared" si="40"/>
        <v>0</v>
      </c>
      <c r="CT15" s="567">
        <f t="shared" si="41"/>
        <v>0</v>
      </c>
      <c r="CU15" s="567">
        <f t="shared" si="42"/>
        <v>0</v>
      </c>
      <c r="CV15" s="567">
        <f t="shared" si="43"/>
        <v>0</v>
      </c>
      <c r="CW15" s="567">
        <f t="shared" si="92"/>
        <v>0</v>
      </c>
      <c r="CX15" s="567">
        <f t="shared" ca="1" si="5"/>
        <v>0</v>
      </c>
      <c r="CY15" s="567">
        <f t="shared" si="44"/>
        <v>0</v>
      </c>
      <c r="CZ15" s="567">
        <f t="shared" si="45"/>
        <v>0</v>
      </c>
      <c r="DA15" s="567">
        <f t="shared" si="46"/>
        <v>0</v>
      </c>
      <c r="DB15" s="2">
        <f t="shared" si="93"/>
        <v>0</v>
      </c>
      <c r="DC15" s="76"/>
      <c r="DD15" s="253"/>
      <c r="DE15" s="253"/>
      <c r="DF15" s="2">
        <f t="shared" si="94"/>
        <v>0</v>
      </c>
      <c r="DG15" s="2"/>
      <c r="DH15" s="198"/>
      <c r="DI15" s="2"/>
      <c r="DJ15" s="234"/>
      <c r="DK15" s="2">
        <f t="shared" si="95"/>
        <v>0</v>
      </c>
      <c r="DL15" s="2"/>
      <c r="DM15" s="198"/>
      <c r="DN15" s="2"/>
      <c r="DO15" s="234"/>
      <c r="DP15" s="2">
        <f t="shared" si="96"/>
        <v>0</v>
      </c>
      <c r="DQ15" s="2">
        <f t="shared" si="103"/>
        <v>0</v>
      </c>
      <c r="DR15" s="2">
        <f t="shared" si="97"/>
        <v>0</v>
      </c>
      <c r="DS15" s="2">
        <f t="shared" si="97"/>
        <v>0</v>
      </c>
      <c r="DT15" s="2">
        <f t="shared" si="97"/>
        <v>0</v>
      </c>
      <c r="DU15" s="2"/>
      <c r="DV15" s="2"/>
      <c r="DW15" s="2"/>
      <c r="DX15" s="2">
        <f t="shared" ca="1" si="98"/>
        <v>0</v>
      </c>
      <c r="DY15" s="46"/>
      <c r="DZ15" s="2">
        <f t="shared" si="99"/>
        <v>0</v>
      </c>
      <c r="EA15" s="2">
        <f t="shared" si="100"/>
        <v>0</v>
      </c>
      <c r="EB15" s="46"/>
      <c r="EC15" s="2"/>
      <c r="ED15" s="2"/>
      <c r="EE15" s="46"/>
      <c r="EF15" s="2"/>
      <c r="EG15" s="46"/>
      <c r="EH15" s="46"/>
      <c r="EI15" s="2">
        <f t="shared" si="10"/>
        <v>0</v>
      </c>
      <c r="EJ15" s="2"/>
      <c r="EK15" s="198">
        <f t="shared" si="48"/>
        <v>0</v>
      </c>
      <c r="EL15" s="446"/>
      <c r="EM15" s="446"/>
      <c r="EN15" s="2"/>
      <c r="EO15" s="234"/>
      <c r="EP15" s="2">
        <f t="shared" si="14"/>
        <v>0</v>
      </c>
      <c r="EQ15" s="2"/>
      <c r="ER15" s="2">
        <f t="shared" si="104"/>
        <v>0</v>
      </c>
      <c r="ES15" s="2"/>
      <c r="ET15" s="2"/>
      <c r="EU15" s="2"/>
      <c r="EV15" s="141"/>
      <c r="EW15" s="310"/>
      <c r="EX15" s="310"/>
      <c r="EY15" s="310"/>
      <c r="EZ15" s="396"/>
      <c r="FA15" s="396"/>
      <c r="FB15" s="310"/>
      <c r="FC15" s="310"/>
      <c r="FD15" s="310"/>
      <c r="FE15" s="396"/>
      <c r="FF15" s="396"/>
      <c r="FG15" s="396"/>
      <c r="FH15" s="311"/>
      <c r="FI15" s="310"/>
      <c r="FJ15" s="296" t="e">
        <f t="shared" si="101"/>
        <v>#DIV/0!</v>
      </c>
      <c r="FK15" s="353"/>
      <c r="FL15" s="353"/>
      <c r="FM15" s="353"/>
      <c r="FN15" s="388"/>
      <c r="FO15" s="388"/>
      <c r="FP15" s="353"/>
      <c r="FQ15" s="353"/>
      <c r="FR15" s="353"/>
      <c r="FS15" s="388"/>
      <c r="FT15" s="388"/>
      <c r="FU15" s="388"/>
      <c r="FV15" s="353"/>
      <c r="FW15" s="353">
        <f t="shared" si="77"/>
        <v>0</v>
      </c>
      <c r="FX15" s="310"/>
      <c r="FY15" s="310"/>
      <c r="FZ15" s="310"/>
      <c r="GA15" s="396"/>
      <c r="GB15" s="396"/>
      <c r="GC15" s="310"/>
      <c r="GD15" s="310"/>
      <c r="GE15" s="310"/>
      <c r="GF15" s="396"/>
      <c r="GG15" s="396"/>
      <c r="GH15" s="396"/>
      <c r="GI15" s="311"/>
      <c r="GJ15" s="344"/>
      <c r="GK15" s="303" t="e">
        <f t="shared" si="30"/>
        <v>#DIV/0!</v>
      </c>
    </row>
    <row r="16" spans="2:196" s="37" customFormat="1" ht="15.75" customHeight="1" x14ac:dyDescent="0.25">
      <c r="B16" s="29"/>
      <c r="C16" s="30">
        <v>1</v>
      </c>
      <c r="D16" s="30"/>
      <c r="E16" s="493">
        <v>6</v>
      </c>
      <c r="F16" s="29"/>
      <c r="G16" s="30">
        <v>1</v>
      </c>
      <c r="H16" s="30">
        <v>1</v>
      </c>
      <c r="I16" s="493"/>
      <c r="J16" s="494"/>
      <c r="K16" s="54"/>
      <c r="M16" s="493">
        <v>5</v>
      </c>
      <c r="N16" s="494" t="s">
        <v>191</v>
      </c>
      <c r="O16" s="494"/>
      <c r="P16" s="494">
        <f t="shared" si="49"/>
        <v>0</v>
      </c>
      <c r="Q16" s="494" t="s">
        <v>701</v>
      </c>
      <c r="R16" s="494" t="s">
        <v>699</v>
      </c>
      <c r="S16" s="494" t="s">
        <v>591</v>
      </c>
      <c r="T16" s="493">
        <v>2</v>
      </c>
      <c r="U16" s="493"/>
      <c r="V16" s="2">
        <f t="shared" si="31"/>
        <v>8730.4</v>
      </c>
      <c r="W16" s="2"/>
      <c r="X16" s="198">
        <f t="shared" si="105"/>
        <v>8730.4</v>
      </c>
      <c r="Y16" s="198">
        <v>2750.7</v>
      </c>
      <c r="Z16" s="42">
        <v>5979.7</v>
      </c>
      <c r="AA16" s="2"/>
      <c r="AB16" s="567">
        <f t="shared" si="83"/>
        <v>8730.4</v>
      </c>
      <c r="AC16" s="567"/>
      <c r="AD16" s="568">
        <f t="shared" si="106"/>
        <v>8730.4</v>
      </c>
      <c r="AE16" s="568">
        <v>2750.7</v>
      </c>
      <c r="AF16" s="569">
        <v>5979.7</v>
      </c>
      <c r="AG16" s="567"/>
      <c r="AH16" s="570"/>
      <c r="AI16" s="567"/>
      <c r="AJ16" s="567"/>
      <c r="AK16" s="568"/>
      <c r="AL16" s="567"/>
      <c r="AM16" s="570"/>
      <c r="AN16" s="567"/>
      <c r="AO16" s="567"/>
      <c r="AP16" s="568"/>
      <c r="AQ16" s="567"/>
      <c r="AR16" s="570"/>
      <c r="AS16" s="567"/>
      <c r="AT16" s="567"/>
      <c r="AU16" s="568"/>
      <c r="AV16" s="567"/>
      <c r="AW16" s="570"/>
      <c r="AX16" s="425" t="s">
        <v>448</v>
      </c>
      <c r="AY16" s="567">
        <f t="shared" si="84"/>
        <v>8730.4</v>
      </c>
      <c r="AZ16" s="567"/>
      <c r="BA16" s="568">
        <f t="shared" si="85"/>
        <v>8730.4</v>
      </c>
      <c r="BB16" s="568">
        <v>2750.7</v>
      </c>
      <c r="BC16" s="569">
        <v>5979.7</v>
      </c>
      <c r="BD16" s="567"/>
      <c r="BE16" s="570"/>
      <c r="BF16" s="567">
        <f t="shared" si="32"/>
        <v>0</v>
      </c>
      <c r="BG16" s="567">
        <f t="shared" si="33"/>
        <v>0</v>
      </c>
      <c r="BH16" s="567">
        <f t="shared" si="34"/>
        <v>0</v>
      </c>
      <c r="BI16" s="567">
        <f t="shared" si="35"/>
        <v>0</v>
      </c>
      <c r="BJ16" s="567">
        <f t="shared" si="36"/>
        <v>0</v>
      </c>
      <c r="BK16" s="567">
        <f t="shared" si="37"/>
        <v>0</v>
      </c>
      <c r="BL16" s="567" t="e">
        <f>#REF!-BE16</f>
        <v>#REF!</v>
      </c>
      <c r="BM16" s="567">
        <f t="shared" si="86"/>
        <v>4532.55</v>
      </c>
      <c r="BN16" s="567"/>
      <c r="BO16" s="568">
        <f>824+1071.2</f>
        <v>1895.2</v>
      </c>
      <c r="BP16" s="567">
        <v>2637.35</v>
      </c>
      <c r="BQ16" s="570"/>
      <c r="BR16" s="567">
        <f t="shared" si="87"/>
        <v>0</v>
      </c>
      <c r="BS16" s="567"/>
      <c r="BT16" s="568"/>
      <c r="BU16" s="567"/>
      <c r="BV16" s="570"/>
      <c r="BW16" s="567">
        <f t="shared" si="88"/>
        <v>8337.5429299999996</v>
      </c>
      <c r="BX16" s="567"/>
      <c r="BY16" s="578">
        <f t="shared" si="38"/>
        <v>8337.5429299999996</v>
      </c>
      <c r="BZ16" s="571">
        <v>2481.81495</v>
      </c>
      <c r="CA16" s="571">
        <v>5855.7279799999997</v>
      </c>
      <c r="CB16" s="567"/>
      <c r="CC16" s="577"/>
      <c r="CD16" s="567">
        <f t="shared" si="89"/>
        <v>8337.5429299999996</v>
      </c>
      <c r="CE16" s="567"/>
      <c r="CF16" s="578">
        <f t="shared" si="39"/>
        <v>8337.5429299999996</v>
      </c>
      <c r="CG16" s="571">
        <v>2481.81495</v>
      </c>
      <c r="CH16" s="571">
        <v>5855.7279799999997</v>
      </c>
      <c r="CI16" s="567"/>
      <c r="CJ16" s="570"/>
      <c r="CK16" s="567">
        <f t="shared" si="90"/>
        <v>2296.3456200000001</v>
      </c>
      <c r="CL16" s="567"/>
      <c r="CM16" s="567">
        <v>2296.3456200000001</v>
      </c>
      <c r="CN16" s="567"/>
      <c r="CO16" s="567"/>
      <c r="CP16" s="567"/>
      <c r="CQ16" s="567"/>
      <c r="CR16" s="573">
        <f t="shared" si="91"/>
        <v>10633.88855</v>
      </c>
      <c r="CS16" s="567">
        <f t="shared" si="40"/>
        <v>10633.88855</v>
      </c>
      <c r="CT16" s="567">
        <f t="shared" si="41"/>
        <v>0</v>
      </c>
      <c r="CU16" s="567">
        <f t="shared" si="42"/>
        <v>10633.88855</v>
      </c>
      <c r="CV16" s="567">
        <f t="shared" si="43"/>
        <v>0</v>
      </c>
      <c r="CW16" s="567">
        <f t="shared" si="92"/>
        <v>0</v>
      </c>
      <c r="CX16" s="567">
        <f t="shared" ca="1" si="5"/>
        <v>0</v>
      </c>
      <c r="CY16" s="567">
        <f t="shared" si="44"/>
        <v>0</v>
      </c>
      <c r="CZ16" s="567">
        <f t="shared" si="45"/>
        <v>0</v>
      </c>
      <c r="DA16" s="567">
        <f t="shared" si="46"/>
        <v>0</v>
      </c>
      <c r="DB16" s="2">
        <f t="shared" si="93"/>
        <v>0</v>
      </c>
      <c r="DC16" s="76"/>
      <c r="DD16" s="253"/>
      <c r="DE16" s="253"/>
      <c r="DF16" s="2">
        <f t="shared" si="94"/>
        <v>0</v>
      </c>
      <c r="DG16" s="2"/>
      <c r="DH16" s="198"/>
      <c r="DI16" s="2"/>
      <c r="DJ16" s="234"/>
      <c r="DK16" s="2">
        <f t="shared" si="95"/>
        <v>0</v>
      </c>
      <c r="DL16" s="2"/>
      <c r="DM16" s="198"/>
      <c r="DN16" s="2"/>
      <c r="DO16" s="234"/>
      <c r="DP16" s="2">
        <f t="shared" si="96"/>
        <v>0</v>
      </c>
      <c r="DQ16" s="2">
        <f t="shared" si="103"/>
        <v>0</v>
      </c>
      <c r="DR16" s="2">
        <f t="shared" si="97"/>
        <v>0</v>
      </c>
      <c r="DS16" s="2">
        <f t="shared" si="97"/>
        <v>0</v>
      </c>
      <c r="DT16" s="2">
        <f t="shared" si="97"/>
        <v>0</v>
      </c>
      <c r="DU16" s="2"/>
      <c r="DV16" s="2"/>
      <c r="DW16" s="2"/>
      <c r="DX16" s="2">
        <f t="shared" ca="1" si="98"/>
        <v>0</v>
      </c>
      <c r="DY16" s="46"/>
      <c r="DZ16" s="2">
        <f t="shared" si="99"/>
        <v>8337.5429299999996</v>
      </c>
      <c r="EA16" s="2">
        <f t="shared" si="100"/>
        <v>8337.5429299999996</v>
      </c>
      <c r="EB16" s="46"/>
      <c r="EC16" s="2"/>
      <c r="ED16" s="2"/>
      <c r="EE16" s="46"/>
      <c r="EF16" s="2"/>
      <c r="EG16" s="46"/>
      <c r="EH16" s="46"/>
      <c r="EI16" s="2">
        <f t="shared" si="10"/>
        <v>8337.5429299999996</v>
      </c>
      <c r="EJ16" s="2"/>
      <c r="EK16" s="433">
        <f t="shared" si="48"/>
        <v>8337.5429299999996</v>
      </c>
      <c r="EL16" s="446">
        <v>2481.81495</v>
      </c>
      <c r="EM16" s="446">
        <v>5855.7279799999997</v>
      </c>
      <c r="EN16" s="2"/>
      <c r="EO16" s="234"/>
      <c r="EP16" s="2">
        <f t="shared" si="14"/>
        <v>2296.3456200000001</v>
      </c>
      <c r="EQ16" s="2"/>
      <c r="ER16" s="2">
        <v>2296.3456200000001</v>
      </c>
      <c r="ES16" s="2">
        <v>130.76919000000001</v>
      </c>
      <c r="ET16" s="2">
        <v>2165.5764300000001</v>
      </c>
      <c r="EU16" s="2"/>
      <c r="EV16" s="141"/>
      <c r="EW16" s="310"/>
      <c r="EX16" s="310"/>
      <c r="EY16" s="310"/>
      <c r="EZ16" s="396"/>
      <c r="FA16" s="396"/>
      <c r="FB16" s="310"/>
      <c r="FC16" s="310"/>
      <c r="FD16" s="310"/>
      <c r="FE16" s="396"/>
      <c r="FF16" s="396"/>
      <c r="FG16" s="396"/>
      <c r="FH16" s="311"/>
      <c r="FI16" s="310"/>
      <c r="FJ16" s="296" t="e">
        <f t="shared" si="101"/>
        <v>#DIV/0!</v>
      </c>
      <c r="FK16" s="353">
        <f t="shared" si="73"/>
        <v>8730.4</v>
      </c>
      <c r="FL16" s="353">
        <f t="shared" ref="FL16:FL23" si="122">BA16</f>
        <v>8730.4</v>
      </c>
      <c r="FM16" s="353"/>
      <c r="FN16" s="388">
        <f t="shared" si="107"/>
        <v>1</v>
      </c>
      <c r="FO16" s="388">
        <f t="shared" si="108"/>
        <v>0</v>
      </c>
      <c r="FP16" s="353">
        <f t="shared" si="75"/>
        <v>10633.88855</v>
      </c>
      <c r="FQ16" s="353">
        <f t="shared" si="109"/>
        <v>8337.5429299999996</v>
      </c>
      <c r="FR16" s="353">
        <f t="shared" si="110"/>
        <v>2296.3456200000001</v>
      </c>
      <c r="FS16" s="388">
        <f t="shared" si="111"/>
        <v>0.78405400722391438</v>
      </c>
      <c r="FT16" s="388">
        <f t="shared" si="112"/>
        <v>0.21594599277608567</v>
      </c>
      <c r="FU16" s="388"/>
      <c r="FV16" s="353">
        <f t="shared" si="113"/>
        <v>10633.88855</v>
      </c>
      <c r="FW16" s="353">
        <f t="shared" si="77"/>
        <v>-2296.3456200000001</v>
      </c>
      <c r="FX16" s="310"/>
      <c r="FY16" s="310"/>
      <c r="FZ16" s="310"/>
      <c r="GA16" s="396"/>
      <c r="GB16" s="396"/>
      <c r="GC16" s="310"/>
      <c r="GD16" s="310"/>
      <c r="GE16" s="310"/>
      <c r="GF16" s="396"/>
      <c r="GG16" s="396"/>
      <c r="GH16" s="396"/>
      <c r="GI16" s="311"/>
      <c r="GJ16" s="344"/>
      <c r="GK16" s="303">
        <f t="shared" si="30"/>
        <v>0.95500125194721885</v>
      </c>
    </row>
    <row r="17" spans="2:193" s="37" customFormat="1" ht="16.149999999999999" customHeight="1" x14ac:dyDescent="0.25">
      <c r="B17" s="29"/>
      <c r="C17" s="30"/>
      <c r="D17" s="30">
        <v>1</v>
      </c>
      <c r="E17" s="493">
        <v>7</v>
      </c>
      <c r="F17" s="29"/>
      <c r="G17" s="30"/>
      <c r="H17" s="30">
        <v>1</v>
      </c>
      <c r="M17" s="493">
        <v>6</v>
      </c>
      <c r="N17" s="494" t="s">
        <v>192</v>
      </c>
      <c r="O17" s="494"/>
      <c r="P17" s="494">
        <f t="shared" si="49"/>
        <v>0</v>
      </c>
      <c r="Q17" s="494" t="s">
        <v>701</v>
      </c>
      <c r="R17" s="494" t="s">
        <v>700</v>
      </c>
      <c r="S17" s="494" t="s">
        <v>569</v>
      </c>
      <c r="T17" s="493">
        <v>2</v>
      </c>
      <c r="U17" s="493"/>
      <c r="V17" s="2">
        <f t="shared" si="31"/>
        <v>5357.2000000000007</v>
      </c>
      <c r="W17" s="2"/>
      <c r="X17" s="198">
        <f t="shared" si="105"/>
        <v>5357.2000000000007</v>
      </c>
      <c r="Y17" s="198">
        <v>1687.9</v>
      </c>
      <c r="Z17" s="42">
        <v>3669.3</v>
      </c>
      <c r="AA17" s="2"/>
      <c r="AB17" s="567">
        <f t="shared" si="83"/>
        <v>5357.2000000000007</v>
      </c>
      <c r="AC17" s="567"/>
      <c r="AD17" s="568">
        <f t="shared" si="106"/>
        <v>5357.2000000000007</v>
      </c>
      <c r="AE17" s="568">
        <v>1687.9</v>
      </c>
      <c r="AF17" s="569">
        <v>3669.3</v>
      </c>
      <c r="AG17" s="567"/>
      <c r="AH17" s="580"/>
      <c r="AI17" s="567"/>
      <c r="AJ17" s="567"/>
      <c r="AK17" s="568"/>
      <c r="AL17" s="567"/>
      <c r="AM17" s="580"/>
      <c r="AN17" s="567"/>
      <c r="AO17" s="567"/>
      <c r="AP17" s="568"/>
      <c r="AQ17" s="567"/>
      <c r="AR17" s="580"/>
      <c r="AS17" s="567"/>
      <c r="AT17" s="567"/>
      <c r="AU17" s="568"/>
      <c r="AV17" s="567"/>
      <c r="AW17" s="581"/>
      <c r="AX17" s="426" t="s">
        <v>432</v>
      </c>
      <c r="AY17" s="567">
        <f t="shared" si="84"/>
        <v>5357.1990000000005</v>
      </c>
      <c r="AZ17" s="567"/>
      <c r="BA17" s="568">
        <f t="shared" si="85"/>
        <v>5357.1990000000005</v>
      </c>
      <c r="BB17" s="568">
        <f>1687.9-0.001</f>
        <v>1687.8990000000001</v>
      </c>
      <c r="BC17" s="569">
        <f>3669.299+0.001</f>
        <v>3669.3</v>
      </c>
      <c r="BD17" s="567"/>
      <c r="BE17" s="567"/>
      <c r="BF17" s="567">
        <f t="shared" si="32"/>
        <v>9.9999999997635314E-4</v>
      </c>
      <c r="BG17" s="567">
        <f t="shared" si="33"/>
        <v>0</v>
      </c>
      <c r="BH17" s="567">
        <f t="shared" si="34"/>
        <v>9.9999999997635314E-4</v>
      </c>
      <c r="BI17" s="567">
        <f t="shared" si="35"/>
        <v>9.9999999997635314E-4</v>
      </c>
      <c r="BJ17" s="567">
        <f t="shared" si="36"/>
        <v>0</v>
      </c>
      <c r="BK17" s="567">
        <f t="shared" si="37"/>
        <v>0</v>
      </c>
      <c r="BL17" s="567" t="e">
        <f>#REF!-BE17</f>
        <v>#REF!</v>
      </c>
      <c r="BM17" s="567">
        <f t="shared" si="86"/>
        <v>1729.6</v>
      </c>
      <c r="BN17" s="567"/>
      <c r="BO17" s="568">
        <v>1729.6</v>
      </c>
      <c r="BP17" s="567"/>
      <c r="BQ17" s="567"/>
      <c r="BR17" s="567">
        <f t="shared" si="87"/>
        <v>0</v>
      </c>
      <c r="BS17" s="567"/>
      <c r="BT17" s="568"/>
      <c r="BU17" s="567"/>
      <c r="BV17" s="567"/>
      <c r="BW17" s="567">
        <f t="shared" si="88"/>
        <v>5120.6168500000003</v>
      </c>
      <c r="BX17" s="567"/>
      <c r="BY17" s="578">
        <f t="shared" si="38"/>
        <v>5120.6168500000003</v>
      </c>
      <c r="BZ17" s="571">
        <f>1687.9-0.001</f>
        <v>1687.8990000000001</v>
      </c>
      <c r="CA17" s="571">
        <f>3432.71685+0.001</f>
        <v>3432.71785</v>
      </c>
      <c r="CB17" s="567"/>
      <c r="CC17" s="567"/>
      <c r="CD17" s="567">
        <f t="shared" si="89"/>
        <v>5120.6168500000003</v>
      </c>
      <c r="CE17" s="567"/>
      <c r="CF17" s="578">
        <f t="shared" si="39"/>
        <v>5120.6168500000003</v>
      </c>
      <c r="CG17" s="571">
        <f>1687.9-0.001</f>
        <v>1687.8990000000001</v>
      </c>
      <c r="CH17" s="571">
        <f>3432.71685+0.001</f>
        <v>3432.71785</v>
      </c>
      <c r="CI17" s="567"/>
      <c r="CJ17" s="567"/>
      <c r="CK17" s="567">
        <f t="shared" si="90"/>
        <v>765.15057999999999</v>
      </c>
      <c r="CL17" s="567"/>
      <c r="CM17" s="567">
        <f t="shared" si="102"/>
        <v>765.15057999999999</v>
      </c>
      <c r="CN17" s="567">
        <v>252.215</v>
      </c>
      <c r="CO17" s="567">
        <v>512.93557999999996</v>
      </c>
      <c r="CP17" s="567"/>
      <c r="CQ17" s="567"/>
      <c r="CR17" s="573">
        <f t="shared" si="91"/>
        <v>5885.7674299999999</v>
      </c>
      <c r="CS17" s="567">
        <f t="shared" si="40"/>
        <v>5885.7674299999999</v>
      </c>
      <c r="CT17" s="567">
        <f t="shared" si="41"/>
        <v>0</v>
      </c>
      <c r="CU17" s="567">
        <f t="shared" si="42"/>
        <v>5885.7674299999999</v>
      </c>
      <c r="CV17" s="567">
        <f t="shared" si="43"/>
        <v>0</v>
      </c>
      <c r="CW17" s="567">
        <f t="shared" si="92"/>
        <v>0</v>
      </c>
      <c r="CX17" s="567">
        <f t="shared" ca="1" si="5"/>
        <v>0</v>
      </c>
      <c r="CY17" s="567">
        <f t="shared" si="44"/>
        <v>0</v>
      </c>
      <c r="CZ17" s="567">
        <f t="shared" si="45"/>
        <v>0</v>
      </c>
      <c r="DA17" s="567">
        <f t="shared" si="46"/>
        <v>0</v>
      </c>
      <c r="DB17" s="2">
        <f t="shared" si="93"/>
        <v>0</v>
      </c>
      <c r="DC17" s="76"/>
      <c r="DD17" s="253"/>
      <c r="DE17" s="253"/>
      <c r="DF17" s="2">
        <f t="shared" si="94"/>
        <v>0</v>
      </c>
      <c r="DG17" s="2"/>
      <c r="DH17" s="198"/>
      <c r="DI17" s="2"/>
      <c r="DJ17" s="2"/>
      <c r="DK17" s="2">
        <f t="shared" si="95"/>
        <v>0</v>
      </c>
      <c r="DL17" s="2"/>
      <c r="DM17" s="198"/>
      <c r="DN17" s="2"/>
      <c r="DO17" s="2"/>
      <c r="DP17" s="2">
        <f t="shared" si="96"/>
        <v>0</v>
      </c>
      <c r="DQ17" s="2">
        <f t="shared" si="103"/>
        <v>0</v>
      </c>
      <c r="DR17" s="2">
        <f t="shared" si="97"/>
        <v>0</v>
      </c>
      <c r="DS17" s="2">
        <f t="shared" si="97"/>
        <v>0</v>
      </c>
      <c r="DT17" s="2">
        <f t="shared" si="97"/>
        <v>0</v>
      </c>
      <c r="DU17" s="2"/>
      <c r="DV17" s="2"/>
      <c r="DW17" s="2"/>
      <c r="DX17" s="2">
        <f t="shared" ca="1" si="98"/>
        <v>0</v>
      </c>
      <c r="DY17" s="46"/>
      <c r="DZ17" s="2">
        <f t="shared" si="99"/>
        <v>5120.6168500000003</v>
      </c>
      <c r="EA17" s="2">
        <f t="shared" si="100"/>
        <v>5120.6168500000003</v>
      </c>
      <c r="EB17" s="46"/>
      <c r="EC17" s="2"/>
      <c r="ED17" s="2"/>
      <c r="EE17" s="46"/>
      <c r="EF17" s="2"/>
      <c r="EG17" s="46"/>
      <c r="EH17" s="46"/>
      <c r="EI17" s="2">
        <f t="shared" si="10"/>
        <v>5120.6168500000003</v>
      </c>
      <c r="EJ17" s="2"/>
      <c r="EK17" s="433">
        <f t="shared" si="48"/>
        <v>5120.6168500000003</v>
      </c>
      <c r="EL17" s="446">
        <f>1687.9-0.001</f>
        <v>1687.8990000000001</v>
      </c>
      <c r="EM17" s="446">
        <f>3432.71685+0.001</f>
        <v>3432.71785</v>
      </c>
      <c r="EN17" s="2"/>
      <c r="EO17" s="2"/>
      <c r="EP17" s="2">
        <f t="shared" si="14"/>
        <v>765.15057999999999</v>
      </c>
      <c r="EQ17" s="2"/>
      <c r="ER17" s="2">
        <f t="shared" si="104"/>
        <v>765.15057999999999</v>
      </c>
      <c r="ES17" s="2">
        <v>252.215</v>
      </c>
      <c r="ET17" s="2">
        <v>512.93557999999996</v>
      </c>
      <c r="EU17" s="2"/>
      <c r="EV17" s="141"/>
      <c r="EW17" s="310"/>
      <c r="EX17" s="310"/>
      <c r="EY17" s="310"/>
      <c r="EZ17" s="396"/>
      <c r="FA17" s="396"/>
      <c r="FB17" s="310"/>
      <c r="FC17" s="310"/>
      <c r="FD17" s="310"/>
      <c r="FE17" s="396"/>
      <c r="FF17" s="396"/>
      <c r="FG17" s="396"/>
      <c r="FH17" s="311"/>
      <c r="FI17" s="310"/>
      <c r="FJ17" s="296" t="e">
        <f t="shared" si="101"/>
        <v>#DIV/0!</v>
      </c>
      <c r="FK17" s="353">
        <f t="shared" si="73"/>
        <v>5357.1990000000005</v>
      </c>
      <c r="FL17" s="353">
        <f t="shared" si="122"/>
        <v>5357.1990000000005</v>
      </c>
      <c r="FM17" s="353"/>
      <c r="FN17" s="388">
        <f t="shared" si="107"/>
        <v>1</v>
      </c>
      <c r="FO17" s="388">
        <f t="shared" si="108"/>
        <v>0</v>
      </c>
      <c r="FP17" s="353">
        <f t="shared" si="75"/>
        <v>5885.7674299999999</v>
      </c>
      <c r="FQ17" s="353">
        <f t="shared" si="109"/>
        <v>5120.6168500000003</v>
      </c>
      <c r="FR17" s="353">
        <f t="shared" si="110"/>
        <v>765.15057999999999</v>
      </c>
      <c r="FS17" s="388">
        <f t="shared" si="111"/>
        <v>0.8699998616832878</v>
      </c>
      <c r="FT17" s="388">
        <f t="shared" si="112"/>
        <v>0.13000013831671225</v>
      </c>
      <c r="FU17" s="388"/>
      <c r="FV17" s="353">
        <f t="shared" si="113"/>
        <v>5885.7674299999999</v>
      </c>
      <c r="FW17" s="353">
        <f t="shared" si="77"/>
        <v>-765.15057999999954</v>
      </c>
      <c r="FX17" s="310"/>
      <c r="FY17" s="310"/>
      <c r="FZ17" s="310"/>
      <c r="GA17" s="396"/>
      <c r="GB17" s="396"/>
      <c r="GC17" s="310"/>
      <c r="GD17" s="310"/>
      <c r="GE17" s="310"/>
      <c r="GF17" s="396"/>
      <c r="GG17" s="396"/>
      <c r="GH17" s="396"/>
      <c r="GI17" s="311"/>
      <c r="GJ17" s="344"/>
      <c r="GK17" s="303">
        <f t="shared" si="30"/>
        <v>0.95583828305831398</v>
      </c>
    </row>
    <row r="18" spans="2:193" s="37" customFormat="1" ht="15.6" hidden="1" customHeight="1" x14ac:dyDescent="0.25">
      <c r="B18" s="29"/>
      <c r="C18" s="30"/>
      <c r="D18" s="30">
        <v>1</v>
      </c>
      <c r="E18" s="493">
        <v>8</v>
      </c>
      <c r="F18" s="29"/>
      <c r="G18" s="30"/>
      <c r="H18" s="30">
        <v>1</v>
      </c>
      <c r="I18" s="493"/>
      <c r="J18" s="494"/>
      <c r="K18" s="54"/>
      <c r="M18" s="493">
        <v>8</v>
      </c>
      <c r="N18" s="494" t="s">
        <v>193</v>
      </c>
      <c r="O18" s="494"/>
      <c r="P18" s="494">
        <f t="shared" si="49"/>
        <v>0</v>
      </c>
      <c r="Q18" s="494"/>
      <c r="R18" s="494"/>
      <c r="S18" s="494"/>
      <c r="T18" s="493"/>
      <c r="U18" s="493"/>
      <c r="V18" s="2">
        <f t="shared" si="31"/>
        <v>0</v>
      </c>
      <c r="W18" s="2"/>
      <c r="X18" s="198">
        <f t="shared" si="105"/>
        <v>0</v>
      </c>
      <c r="Y18" s="198"/>
      <c r="Z18" s="42"/>
      <c r="AA18" s="2"/>
      <c r="AB18" s="567">
        <f t="shared" si="83"/>
        <v>0</v>
      </c>
      <c r="AC18" s="567"/>
      <c r="AD18" s="568">
        <f t="shared" si="106"/>
        <v>0</v>
      </c>
      <c r="AE18" s="568"/>
      <c r="AF18" s="569"/>
      <c r="AG18" s="567"/>
      <c r="AH18" s="570"/>
      <c r="AI18" s="567"/>
      <c r="AJ18" s="567"/>
      <c r="AK18" s="568"/>
      <c r="AL18" s="567"/>
      <c r="AM18" s="570"/>
      <c r="AN18" s="567"/>
      <c r="AO18" s="567"/>
      <c r="AP18" s="568"/>
      <c r="AQ18" s="567"/>
      <c r="AR18" s="570"/>
      <c r="AS18" s="567"/>
      <c r="AT18" s="567"/>
      <c r="AU18" s="568"/>
      <c r="AV18" s="567"/>
      <c r="AW18" s="570"/>
      <c r="AX18" s="425"/>
      <c r="AY18" s="567">
        <f t="shared" si="84"/>
        <v>0</v>
      </c>
      <c r="AZ18" s="567"/>
      <c r="BA18" s="568">
        <f t="shared" si="85"/>
        <v>0</v>
      </c>
      <c r="BB18" s="568"/>
      <c r="BC18" s="569"/>
      <c r="BD18" s="567"/>
      <c r="BE18" s="567"/>
      <c r="BF18" s="567">
        <f t="shared" si="32"/>
        <v>0</v>
      </c>
      <c r="BG18" s="567">
        <f t="shared" si="33"/>
        <v>0</v>
      </c>
      <c r="BH18" s="567">
        <f t="shared" si="34"/>
        <v>0</v>
      </c>
      <c r="BI18" s="567">
        <f t="shared" si="35"/>
        <v>0</v>
      </c>
      <c r="BJ18" s="567">
        <f t="shared" si="36"/>
        <v>0</v>
      </c>
      <c r="BK18" s="567">
        <f t="shared" si="37"/>
        <v>0</v>
      </c>
      <c r="BL18" s="567" t="e">
        <f>#REF!-BE18</f>
        <v>#REF!</v>
      </c>
      <c r="BM18" s="567">
        <f t="shared" si="86"/>
        <v>466.9</v>
      </c>
      <c r="BN18" s="567"/>
      <c r="BO18" s="568">
        <f>203+263.9</f>
        <v>466.9</v>
      </c>
      <c r="BP18" s="567"/>
      <c r="BQ18" s="567"/>
      <c r="BR18" s="567">
        <f t="shared" si="87"/>
        <v>0</v>
      </c>
      <c r="BS18" s="567"/>
      <c r="BT18" s="568"/>
      <c r="BU18" s="567"/>
      <c r="BV18" s="567"/>
      <c r="BW18" s="567">
        <f t="shared" si="88"/>
        <v>0</v>
      </c>
      <c r="BX18" s="567"/>
      <c r="BY18" s="568">
        <f t="shared" si="38"/>
        <v>0</v>
      </c>
      <c r="BZ18" s="571"/>
      <c r="CA18" s="571"/>
      <c r="CB18" s="567"/>
      <c r="CC18" s="567"/>
      <c r="CD18" s="567">
        <f t="shared" si="89"/>
        <v>0</v>
      </c>
      <c r="CE18" s="567"/>
      <c r="CF18" s="568">
        <f t="shared" si="39"/>
        <v>0</v>
      </c>
      <c r="CG18" s="571"/>
      <c r="CH18" s="571"/>
      <c r="CI18" s="567"/>
      <c r="CJ18" s="567"/>
      <c r="CK18" s="567">
        <f t="shared" si="90"/>
        <v>0</v>
      </c>
      <c r="CL18" s="567"/>
      <c r="CM18" s="577">
        <f t="shared" si="102"/>
        <v>0</v>
      </c>
      <c r="CN18" s="582"/>
      <c r="CO18" s="582"/>
      <c r="CP18" s="567"/>
      <c r="CQ18" s="567"/>
      <c r="CR18" s="573">
        <f t="shared" si="91"/>
        <v>0</v>
      </c>
      <c r="CS18" s="567">
        <f t="shared" si="40"/>
        <v>0</v>
      </c>
      <c r="CT18" s="567">
        <f t="shared" si="41"/>
        <v>0</v>
      </c>
      <c r="CU18" s="567">
        <f t="shared" si="42"/>
        <v>0</v>
      </c>
      <c r="CV18" s="567">
        <f t="shared" si="43"/>
        <v>0</v>
      </c>
      <c r="CW18" s="567">
        <f t="shared" si="92"/>
        <v>0</v>
      </c>
      <c r="CX18" s="567">
        <f t="shared" ca="1" si="5"/>
        <v>0</v>
      </c>
      <c r="CY18" s="567">
        <f t="shared" si="44"/>
        <v>0</v>
      </c>
      <c r="CZ18" s="567">
        <f t="shared" si="45"/>
        <v>0</v>
      </c>
      <c r="DA18" s="567">
        <f t="shared" si="46"/>
        <v>0</v>
      </c>
      <c r="DB18" s="2">
        <f t="shared" si="93"/>
        <v>0</v>
      </c>
      <c r="DC18" s="76"/>
      <c r="DD18" s="253"/>
      <c r="DE18" s="253"/>
      <c r="DF18" s="2">
        <f t="shared" si="94"/>
        <v>0</v>
      </c>
      <c r="DG18" s="2"/>
      <c r="DH18" s="198"/>
      <c r="DI18" s="2"/>
      <c r="DJ18" s="2"/>
      <c r="DK18" s="2">
        <f t="shared" si="95"/>
        <v>0</v>
      </c>
      <c r="DL18" s="2"/>
      <c r="DM18" s="198"/>
      <c r="DN18" s="2"/>
      <c r="DO18" s="2"/>
      <c r="DP18" s="2">
        <f t="shared" si="96"/>
        <v>0</v>
      </c>
      <c r="DQ18" s="2">
        <f t="shared" si="103"/>
        <v>0</v>
      </c>
      <c r="DR18" s="2">
        <f t="shared" si="97"/>
        <v>0</v>
      </c>
      <c r="DS18" s="2">
        <f t="shared" si="97"/>
        <v>0</v>
      </c>
      <c r="DT18" s="2">
        <f t="shared" si="97"/>
        <v>0</v>
      </c>
      <c r="DU18" s="2"/>
      <c r="DV18" s="2"/>
      <c r="DW18" s="2"/>
      <c r="DX18" s="2">
        <f t="shared" ca="1" si="98"/>
        <v>0</v>
      </c>
      <c r="DY18" s="46"/>
      <c r="DZ18" s="2">
        <f t="shared" si="99"/>
        <v>0</v>
      </c>
      <c r="EA18" s="2">
        <f t="shared" si="100"/>
        <v>0</v>
      </c>
      <c r="EB18" s="46"/>
      <c r="EC18" s="2"/>
      <c r="ED18" s="2"/>
      <c r="EE18" s="46"/>
      <c r="EF18" s="2"/>
      <c r="EG18" s="46"/>
      <c r="EH18" s="46"/>
      <c r="EI18" s="2">
        <f t="shared" si="10"/>
        <v>0</v>
      </c>
      <c r="EJ18" s="2"/>
      <c r="EK18" s="198">
        <f t="shared" si="48"/>
        <v>0</v>
      </c>
      <c r="EL18" s="446"/>
      <c r="EM18" s="446"/>
      <c r="EN18" s="2"/>
      <c r="EO18" s="2"/>
      <c r="EP18" s="2">
        <f t="shared" si="14"/>
        <v>0</v>
      </c>
      <c r="EQ18" s="2"/>
      <c r="ER18" s="236">
        <f t="shared" si="104"/>
        <v>0</v>
      </c>
      <c r="ES18" s="235"/>
      <c r="ET18" s="235"/>
      <c r="EU18" s="2"/>
      <c r="EV18" s="141"/>
      <c r="EW18" s="310"/>
      <c r="EX18" s="310"/>
      <c r="EY18" s="312"/>
      <c r="EZ18" s="396"/>
      <c r="FA18" s="396"/>
      <c r="FB18" s="310"/>
      <c r="FC18" s="310"/>
      <c r="FD18" s="312"/>
      <c r="FE18" s="396"/>
      <c r="FF18" s="396"/>
      <c r="FG18" s="396"/>
      <c r="FH18" s="311"/>
      <c r="FI18" s="310"/>
      <c r="FJ18" s="296" t="e">
        <f t="shared" si="101"/>
        <v>#DIV/0!</v>
      </c>
      <c r="FK18" s="353">
        <f t="shared" si="73"/>
        <v>0</v>
      </c>
      <c r="FL18" s="353">
        <f t="shared" si="122"/>
        <v>0</v>
      </c>
      <c r="FM18" s="354"/>
      <c r="FN18" s="388" t="e">
        <f t="shared" si="107"/>
        <v>#DIV/0!</v>
      </c>
      <c r="FO18" s="388" t="e">
        <f t="shared" si="108"/>
        <v>#DIV/0!</v>
      </c>
      <c r="FP18" s="353">
        <f t="shared" si="75"/>
        <v>0</v>
      </c>
      <c r="FQ18" s="353">
        <f t="shared" si="109"/>
        <v>0</v>
      </c>
      <c r="FR18" s="354">
        <f t="shared" si="110"/>
        <v>0</v>
      </c>
      <c r="FS18" s="388" t="e">
        <f t="shared" si="111"/>
        <v>#DIV/0!</v>
      </c>
      <c r="FT18" s="388" t="e">
        <f t="shared" si="112"/>
        <v>#DIV/0!</v>
      </c>
      <c r="FU18" s="388"/>
      <c r="FV18" s="353" t="e">
        <f t="shared" si="113"/>
        <v>#DIV/0!</v>
      </c>
      <c r="FW18" s="353" t="e">
        <f t="shared" si="77"/>
        <v>#DIV/0!</v>
      </c>
      <c r="FX18" s="310"/>
      <c r="FY18" s="310"/>
      <c r="FZ18" s="312"/>
      <c r="GA18" s="396"/>
      <c r="GB18" s="396"/>
      <c r="GC18" s="310"/>
      <c r="GD18" s="310"/>
      <c r="GE18" s="312"/>
      <c r="GF18" s="396"/>
      <c r="GG18" s="396"/>
      <c r="GH18" s="396"/>
      <c r="GI18" s="311"/>
      <c r="GJ18" s="344"/>
      <c r="GK18" s="303" t="e">
        <f t="shared" si="30"/>
        <v>#DIV/0!</v>
      </c>
    </row>
    <row r="19" spans="2:193" s="37" customFormat="1" ht="15.75" customHeight="1" x14ac:dyDescent="0.25">
      <c r="B19" s="29"/>
      <c r="C19" s="30">
        <v>1</v>
      </c>
      <c r="D19" s="30"/>
      <c r="E19" s="493">
        <v>9</v>
      </c>
      <c r="F19" s="29"/>
      <c r="G19" s="30">
        <v>1</v>
      </c>
      <c r="H19" s="30">
        <v>1</v>
      </c>
      <c r="I19" s="493"/>
      <c r="J19" s="494"/>
      <c r="K19" s="54"/>
      <c r="M19" s="493">
        <v>7</v>
      </c>
      <c r="N19" s="494" t="s">
        <v>27</v>
      </c>
      <c r="O19" s="494"/>
      <c r="P19" s="494">
        <f t="shared" si="49"/>
        <v>0</v>
      </c>
      <c r="Q19" s="494" t="s">
        <v>701</v>
      </c>
      <c r="R19" s="494" t="s">
        <v>699</v>
      </c>
      <c r="S19" s="494" t="s">
        <v>510</v>
      </c>
      <c r="T19" s="493">
        <v>2</v>
      </c>
      <c r="U19" s="493"/>
      <c r="V19" s="2">
        <f t="shared" si="31"/>
        <v>2797.1</v>
      </c>
      <c r="W19" s="2"/>
      <c r="X19" s="198">
        <f t="shared" si="105"/>
        <v>2797.1</v>
      </c>
      <c r="Y19" s="198">
        <v>881.3</v>
      </c>
      <c r="Z19" s="42">
        <v>1915.8</v>
      </c>
      <c r="AA19" s="2"/>
      <c r="AB19" s="567">
        <f t="shared" si="83"/>
        <v>2797.1</v>
      </c>
      <c r="AC19" s="567"/>
      <c r="AD19" s="568">
        <f t="shared" si="106"/>
        <v>2797.1</v>
      </c>
      <c r="AE19" s="568">
        <v>881.3</v>
      </c>
      <c r="AF19" s="569">
        <v>1915.8</v>
      </c>
      <c r="AG19" s="567"/>
      <c r="AH19" s="570"/>
      <c r="AI19" s="567"/>
      <c r="AJ19" s="567"/>
      <c r="AK19" s="568"/>
      <c r="AL19" s="567"/>
      <c r="AM19" s="570"/>
      <c r="AN19" s="567"/>
      <c r="AO19" s="567"/>
      <c r="AP19" s="568"/>
      <c r="AQ19" s="567"/>
      <c r="AR19" s="570"/>
      <c r="AS19" s="567"/>
      <c r="AT19" s="567"/>
      <c r="AU19" s="568"/>
      <c r="AV19" s="567"/>
      <c r="AW19" s="570"/>
      <c r="AX19" s="425" t="s">
        <v>386</v>
      </c>
      <c r="AY19" s="567">
        <f t="shared" si="84"/>
        <v>2797.1</v>
      </c>
      <c r="AZ19" s="567"/>
      <c r="BA19" s="568">
        <f t="shared" si="85"/>
        <v>2797.1</v>
      </c>
      <c r="BB19" s="568">
        <v>881.3</v>
      </c>
      <c r="BC19" s="569">
        <v>1915.8</v>
      </c>
      <c r="BD19" s="567"/>
      <c r="BE19" s="570"/>
      <c r="BF19" s="567">
        <f t="shared" si="32"/>
        <v>0</v>
      </c>
      <c r="BG19" s="567">
        <f t="shared" si="33"/>
        <v>0</v>
      </c>
      <c r="BH19" s="567">
        <f t="shared" si="34"/>
        <v>0</v>
      </c>
      <c r="BI19" s="567">
        <f t="shared" si="35"/>
        <v>0</v>
      </c>
      <c r="BJ19" s="567">
        <f t="shared" si="36"/>
        <v>0</v>
      </c>
      <c r="BK19" s="567">
        <f t="shared" si="37"/>
        <v>0</v>
      </c>
      <c r="BL19" s="567" t="e">
        <f>#REF!-BE19</f>
        <v>#REF!</v>
      </c>
      <c r="BM19" s="567">
        <f t="shared" si="86"/>
        <v>7601.5</v>
      </c>
      <c r="BN19" s="567"/>
      <c r="BO19" s="568">
        <v>7601.5</v>
      </c>
      <c r="BP19" s="567"/>
      <c r="BQ19" s="570"/>
      <c r="BR19" s="567">
        <f t="shared" si="87"/>
        <v>0</v>
      </c>
      <c r="BS19" s="567"/>
      <c r="BT19" s="568"/>
      <c r="BU19" s="567"/>
      <c r="BV19" s="570"/>
      <c r="BW19" s="567">
        <f t="shared" si="88"/>
        <v>2109.41041</v>
      </c>
      <c r="BX19" s="567"/>
      <c r="BY19" s="568">
        <f t="shared" si="38"/>
        <v>2109.41041</v>
      </c>
      <c r="BZ19" s="571">
        <v>664.62528999999995</v>
      </c>
      <c r="CA19" s="571">
        <v>1444.78512</v>
      </c>
      <c r="CB19" s="567"/>
      <c r="CC19" s="577"/>
      <c r="CD19" s="567">
        <f t="shared" si="89"/>
        <v>2109.41041</v>
      </c>
      <c r="CE19" s="567"/>
      <c r="CF19" s="568">
        <f t="shared" si="39"/>
        <v>2109.41041</v>
      </c>
      <c r="CG19" s="571">
        <v>664.62528999999995</v>
      </c>
      <c r="CH19" s="571">
        <v>1444.78512</v>
      </c>
      <c r="CI19" s="567"/>
      <c r="CJ19" s="570"/>
      <c r="CK19" s="567">
        <f t="shared" si="90"/>
        <v>208.62356</v>
      </c>
      <c r="CL19" s="567"/>
      <c r="CM19" s="567">
        <f t="shared" si="102"/>
        <v>208.62356</v>
      </c>
      <c r="CN19" s="567">
        <v>65.732519999999994</v>
      </c>
      <c r="CO19" s="567">
        <v>142.89104</v>
      </c>
      <c r="CP19" s="567"/>
      <c r="CQ19" s="567"/>
      <c r="CR19" s="573">
        <f t="shared" si="91"/>
        <v>2318.03397</v>
      </c>
      <c r="CS19" s="567">
        <f t="shared" si="40"/>
        <v>2318.03397</v>
      </c>
      <c r="CT19" s="567">
        <f t="shared" si="41"/>
        <v>0</v>
      </c>
      <c r="CU19" s="567">
        <f t="shared" si="42"/>
        <v>2318.03397</v>
      </c>
      <c r="CV19" s="567">
        <f t="shared" si="43"/>
        <v>0</v>
      </c>
      <c r="CW19" s="567">
        <f t="shared" si="92"/>
        <v>0</v>
      </c>
      <c r="CX19" s="567">
        <f t="shared" ca="1" si="5"/>
        <v>0</v>
      </c>
      <c r="CY19" s="567">
        <f t="shared" si="44"/>
        <v>0</v>
      </c>
      <c r="CZ19" s="567">
        <f t="shared" si="45"/>
        <v>0</v>
      </c>
      <c r="DA19" s="567">
        <f t="shared" si="46"/>
        <v>0</v>
      </c>
      <c r="DB19" s="2">
        <f t="shared" si="93"/>
        <v>0</v>
      </c>
      <c r="DC19" s="76"/>
      <c r="DD19" s="253"/>
      <c r="DE19" s="253"/>
      <c r="DF19" s="2">
        <f t="shared" si="94"/>
        <v>0</v>
      </c>
      <c r="DG19" s="2"/>
      <c r="DH19" s="198"/>
      <c r="DI19" s="2"/>
      <c r="DJ19" s="234"/>
      <c r="DK19" s="2">
        <f t="shared" si="95"/>
        <v>0</v>
      </c>
      <c r="DL19" s="2"/>
      <c r="DM19" s="198"/>
      <c r="DN19" s="2"/>
      <c r="DO19" s="234"/>
      <c r="DP19" s="2">
        <f t="shared" si="96"/>
        <v>0</v>
      </c>
      <c r="DQ19" s="2">
        <f t="shared" si="103"/>
        <v>0</v>
      </c>
      <c r="DR19" s="2">
        <f t="shared" si="97"/>
        <v>0</v>
      </c>
      <c r="DS19" s="2">
        <f t="shared" si="97"/>
        <v>0</v>
      </c>
      <c r="DT19" s="2">
        <f t="shared" si="97"/>
        <v>0</v>
      </c>
      <c r="DU19" s="2"/>
      <c r="DV19" s="2"/>
      <c r="DW19" s="2"/>
      <c r="DX19" s="2">
        <f t="shared" ca="1" si="98"/>
        <v>0</v>
      </c>
      <c r="DY19" s="46"/>
      <c r="DZ19" s="2">
        <f t="shared" si="99"/>
        <v>2109.41041</v>
      </c>
      <c r="EA19" s="2">
        <f t="shared" si="100"/>
        <v>2109.41041</v>
      </c>
      <c r="EB19" s="46"/>
      <c r="EC19" s="2"/>
      <c r="ED19" s="2"/>
      <c r="EE19" s="46"/>
      <c r="EF19" s="2"/>
      <c r="EG19" s="46"/>
      <c r="EH19" s="46"/>
      <c r="EI19" s="2">
        <f t="shared" si="10"/>
        <v>2109.41041</v>
      </c>
      <c r="EJ19" s="2"/>
      <c r="EK19" s="198">
        <f t="shared" si="48"/>
        <v>2109.41041</v>
      </c>
      <c r="EL19" s="446">
        <v>664.62528999999995</v>
      </c>
      <c r="EM19" s="446">
        <v>1444.78512</v>
      </c>
      <c r="EN19" s="2"/>
      <c r="EO19" s="234"/>
      <c r="EP19" s="2">
        <f t="shared" si="14"/>
        <v>208.62356</v>
      </c>
      <c r="EQ19" s="2"/>
      <c r="ER19" s="2">
        <f t="shared" si="104"/>
        <v>208.62356</v>
      </c>
      <c r="ES19" s="2">
        <v>65.732519999999994</v>
      </c>
      <c r="ET19" s="2">
        <v>142.89104</v>
      </c>
      <c r="EU19" s="2"/>
      <c r="EV19" s="141"/>
      <c r="EW19" s="310"/>
      <c r="EX19" s="310"/>
      <c r="EY19" s="310"/>
      <c r="EZ19" s="396"/>
      <c r="FA19" s="396"/>
      <c r="FB19" s="310"/>
      <c r="FC19" s="310"/>
      <c r="FD19" s="310"/>
      <c r="FE19" s="396"/>
      <c r="FF19" s="396"/>
      <c r="FG19" s="396"/>
      <c r="FH19" s="311"/>
      <c r="FI19" s="310"/>
      <c r="FJ19" s="296" t="e">
        <f t="shared" si="101"/>
        <v>#DIV/0!</v>
      </c>
      <c r="FK19" s="353">
        <f t="shared" si="73"/>
        <v>2797.1</v>
      </c>
      <c r="FL19" s="353">
        <f t="shared" si="122"/>
        <v>2797.1</v>
      </c>
      <c r="FM19" s="353"/>
      <c r="FN19" s="388">
        <f t="shared" si="107"/>
        <v>1</v>
      </c>
      <c r="FO19" s="388">
        <f t="shared" si="108"/>
        <v>0</v>
      </c>
      <c r="FP19" s="353">
        <f t="shared" si="75"/>
        <v>2318.03397</v>
      </c>
      <c r="FQ19" s="353">
        <f t="shared" si="109"/>
        <v>2109.41041</v>
      </c>
      <c r="FR19" s="353">
        <f t="shared" si="110"/>
        <v>208.62356</v>
      </c>
      <c r="FS19" s="388">
        <f t="shared" si="111"/>
        <v>0.90999978313518848</v>
      </c>
      <c r="FT19" s="388">
        <f t="shared" si="112"/>
        <v>9.0000216864811522E-2</v>
      </c>
      <c r="FU19" s="388"/>
      <c r="FV19" s="353">
        <f t="shared" si="113"/>
        <v>2318.03397</v>
      </c>
      <c r="FW19" s="353">
        <f t="shared" si="77"/>
        <v>-208.62356</v>
      </c>
      <c r="FX19" s="310">
        <f t="shared" si="114"/>
        <v>0</v>
      </c>
      <c r="FY19" s="310">
        <f>BD19</f>
        <v>0</v>
      </c>
      <c r="FZ19" s="310"/>
      <c r="GA19" s="396" t="e">
        <f t="shared" si="115"/>
        <v>#DIV/0!</v>
      </c>
      <c r="GB19" s="396" t="e">
        <f t="shared" si="116"/>
        <v>#DIV/0!</v>
      </c>
      <c r="GC19" s="310">
        <f t="shared" si="80"/>
        <v>0</v>
      </c>
      <c r="GD19" s="310">
        <f t="shared" si="117"/>
        <v>0</v>
      </c>
      <c r="GE19" s="310">
        <f t="shared" si="118"/>
        <v>0</v>
      </c>
      <c r="GF19" s="396" t="e">
        <f t="shared" si="119"/>
        <v>#DIV/0!</v>
      </c>
      <c r="GG19" s="396" t="e">
        <f t="shared" si="120"/>
        <v>#DIV/0!</v>
      </c>
      <c r="GH19" s="396"/>
      <c r="GI19" s="311" t="e">
        <f t="shared" si="121"/>
        <v>#DIV/0!</v>
      </c>
      <c r="GJ19" s="344" t="e">
        <f t="shared" si="82"/>
        <v>#DIV/0!</v>
      </c>
      <c r="GK19" s="303">
        <f t="shared" si="30"/>
        <v>0.75414193629115867</v>
      </c>
    </row>
    <row r="20" spans="2:193" s="37" customFormat="1" ht="15.75" hidden="1" customHeight="1" x14ac:dyDescent="0.25">
      <c r="B20" s="29"/>
      <c r="C20" s="30"/>
      <c r="D20" s="30">
        <v>1</v>
      </c>
      <c r="E20" s="493">
        <v>10</v>
      </c>
      <c r="F20" s="29"/>
      <c r="G20" s="30"/>
      <c r="H20" s="30">
        <v>1</v>
      </c>
      <c r="I20" s="493"/>
      <c r="J20" s="494"/>
      <c r="K20" s="54"/>
      <c r="M20" s="493">
        <v>10</v>
      </c>
      <c r="N20" s="494" t="s">
        <v>194</v>
      </c>
      <c r="O20" s="494"/>
      <c r="P20" s="494">
        <f t="shared" si="49"/>
        <v>0</v>
      </c>
      <c r="Q20" s="494"/>
      <c r="R20" s="494"/>
      <c r="S20" s="494"/>
      <c r="T20" s="493"/>
      <c r="U20" s="493"/>
      <c r="V20" s="2">
        <f t="shared" si="31"/>
        <v>0</v>
      </c>
      <c r="W20" s="2"/>
      <c r="X20" s="198">
        <f t="shared" si="105"/>
        <v>0</v>
      </c>
      <c r="Y20" s="198"/>
      <c r="Z20" s="42"/>
      <c r="AA20" s="2"/>
      <c r="AB20" s="567">
        <f t="shared" si="83"/>
        <v>0</v>
      </c>
      <c r="AC20" s="567"/>
      <c r="AD20" s="568">
        <f t="shared" si="106"/>
        <v>0</v>
      </c>
      <c r="AE20" s="568"/>
      <c r="AF20" s="569"/>
      <c r="AG20" s="567"/>
      <c r="AH20" s="570"/>
      <c r="AI20" s="567"/>
      <c r="AJ20" s="567"/>
      <c r="AK20" s="568"/>
      <c r="AL20" s="567"/>
      <c r="AM20" s="570"/>
      <c r="AN20" s="567"/>
      <c r="AO20" s="567"/>
      <c r="AP20" s="568"/>
      <c r="AQ20" s="567"/>
      <c r="AR20" s="570"/>
      <c r="AS20" s="567"/>
      <c r="AT20" s="567"/>
      <c r="AU20" s="568"/>
      <c r="AV20" s="567"/>
      <c r="AW20" s="570"/>
      <c r="AX20" s="409"/>
      <c r="AY20" s="567">
        <f t="shared" si="84"/>
        <v>0</v>
      </c>
      <c r="AZ20" s="567"/>
      <c r="BA20" s="568">
        <f t="shared" si="85"/>
        <v>0</v>
      </c>
      <c r="BB20" s="568"/>
      <c r="BC20" s="569"/>
      <c r="BD20" s="567"/>
      <c r="BE20" s="567"/>
      <c r="BF20" s="567">
        <f t="shared" si="32"/>
        <v>0</v>
      </c>
      <c r="BG20" s="567">
        <f t="shared" si="33"/>
        <v>0</v>
      </c>
      <c r="BH20" s="567">
        <f t="shared" si="34"/>
        <v>0</v>
      </c>
      <c r="BI20" s="567">
        <f t="shared" si="35"/>
        <v>0</v>
      </c>
      <c r="BJ20" s="567">
        <f t="shared" si="36"/>
        <v>0</v>
      </c>
      <c r="BK20" s="567">
        <f t="shared" si="37"/>
        <v>0</v>
      </c>
      <c r="BL20" s="567" t="e">
        <f>#REF!-BE20</f>
        <v>#REF!</v>
      </c>
      <c r="BM20" s="567">
        <f t="shared" si="86"/>
        <v>455.4</v>
      </c>
      <c r="BN20" s="567"/>
      <c r="BO20" s="568">
        <f>198+257.4</f>
        <v>455.4</v>
      </c>
      <c r="BP20" s="567"/>
      <c r="BQ20" s="567"/>
      <c r="BR20" s="567">
        <f t="shared" si="87"/>
        <v>0</v>
      </c>
      <c r="BS20" s="567"/>
      <c r="BT20" s="568"/>
      <c r="BU20" s="567"/>
      <c r="BV20" s="567"/>
      <c r="BW20" s="567">
        <f t="shared" si="88"/>
        <v>0</v>
      </c>
      <c r="BX20" s="567"/>
      <c r="BY20" s="568">
        <f t="shared" si="38"/>
        <v>0</v>
      </c>
      <c r="BZ20" s="571"/>
      <c r="CA20" s="571"/>
      <c r="CB20" s="567"/>
      <c r="CC20" s="567"/>
      <c r="CD20" s="567">
        <f t="shared" si="89"/>
        <v>0</v>
      </c>
      <c r="CE20" s="567"/>
      <c r="CF20" s="568">
        <f t="shared" si="39"/>
        <v>0</v>
      </c>
      <c r="CG20" s="571"/>
      <c r="CH20" s="571"/>
      <c r="CI20" s="567"/>
      <c r="CJ20" s="567"/>
      <c r="CK20" s="567">
        <f t="shared" si="90"/>
        <v>0</v>
      </c>
      <c r="CL20" s="567"/>
      <c r="CM20" s="567">
        <f t="shared" si="102"/>
        <v>0</v>
      </c>
      <c r="CN20" s="567"/>
      <c r="CO20" s="567"/>
      <c r="CP20" s="567"/>
      <c r="CQ20" s="567"/>
      <c r="CR20" s="573">
        <f t="shared" si="91"/>
        <v>0</v>
      </c>
      <c r="CS20" s="567">
        <f t="shared" si="40"/>
        <v>0</v>
      </c>
      <c r="CT20" s="567">
        <f t="shared" si="41"/>
        <v>0</v>
      </c>
      <c r="CU20" s="567">
        <f t="shared" si="42"/>
        <v>0</v>
      </c>
      <c r="CV20" s="567">
        <f t="shared" si="43"/>
        <v>0</v>
      </c>
      <c r="CW20" s="567">
        <f t="shared" si="92"/>
        <v>0</v>
      </c>
      <c r="CX20" s="567">
        <f t="shared" ca="1" si="5"/>
        <v>0</v>
      </c>
      <c r="CY20" s="567">
        <f t="shared" si="44"/>
        <v>0</v>
      </c>
      <c r="CZ20" s="567">
        <f t="shared" si="45"/>
        <v>0</v>
      </c>
      <c r="DA20" s="567">
        <f t="shared" si="46"/>
        <v>0</v>
      </c>
      <c r="DB20" s="2">
        <f t="shared" si="93"/>
        <v>0</v>
      </c>
      <c r="DC20" s="76"/>
      <c r="DD20" s="253"/>
      <c r="DE20" s="253"/>
      <c r="DF20" s="2">
        <f t="shared" si="94"/>
        <v>0</v>
      </c>
      <c r="DG20" s="2"/>
      <c r="DH20" s="198"/>
      <c r="DI20" s="2"/>
      <c r="DJ20" s="2"/>
      <c r="DK20" s="2">
        <f t="shared" si="95"/>
        <v>0</v>
      </c>
      <c r="DL20" s="2"/>
      <c r="DM20" s="198"/>
      <c r="DN20" s="2"/>
      <c r="DO20" s="2"/>
      <c r="DP20" s="2">
        <f t="shared" si="96"/>
        <v>0</v>
      </c>
      <c r="DQ20" s="2">
        <f t="shared" si="103"/>
        <v>0</v>
      </c>
      <c r="DR20" s="2">
        <f t="shared" si="97"/>
        <v>0</v>
      </c>
      <c r="DS20" s="2">
        <f t="shared" si="97"/>
        <v>0</v>
      </c>
      <c r="DT20" s="2">
        <f t="shared" si="97"/>
        <v>0</v>
      </c>
      <c r="DU20" s="2"/>
      <c r="DV20" s="2"/>
      <c r="DW20" s="2"/>
      <c r="DX20" s="2">
        <f t="shared" ca="1" si="98"/>
        <v>0</v>
      </c>
      <c r="DY20" s="46"/>
      <c r="DZ20" s="2">
        <f t="shared" si="99"/>
        <v>0</v>
      </c>
      <c r="EA20" s="2">
        <f t="shared" si="100"/>
        <v>0</v>
      </c>
      <c r="EB20" s="46"/>
      <c r="EC20" s="2"/>
      <c r="ED20" s="2"/>
      <c r="EE20" s="46"/>
      <c r="EF20" s="2"/>
      <c r="EG20" s="46"/>
      <c r="EH20" s="46"/>
      <c r="EI20" s="2">
        <f t="shared" si="10"/>
        <v>0</v>
      </c>
      <c r="EJ20" s="2"/>
      <c r="EK20" s="198">
        <f t="shared" si="48"/>
        <v>0</v>
      </c>
      <c r="EL20" s="446"/>
      <c r="EM20" s="446"/>
      <c r="EN20" s="2"/>
      <c r="EO20" s="2"/>
      <c r="EP20" s="2">
        <f t="shared" si="14"/>
        <v>0</v>
      </c>
      <c r="EQ20" s="2"/>
      <c r="ER20" s="2">
        <f t="shared" si="104"/>
        <v>0</v>
      </c>
      <c r="ES20" s="2"/>
      <c r="ET20" s="2"/>
      <c r="EU20" s="2"/>
      <c r="EV20" s="141"/>
      <c r="EW20" s="310"/>
      <c r="EX20" s="310"/>
      <c r="EY20" s="310"/>
      <c r="EZ20" s="396"/>
      <c r="FA20" s="396"/>
      <c r="FB20" s="310"/>
      <c r="FC20" s="310"/>
      <c r="FD20" s="310"/>
      <c r="FE20" s="396"/>
      <c r="FF20" s="396"/>
      <c r="FG20" s="396"/>
      <c r="FH20" s="311"/>
      <c r="FI20" s="310"/>
      <c r="FJ20" s="296" t="e">
        <f t="shared" si="101"/>
        <v>#DIV/0!</v>
      </c>
      <c r="FK20" s="353">
        <f t="shared" si="73"/>
        <v>0</v>
      </c>
      <c r="FL20" s="353">
        <f t="shared" si="122"/>
        <v>0</v>
      </c>
      <c r="FM20" s="353"/>
      <c r="FN20" s="388"/>
      <c r="FO20" s="388"/>
      <c r="FP20" s="353">
        <f t="shared" si="75"/>
        <v>0</v>
      </c>
      <c r="FQ20" s="353">
        <f t="shared" si="109"/>
        <v>0</v>
      </c>
      <c r="FR20" s="353">
        <f t="shared" si="110"/>
        <v>0</v>
      </c>
      <c r="FS20" s="388"/>
      <c r="FT20" s="388"/>
      <c r="FU20" s="388"/>
      <c r="FV20" s="353">
        <f t="shared" si="113"/>
        <v>0</v>
      </c>
      <c r="FW20" s="353">
        <f t="shared" si="77"/>
        <v>0</v>
      </c>
      <c r="FX20" s="310"/>
      <c r="FY20" s="310"/>
      <c r="FZ20" s="310"/>
      <c r="GA20" s="396"/>
      <c r="GB20" s="396"/>
      <c r="GC20" s="310"/>
      <c r="GD20" s="310"/>
      <c r="GE20" s="310"/>
      <c r="GF20" s="396"/>
      <c r="GG20" s="396"/>
      <c r="GH20" s="396"/>
      <c r="GI20" s="311"/>
      <c r="GJ20" s="344"/>
      <c r="GK20" s="303" t="e">
        <f t="shared" si="30"/>
        <v>#DIV/0!</v>
      </c>
    </row>
    <row r="21" spans="2:193" s="37" customFormat="1" ht="15.75" customHeight="1" x14ac:dyDescent="0.25">
      <c r="B21" s="29"/>
      <c r="C21" s="30"/>
      <c r="D21" s="30">
        <v>1</v>
      </c>
      <c r="E21" s="493">
        <v>11</v>
      </c>
      <c r="F21" s="29"/>
      <c r="G21" s="30"/>
      <c r="H21" s="30">
        <v>1</v>
      </c>
      <c r="I21" s="493"/>
      <c r="J21" s="494"/>
      <c r="K21" s="199"/>
      <c r="L21" s="53"/>
      <c r="M21" s="493">
        <v>8</v>
      </c>
      <c r="N21" s="494" t="s">
        <v>195</v>
      </c>
      <c r="O21" s="494"/>
      <c r="P21" s="494">
        <f t="shared" si="49"/>
        <v>0</v>
      </c>
      <c r="Q21" s="494" t="s">
        <v>701</v>
      </c>
      <c r="R21" s="494" t="s">
        <v>699</v>
      </c>
      <c r="S21" s="494" t="s">
        <v>551</v>
      </c>
      <c r="T21" s="493">
        <v>2</v>
      </c>
      <c r="U21" s="493"/>
      <c r="V21" s="2">
        <f t="shared" si="31"/>
        <v>4083.5</v>
      </c>
      <c r="W21" s="2"/>
      <c r="X21" s="198">
        <f t="shared" si="105"/>
        <v>4083.5</v>
      </c>
      <c r="Y21" s="198">
        <v>1286.5999999999999</v>
      </c>
      <c r="Z21" s="198">
        <v>2796.9</v>
      </c>
      <c r="AA21" s="234"/>
      <c r="AB21" s="567">
        <f t="shared" si="83"/>
        <v>4083.5</v>
      </c>
      <c r="AC21" s="567"/>
      <c r="AD21" s="568">
        <f t="shared" si="106"/>
        <v>4083.5</v>
      </c>
      <c r="AE21" s="568">
        <v>1286.5999999999999</v>
      </c>
      <c r="AF21" s="568">
        <v>2796.9</v>
      </c>
      <c r="AG21" s="570"/>
      <c r="AH21" s="570"/>
      <c r="AI21" s="567"/>
      <c r="AJ21" s="567"/>
      <c r="AK21" s="568"/>
      <c r="AL21" s="570"/>
      <c r="AM21" s="570"/>
      <c r="AN21" s="567"/>
      <c r="AO21" s="567"/>
      <c r="AP21" s="568"/>
      <c r="AQ21" s="570"/>
      <c r="AR21" s="570"/>
      <c r="AS21" s="567"/>
      <c r="AT21" s="567"/>
      <c r="AU21" s="568"/>
      <c r="AV21" s="570"/>
      <c r="AW21" s="570"/>
      <c r="AX21" s="409" t="s">
        <v>421</v>
      </c>
      <c r="AY21" s="567">
        <f t="shared" si="84"/>
        <v>4083.5</v>
      </c>
      <c r="AZ21" s="567"/>
      <c r="BA21" s="568">
        <f t="shared" si="85"/>
        <v>4083.5</v>
      </c>
      <c r="BB21" s="568">
        <v>1286.5999999999999</v>
      </c>
      <c r="BC21" s="568">
        <v>2796.9</v>
      </c>
      <c r="BD21" s="570"/>
      <c r="BE21" s="567"/>
      <c r="BF21" s="567">
        <f t="shared" si="32"/>
        <v>0</v>
      </c>
      <c r="BG21" s="567">
        <f t="shared" si="33"/>
        <v>0</v>
      </c>
      <c r="BH21" s="567">
        <f t="shared" si="34"/>
        <v>0</v>
      </c>
      <c r="BI21" s="567">
        <f t="shared" si="35"/>
        <v>0</v>
      </c>
      <c r="BJ21" s="567">
        <f t="shared" si="36"/>
        <v>0</v>
      </c>
      <c r="BK21" s="567">
        <f t="shared" si="37"/>
        <v>0</v>
      </c>
      <c r="BL21" s="567" t="e">
        <f>#REF!-BE21</f>
        <v>#REF!</v>
      </c>
      <c r="BM21" s="567">
        <f t="shared" si="86"/>
        <v>1317.9</v>
      </c>
      <c r="BN21" s="567"/>
      <c r="BO21" s="568">
        <f>573+744.9</f>
        <v>1317.9</v>
      </c>
      <c r="BP21" s="570"/>
      <c r="BQ21" s="567"/>
      <c r="BR21" s="567">
        <f t="shared" si="87"/>
        <v>0</v>
      </c>
      <c r="BS21" s="567"/>
      <c r="BT21" s="568"/>
      <c r="BU21" s="570"/>
      <c r="BV21" s="567"/>
      <c r="BW21" s="567">
        <f t="shared" si="88"/>
        <v>4083.5</v>
      </c>
      <c r="BX21" s="567"/>
      <c r="BY21" s="568">
        <f t="shared" si="38"/>
        <v>4083.5</v>
      </c>
      <c r="BZ21" s="578">
        <v>1286.5999999999999</v>
      </c>
      <c r="CA21" s="578">
        <v>2796.9</v>
      </c>
      <c r="CB21" s="577"/>
      <c r="CC21" s="567"/>
      <c r="CD21" s="567">
        <f t="shared" si="89"/>
        <v>4083.5</v>
      </c>
      <c r="CE21" s="567"/>
      <c r="CF21" s="568">
        <f t="shared" si="39"/>
        <v>4083.5</v>
      </c>
      <c r="CG21" s="578">
        <v>1286.5999999999999</v>
      </c>
      <c r="CH21" s="578">
        <v>2796.9</v>
      </c>
      <c r="CI21" s="577"/>
      <c r="CJ21" s="567"/>
      <c r="CK21" s="567">
        <f t="shared" si="90"/>
        <v>1618.2450000000001</v>
      </c>
      <c r="CL21" s="567"/>
      <c r="CM21" s="567">
        <f t="shared" si="102"/>
        <v>1618.2450000000001</v>
      </c>
      <c r="CN21" s="567">
        <v>509.86500000000001</v>
      </c>
      <c r="CO21" s="567">
        <v>1108.3800000000001</v>
      </c>
      <c r="CP21" s="567"/>
      <c r="CQ21" s="567"/>
      <c r="CR21" s="573">
        <f t="shared" si="91"/>
        <v>5701.7449999999999</v>
      </c>
      <c r="CS21" s="567">
        <f t="shared" si="40"/>
        <v>5701.7449999999999</v>
      </c>
      <c r="CT21" s="567">
        <f t="shared" si="41"/>
        <v>0</v>
      </c>
      <c r="CU21" s="567">
        <f t="shared" si="42"/>
        <v>5701.7449999999999</v>
      </c>
      <c r="CV21" s="567">
        <f t="shared" si="43"/>
        <v>0</v>
      </c>
      <c r="CW21" s="567">
        <f t="shared" si="92"/>
        <v>0</v>
      </c>
      <c r="CX21" s="567">
        <f t="shared" ca="1" si="5"/>
        <v>0</v>
      </c>
      <c r="CY21" s="567">
        <f t="shared" si="44"/>
        <v>0</v>
      </c>
      <c r="CZ21" s="567">
        <f t="shared" si="45"/>
        <v>0</v>
      </c>
      <c r="DA21" s="567">
        <f t="shared" si="46"/>
        <v>0</v>
      </c>
      <c r="DB21" s="2">
        <f t="shared" si="93"/>
        <v>0</v>
      </c>
      <c r="DC21" s="76"/>
      <c r="DD21" s="253"/>
      <c r="DE21" s="253"/>
      <c r="DF21" s="2">
        <f t="shared" si="94"/>
        <v>0</v>
      </c>
      <c r="DG21" s="2"/>
      <c r="DH21" s="198"/>
      <c r="DI21" s="234"/>
      <c r="DJ21" s="2"/>
      <c r="DK21" s="2">
        <f t="shared" si="95"/>
        <v>0</v>
      </c>
      <c r="DL21" s="2"/>
      <c r="DM21" s="198"/>
      <c r="DN21" s="234"/>
      <c r="DO21" s="2"/>
      <c r="DP21" s="2">
        <f t="shared" si="96"/>
        <v>0</v>
      </c>
      <c r="DQ21" s="2">
        <f t="shared" si="103"/>
        <v>0</v>
      </c>
      <c r="DR21" s="2">
        <f t="shared" si="97"/>
        <v>0</v>
      </c>
      <c r="DS21" s="2">
        <f t="shared" si="97"/>
        <v>0</v>
      </c>
      <c r="DT21" s="2">
        <f t="shared" si="97"/>
        <v>0</v>
      </c>
      <c r="DU21" s="2"/>
      <c r="DV21" s="2"/>
      <c r="DW21" s="2"/>
      <c r="DX21" s="2">
        <f t="shared" ca="1" si="98"/>
        <v>0</v>
      </c>
      <c r="DY21" s="46"/>
      <c r="DZ21" s="2">
        <f t="shared" si="99"/>
        <v>4083.5</v>
      </c>
      <c r="EA21" s="2">
        <f t="shared" si="100"/>
        <v>4083.5</v>
      </c>
      <c r="EB21" s="46"/>
      <c r="EC21" s="2"/>
      <c r="ED21" s="2"/>
      <c r="EE21" s="46"/>
      <c r="EF21" s="2"/>
      <c r="EG21" s="46"/>
      <c r="EH21" s="46"/>
      <c r="EI21" s="2">
        <f t="shared" si="10"/>
        <v>4083.5</v>
      </c>
      <c r="EJ21" s="2"/>
      <c r="EK21" s="198">
        <f t="shared" si="48"/>
        <v>4083.5</v>
      </c>
      <c r="EL21" s="433">
        <v>1286.5999999999999</v>
      </c>
      <c r="EM21" s="433">
        <v>2796.9</v>
      </c>
      <c r="EN21" s="236"/>
      <c r="EO21" s="2"/>
      <c r="EP21" s="2">
        <f t="shared" si="14"/>
        <v>1618.2450000000001</v>
      </c>
      <c r="EQ21" s="2"/>
      <c r="ER21" s="2">
        <f t="shared" si="104"/>
        <v>1618.2450000000001</v>
      </c>
      <c r="ES21" s="2">
        <v>509.86500000000001</v>
      </c>
      <c r="ET21" s="2">
        <v>1108.3800000000001</v>
      </c>
      <c r="EU21" s="2"/>
      <c r="EV21" s="141"/>
      <c r="EW21" s="310"/>
      <c r="EX21" s="310"/>
      <c r="EY21" s="310"/>
      <c r="EZ21" s="396"/>
      <c r="FA21" s="396"/>
      <c r="FB21" s="310"/>
      <c r="FC21" s="310"/>
      <c r="FD21" s="310"/>
      <c r="FE21" s="396"/>
      <c r="FF21" s="396"/>
      <c r="FG21" s="396"/>
      <c r="FH21" s="311"/>
      <c r="FI21" s="310"/>
      <c r="FJ21" s="296" t="e">
        <f t="shared" si="101"/>
        <v>#DIV/0!</v>
      </c>
      <c r="FK21" s="353">
        <f t="shared" si="73"/>
        <v>4083.5</v>
      </c>
      <c r="FL21" s="353">
        <f t="shared" si="122"/>
        <v>4083.5</v>
      </c>
      <c r="FM21" s="353"/>
      <c r="FN21" s="388">
        <f t="shared" si="107"/>
        <v>1</v>
      </c>
      <c r="FO21" s="388">
        <f t="shared" si="108"/>
        <v>0</v>
      </c>
      <c r="FP21" s="353">
        <f t="shared" si="75"/>
        <v>5701.7449999999999</v>
      </c>
      <c r="FQ21" s="353">
        <f t="shared" si="109"/>
        <v>4083.5</v>
      </c>
      <c r="FR21" s="353">
        <f t="shared" si="110"/>
        <v>1618.2450000000001</v>
      </c>
      <c r="FS21" s="388">
        <f t="shared" si="111"/>
        <v>0.71618425587254431</v>
      </c>
      <c r="FT21" s="388">
        <f t="shared" si="112"/>
        <v>0.28381574412745575</v>
      </c>
      <c r="FU21" s="388"/>
      <c r="FV21" s="353">
        <f t="shared" si="113"/>
        <v>5701.7449999999999</v>
      </c>
      <c r="FW21" s="353">
        <f t="shared" si="77"/>
        <v>-1618.2449999999999</v>
      </c>
      <c r="FX21" s="310"/>
      <c r="FY21" s="310"/>
      <c r="FZ21" s="310"/>
      <c r="GA21" s="396"/>
      <c r="GB21" s="396"/>
      <c r="GC21" s="310"/>
      <c r="GD21" s="310"/>
      <c r="GE21" s="310"/>
      <c r="GF21" s="396"/>
      <c r="GG21" s="396"/>
      <c r="GH21" s="396"/>
      <c r="GI21" s="311"/>
      <c r="GJ21" s="344"/>
      <c r="GK21" s="303">
        <f t="shared" si="30"/>
        <v>1</v>
      </c>
    </row>
    <row r="22" spans="2:193" s="115" customFormat="1" ht="15.6" customHeight="1" x14ac:dyDescent="0.25">
      <c r="B22" s="109"/>
      <c r="C22" s="110"/>
      <c r="D22" s="110"/>
      <c r="E22" s="111"/>
      <c r="F22" s="109"/>
      <c r="G22" s="110"/>
      <c r="H22" s="110"/>
      <c r="I22" s="739"/>
      <c r="J22" s="740"/>
      <c r="K22" s="740"/>
      <c r="L22" s="116"/>
      <c r="M22" s="111"/>
      <c r="N22" s="114" t="s">
        <v>10</v>
      </c>
      <c r="O22" s="114"/>
      <c r="P22" s="114">
        <f t="shared" si="49"/>
        <v>0</v>
      </c>
      <c r="Q22" s="114"/>
      <c r="R22" s="114"/>
      <c r="S22" s="114"/>
      <c r="T22" s="158">
        <f>T23+T24+T25+T26+T27+T28+T29+T30+T31+T32+T33+T34+T35+T36+T37+T38+T39+T40</f>
        <v>16</v>
      </c>
      <c r="U22" s="158">
        <f>U23+U24+U25+U26+U27+U28+U29+U30+U31+U32+U33+U34+U35+U36+U37+U38+U39+U40</f>
        <v>3</v>
      </c>
      <c r="V22" s="57">
        <f t="shared" si="31"/>
        <v>26485.399999999998</v>
      </c>
      <c r="W22" s="57">
        <f t="shared" ref="W22:AA22" si="123">SUM(W23:W40)-W24</f>
        <v>0</v>
      </c>
      <c r="X22" s="57">
        <f t="shared" si="123"/>
        <v>26485.399999999998</v>
      </c>
      <c r="Y22" s="57">
        <f t="shared" si="123"/>
        <v>8344.7000000000007</v>
      </c>
      <c r="Z22" s="57">
        <f t="shared" si="123"/>
        <v>18140.7</v>
      </c>
      <c r="AA22" s="57">
        <f t="shared" si="123"/>
        <v>0</v>
      </c>
      <c r="AB22" s="564">
        <f t="shared" ref="AB22:AH22" si="124">SUM(AB23:AB40)-AB24</f>
        <v>26485.399999999998</v>
      </c>
      <c r="AC22" s="564">
        <f t="shared" si="124"/>
        <v>0</v>
      </c>
      <c r="AD22" s="564">
        <f t="shared" si="124"/>
        <v>26485.399999999998</v>
      </c>
      <c r="AE22" s="564">
        <f t="shared" si="124"/>
        <v>8344.7000000000007</v>
      </c>
      <c r="AF22" s="564">
        <f t="shared" si="124"/>
        <v>18140.7</v>
      </c>
      <c r="AG22" s="564">
        <f t="shared" si="124"/>
        <v>0</v>
      </c>
      <c r="AH22" s="564">
        <f t="shared" si="124"/>
        <v>0</v>
      </c>
      <c r="AI22" s="564">
        <f t="shared" ref="AI22:AM22" si="125">SUM(AI23:AI40)-AI24</f>
        <v>0</v>
      </c>
      <c r="AJ22" s="564">
        <f t="shared" si="125"/>
        <v>0</v>
      </c>
      <c r="AK22" s="564">
        <f t="shared" si="125"/>
        <v>0</v>
      </c>
      <c r="AL22" s="564">
        <f t="shared" si="125"/>
        <v>0</v>
      </c>
      <c r="AM22" s="564">
        <f t="shared" si="125"/>
        <v>0</v>
      </c>
      <c r="AN22" s="564">
        <f t="shared" ref="AN22:AR22" si="126">SUM(AN23:AN40)-AN24</f>
        <v>0</v>
      </c>
      <c r="AO22" s="564">
        <f t="shared" si="126"/>
        <v>0</v>
      </c>
      <c r="AP22" s="564">
        <f t="shared" si="126"/>
        <v>0</v>
      </c>
      <c r="AQ22" s="564">
        <f t="shared" si="126"/>
        <v>0</v>
      </c>
      <c r="AR22" s="564">
        <f t="shared" si="126"/>
        <v>0</v>
      </c>
      <c r="AS22" s="566">
        <f t="shared" ref="AS22:AW22" si="127">SUM(AS23:AS40)-AS24</f>
        <v>0</v>
      </c>
      <c r="AT22" s="564">
        <f t="shared" si="127"/>
        <v>0</v>
      </c>
      <c r="AU22" s="564">
        <f t="shared" si="127"/>
        <v>0</v>
      </c>
      <c r="AV22" s="564">
        <f t="shared" si="127"/>
        <v>0</v>
      </c>
      <c r="AW22" s="564">
        <f t="shared" si="127"/>
        <v>0</v>
      </c>
      <c r="AX22" s="565"/>
      <c r="AY22" s="564">
        <f t="shared" ref="AY22:BD22" si="128">SUM(AY23:AY40)-AY24</f>
        <v>26485.356029999999</v>
      </c>
      <c r="AZ22" s="564">
        <f t="shared" si="128"/>
        <v>0</v>
      </c>
      <c r="BA22" s="564">
        <f t="shared" si="128"/>
        <v>26485.356029999999</v>
      </c>
      <c r="BB22" s="564">
        <f t="shared" ref="BB22:BC22" si="129">SUM(BB23:BB40)-BB24</f>
        <v>8344.6560300000001</v>
      </c>
      <c r="BC22" s="564">
        <f t="shared" si="129"/>
        <v>18140.7</v>
      </c>
      <c r="BD22" s="564">
        <f t="shared" si="128"/>
        <v>0</v>
      </c>
      <c r="BE22" s="564">
        <f>SUM(BE23:BE40)-BE24</f>
        <v>0</v>
      </c>
      <c r="BF22" s="564">
        <f t="shared" si="32"/>
        <v>4.3970000000626897E-2</v>
      </c>
      <c r="BG22" s="564">
        <f t="shared" si="33"/>
        <v>0</v>
      </c>
      <c r="BH22" s="564">
        <f t="shared" si="34"/>
        <v>4.3970000000626897E-2</v>
      </c>
      <c r="BI22" s="564">
        <f t="shared" si="35"/>
        <v>4.3970000000626897E-2</v>
      </c>
      <c r="BJ22" s="564">
        <f t="shared" si="36"/>
        <v>0</v>
      </c>
      <c r="BK22" s="564">
        <f t="shared" si="37"/>
        <v>0</v>
      </c>
      <c r="BL22" s="564" t="e">
        <f t="shared" ref="BL22:BQ22" si="130">SUM(BL23:BL40)-BL24</f>
        <v>#REF!</v>
      </c>
      <c r="BM22" s="564">
        <f t="shared" si="130"/>
        <v>13101.000000000002</v>
      </c>
      <c r="BN22" s="564">
        <f t="shared" si="130"/>
        <v>0</v>
      </c>
      <c r="BO22" s="564">
        <f t="shared" si="130"/>
        <v>8441</v>
      </c>
      <c r="BP22" s="564">
        <f t="shared" si="130"/>
        <v>4660</v>
      </c>
      <c r="BQ22" s="564">
        <f t="shared" si="130"/>
        <v>0</v>
      </c>
      <c r="BR22" s="564">
        <f t="shared" ref="BR22:DB22" si="131">SUM(BR23:BR40)-BR24</f>
        <v>0</v>
      </c>
      <c r="BS22" s="564">
        <f t="shared" si="131"/>
        <v>0</v>
      </c>
      <c r="BT22" s="564">
        <f t="shared" si="131"/>
        <v>0</v>
      </c>
      <c r="BU22" s="564">
        <f t="shared" si="131"/>
        <v>0</v>
      </c>
      <c r="BV22" s="564">
        <f t="shared" si="131"/>
        <v>0</v>
      </c>
      <c r="BW22" s="564">
        <f t="shared" si="131"/>
        <v>22899.335259999996</v>
      </c>
      <c r="BX22" s="564">
        <f t="shared" si="131"/>
        <v>0</v>
      </c>
      <c r="BY22" s="564">
        <f t="shared" si="38"/>
        <v>22899.33526</v>
      </c>
      <c r="BZ22" s="564">
        <f t="shared" si="131"/>
        <v>7266.7655899999991</v>
      </c>
      <c r="CA22" s="564">
        <f t="shared" si="131"/>
        <v>15632.569670000001</v>
      </c>
      <c r="CB22" s="564">
        <f t="shared" si="131"/>
        <v>0</v>
      </c>
      <c r="CC22" s="564">
        <f t="shared" si="131"/>
        <v>0</v>
      </c>
      <c r="CD22" s="564">
        <f t="shared" si="131"/>
        <v>22899.335259999996</v>
      </c>
      <c r="CE22" s="564">
        <f t="shared" ref="CE22" si="132">SUM(CE23:CE40)-CE24</f>
        <v>0</v>
      </c>
      <c r="CF22" s="564">
        <f t="shared" si="39"/>
        <v>22899.33526</v>
      </c>
      <c r="CG22" s="564">
        <f t="shared" ref="CG22:CH22" si="133">SUM(CG23:CG40)-CG24</f>
        <v>7266.7655899999991</v>
      </c>
      <c r="CH22" s="564">
        <f t="shared" si="133"/>
        <v>15632.569670000001</v>
      </c>
      <c r="CI22" s="564">
        <f t="shared" ref="CI22" si="134">SUM(CI23:CI40)-CI24</f>
        <v>0</v>
      </c>
      <c r="CJ22" s="564">
        <f t="shared" si="131"/>
        <v>0</v>
      </c>
      <c r="CK22" s="566">
        <f t="shared" si="131"/>
        <v>6188.8199400000003</v>
      </c>
      <c r="CL22" s="564">
        <f t="shared" si="131"/>
        <v>0</v>
      </c>
      <c r="CM22" s="564">
        <f>SUM(CM23:CM38)</f>
        <v>6188.8199400000003</v>
      </c>
      <c r="CN22" s="564">
        <f t="shared" si="131"/>
        <v>1655.85221</v>
      </c>
      <c r="CO22" s="564">
        <f t="shared" si="131"/>
        <v>3758.6095599999999</v>
      </c>
      <c r="CP22" s="564">
        <f t="shared" si="131"/>
        <v>0</v>
      </c>
      <c r="CQ22" s="564">
        <f t="shared" si="131"/>
        <v>0</v>
      </c>
      <c r="CR22" s="564">
        <f t="shared" si="131"/>
        <v>29088.155200000001</v>
      </c>
      <c r="CS22" s="564">
        <f t="shared" si="40"/>
        <v>29088.155200000001</v>
      </c>
      <c r="CT22" s="564">
        <f t="shared" si="41"/>
        <v>0</v>
      </c>
      <c r="CU22" s="564">
        <f t="shared" si="42"/>
        <v>29088.155200000001</v>
      </c>
      <c r="CV22" s="564">
        <f t="shared" si="43"/>
        <v>0</v>
      </c>
      <c r="CW22" s="564">
        <f t="shared" si="131"/>
        <v>0</v>
      </c>
      <c r="CX22" s="564">
        <f t="shared" ca="1" si="5"/>
        <v>0</v>
      </c>
      <c r="CY22" s="564">
        <f t="shared" si="44"/>
        <v>0</v>
      </c>
      <c r="CZ22" s="564">
        <f t="shared" si="45"/>
        <v>0</v>
      </c>
      <c r="DA22" s="564">
        <f t="shared" si="46"/>
        <v>0</v>
      </c>
      <c r="DB22" s="57">
        <f t="shared" si="131"/>
        <v>0</v>
      </c>
      <c r="DC22" s="225">
        <f>DD22+DF22-BR22</f>
        <v>13101.000000000002</v>
      </c>
      <c r="DD22" s="226">
        <f t="shared" ref="DD22:DX22" si="135">SUM(DD23:DD40)-DD24</f>
        <v>13101.000000000002</v>
      </c>
      <c r="DE22" s="226">
        <f t="shared" si="135"/>
        <v>13101.000000000002</v>
      </c>
      <c r="DF22" s="57">
        <f t="shared" si="135"/>
        <v>0</v>
      </c>
      <c r="DG22" s="57">
        <f t="shared" si="135"/>
        <v>0</v>
      </c>
      <c r="DH22" s="57">
        <f t="shared" si="135"/>
        <v>0</v>
      </c>
      <c r="DI22" s="57">
        <f t="shared" si="135"/>
        <v>0</v>
      </c>
      <c r="DJ22" s="57">
        <f t="shared" si="135"/>
        <v>0</v>
      </c>
      <c r="DK22" s="57">
        <f t="shared" si="135"/>
        <v>0</v>
      </c>
      <c r="DL22" s="57">
        <f t="shared" si="135"/>
        <v>0</v>
      </c>
      <c r="DM22" s="57">
        <f t="shared" si="135"/>
        <v>0</v>
      </c>
      <c r="DN22" s="57">
        <f t="shared" si="135"/>
        <v>0</v>
      </c>
      <c r="DO22" s="57">
        <f t="shared" si="135"/>
        <v>0</v>
      </c>
      <c r="DP22" s="57">
        <f t="shared" si="135"/>
        <v>0</v>
      </c>
      <c r="DQ22" s="57">
        <f t="shared" si="135"/>
        <v>0</v>
      </c>
      <c r="DR22" s="57">
        <f t="shared" si="135"/>
        <v>0</v>
      </c>
      <c r="DS22" s="57">
        <f t="shared" si="135"/>
        <v>0</v>
      </c>
      <c r="DT22" s="57">
        <f t="shared" si="135"/>
        <v>0</v>
      </c>
      <c r="DU22" s="57">
        <f t="shared" si="135"/>
        <v>0</v>
      </c>
      <c r="DV22" s="57">
        <f t="shared" si="135"/>
        <v>0</v>
      </c>
      <c r="DW22" s="57">
        <f t="shared" si="135"/>
        <v>0</v>
      </c>
      <c r="DX22" s="57">
        <f t="shared" ca="1" si="135"/>
        <v>0</v>
      </c>
      <c r="DY22" s="124"/>
      <c r="DZ22" s="57">
        <f>SUM(DZ23:DZ40)-DZ24</f>
        <v>22899.335259999996</v>
      </c>
      <c r="EA22" s="57">
        <f>SUM(EA23:EA40)-EA24</f>
        <v>22899.335259999996</v>
      </c>
      <c r="EB22" s="124"/>
      <c r="EC22" s="57">
        <f>SUM(EC23:EC40)-EC24</f>
        <v>22899.33526</v>
      </c>
      <c r="ED22" s="57">
        <f ca="1">SUM(ED23:ED40)-ED24</f>
        <v>0</v>
      </c>
      <c r="EE22" s="124"/>
      <c r="EF22" s="57">
        <f>SUM(EF23:EF40)-EF24</f>
        <v>-9798.3352599999998</v>
      </c>
      <c r="EG22" s="124">
        <f ca="1">DX22-EF22</f>
        <v>9798.3352599999998</v>
      </c>
      <c r="EH22" s="124"/>
      <c r="EI22" s="57">
        <f t="shared" si="10"/>
        <v>22899.33526</v>
      </c>
      <c r="EJ22" s="57">
        <f t="shared" ref="EJ22:EN22" si="136">SUM(EJ23:EJ40)-EJ24</f>
        <v>0</v>
      </c>
      <c r="EK22" s="57">
        <f t="shared" si="48"/>
        <v>22899.33526</v>
      </c>
      <c r="EL22" s="57">
        <f t="shared" ref="EL22:EM22" si="137">SUM(EL23:EL40)-EL24</f>
        <v>7266.7655899999991</v>
      </c>
      <c r="EM22" s="57">
        <f t="shared" si="137"/>
        <v>15632.569670000001</v>
      </c>
      <c r="EN22" s="57">
        <f t="shared" si="136"/>
        <v>0</v>
      </c>
      <c r="EO22" s="57">
        <f t="shared" ref="EO22" si="138">SUM(EO23:EO40)-EO24</f>
        <v>0</v>
      </c>
      <c r="EP22" s="57">
        <f t="shared" si="14"/>
        <v>6188.8199400000003</v>
      </c>
      <c r="EQ22" s="57">
        <f t="shared" ref="EQ22" si="139">SUM(EQ23:EQ40)-EQ24</f>
        <v>0</v>
      </c>
      <c r="ER22" s="57">
        <f>SUM(ER23:ER38)</f>
        <v>6188.8199400000003</v>
      </c>
      <c r="ES22" s="57">
        <f t="shared" ref="ES22:EU22" si="140">SUM(ES23:ES40)-ES24</f>
        <v>1846.3260099999998</v>
      </c>
      <c r="ET22" s="57">
        <f t="shared" si="140"/>
        <v>4342.4939299999996</v>
      </c>
      <c r="EU22" s="57">
        <f t="shared" si="140"/>
        <v>0</v>
      </c>
      <c r="EV22" s="140">
        <f t="shared" ref="EV22" si="141">SUM(EV23:EV40)-EV24</f>
        <v>0</v>
      </c>
      <c r="EW22" s="57">
        <f t="shared" si="17"/>
        <v>0</v>
      </c>
      <c r="EX22" s="57">
        <f>AZ22</f>
        <v>0</v>
      </c>
      <c r="EY22" s="57">
        <f t="shared" ref="EY22" si="142">SUM(EY23:EY40)-EY24</f>
        <v>0</v>
      </c>
      <c r="EZ22" s="390"/>
      <c r="FA22" s="390"/>
      <c r="FB22" s="57">
        <f t="shared" si="70"/>
        <v>0</v>
      </c>
      <c r="FC22" s="57">
        <f>SUM(FC23:FC40)</f>
        <v>0</v>
      </c>
      <c r="FD22" s="57">
        <f>SUM(FD23:FD40)</f>
        <v>0</v>
      </c>
      <c r="FE22" s="390"/>
      <c r="FF22" s="390"/>
      <c r="FG22" s="390"/>
      <c r="FH22" s="304" t="e">
        <f t="shared" ref="FH22" si="143">SUM(FH23:FH40)</f>
        <v>#DIV/0!</v>
      </c>
      <c r="FI22" s="57" t="e">
        <f t="shared" si="72"/>
        <v>#DIV/0!</v>
      </c>
      <c r="FJ22" s="295"/>
      <c r="FK22" s="57">
        <f t="shared" si="73"/>
        <v>26485.356029999999</v>
      </c>
      <c r="FL22" s="57">
        <f t="shared" si="122"/>
        <v>26485.356029999999</v>
      </c>
      <c r="FM22" s="57">
        <f t="shared" ref="FM22" si="144">SUM(FM23:FM40)-FM24</f>
        <v>0</v>
      </c>
      <c r="FN22" s="390"/>
      <c r="FO22" s="390"/>
      <c r="FP22" s="57">
        <f t="shared" si="75"/>
        <v>29088.155199999997</v>
      </c>
      <c r="FQ22" s="57">
        <f>SUM(FQ23:FQ40)</f>
        <v>22899.335259999996</v>
      </c>
      <c r="FR22" s="57">
        <f>SUM(FR23:FR40)</f>
        <v>6188.8199400000003</v>
      </c>
      <c r="FS22" s="390"/>
      <c r="FT22" s="390"/>
      <c r="FU22" s="390"/>
      <c r="FV22" s="57" t="e">
        <f t="shared" ref="FV22" si="145">SUM(FV23:FV40)</f>
        <v>#DIV/0!</v>
      </c>
      <c r="FW22" s="57" t="e">
        <f t="shared" si="77"/>
        <v>#DIV/0!</v>
      </c>
      <c r="FX22" s="57">
        <f t="shared" ref="FX22" si="146">FY22+FZ22+GA22</f>
        <v>0</v>
      </c>
      <c r="FY22" s="57">
        <f>BD22</f>
        <v>0</v>
      </c>
      <c r="FZ22" s="57">
        <f t="shared" ref="FZ22" si="147">SUM(FZ23:FZ40)-FZ24</f>
        <v>0</v>
      </c>
      <c r="GA22" s="390"/>
      <c r="GB22" s="390"/>
      <c r="GC22" s="57">
        <f t="shared" si="80"/>
        <v>0</v>
      </c>
      <c r="GD22" s="57">
        <f>SUM(GD23:GD40)</f>
        <v>0</v>
      </c>
      <c r="GE22" s="57">
        <f>SUM(GE23:GE40)</f>
        <v>0</v>
      </c>
      <c r="GF22" s="390"/>
      <c r="GG22" s="390"/>
      <c r="GH22" s="390"/>
      <c r="GI22" s="304" t="e">
        <f t="shared" ref="GI22" si="148">SUM(GI23:GI40)</f>
        <v>#DIV/0!</v>
      </c>
      <c r="GJ22" s="77" t="e">
        <f t="shared" si="82"/>
        <v>#DIV/0!</v>
      </c>
      <c r="GK22" s="462">
        <f t="shared" si="30"/>
        <v>0.86460220574354163</v>
      </c>
    </row>
    <row r="23" spans="2:193" s="37" customFormat="1" ht="15.6" customHeight="1" x14ac:dyDescent="0.25">
      <c r="B23" s="29">
        <v>1</v>
      </c>
      <c r="C23" s="30"/>
      <c r="D23" s="30"/>
      <c r="E23" s="493">
        <v>12</v>
      </c>
      <c r="F23" s="29"/>
      <c r="G23" s="30"/>
      <c r="H23" s="30"/>
      <c r="I23" s="733"/>
      <c r="J23" s="734"/>
      <c r="K23" s="734"/>
      <c r="L23" s="734"/>
      <c r="M23" s="493">
        <v>9</v>
      </c>
      <c r="N23" s="478" t="s">
        <v>10</v>
      </c>
      <c r="O23" s="17"/>
      <c r="P23" s="17">
        <f t="shared" si="49"/>
        <v>0</v>
      </c>
      <c r="Q23" s="17" t="s">
        <v>701</v>
      </c>
      <c r="R23" s="17" t="s">
        <v>699</v>
      </c>
      <c r="S23" s="443" t="s">
        <v>604</v>
      </c>
      <c r="T23" s="156">
        <v>2</v>
      </c>
      <c r="U23" s="156"/>
      <c r="V23" s="42">
        <f t="shared" si="31"/>
        <v>6381.3</v>
      </c>
      <c r="W23" s="42"/>
      <c r="X23" s="198">
        <f t="shared" si="105"/>
        <v>6381.3</v>
      </c>
      <c r="Y23" s="198">
        <v>2010.5</v>
      </c>
      <c r="Z23" s="42">
        <v>4370.8</v>
      </c>
      <c r="AA23" s="42"/>
      <c r="AB23" s="569">
        <f t="shared" ref="AB23:AB40" si="149">AC23+AD23+AG23+AH23</f>
        <v>6381.3</v>
      </c>
      <c r="AC23" s="569"/>
      <c r="AD23" s="568">
        <f t="shared" si="106"/>
        <v>6381.3</v>
      </c>
      <c r="AE23" s="568">
        <v>2010.5</v>
      </c>
      <c r="AF23" s="569">
        <v>4370.8</v>
      </c>
      <c r="AG23" s="569"/>
      <c r="AH23" s="583"/>
      <c r="AI23" s="569"/>
      <c r="AJ23" s="569"/>
      <c r="AK23" s="568"/>
      <c r="AL23" s="569"/>
      <c r="AM23" s="583"/>
      <c r="AN23" s="569"/>
      <c r="AO23" s="569"/>
      <c r="AP23" s="568"/>
      <c r="AQ23" s="569"/>
      <c r="AR23" s="583"/>
      <c r="AS23" s="569"/>
      <c r="AT23" s="569"/>
      <c r="AU23" s="568"/>
      <c r="AV23" s="569"/>
      <c r="AW23" s="584"/>
      <c r="AX23" s="409" t="s">
        <v>460</v>
      </c>
      <c r="AY23" s="567">
        <f t="shared" ref="AY23:AY86" si="150">AZ23+BA23+BD23+BE23</f>
        <v>6381.3</v>
      </c>
      <c r="AZ23" s="584"/>
      <c r="BA23" s="568">
        <f t="shared" ref="BA23:BA38" si="151">BB23+BC23</f>
        <v>6381.3</v>
      </c>
      <c r="BB23" s="568">
        <v>2010.5</v>
      </c>
      <c r="BC23" s="569">
        <v>4370.8</v>
      </c>
      <c r="BD23" s="569"/>
      <c r="BE23" s="584"/>
      <c r="BF23" s="567">
        <f t="shared" si="32"/>
        <v>0</v>
      </c>
      <c r="BG23" s="567">
        <f t="shared" si="33"/>
        <v>0</v>
      </c>
      <c r="BH23" s="567">
        <f t="shared" si="34"/>
        <v>0</v>
      </c>
      <c r="BI23" s="567">
        <f t="shared" si="35"/>
        <v>0</v>
      </c>
      <c r="BJ23" s="567">
        <f t="shared" si="36"/>
        <v>0</v>
      </c>
      <c r="BK23" s="567">
        <f t="shared" si="37"/>
        <v>0</v>
      </c>
      <c r="BL23" s="567" t="e">
        <f>#REF!-BE23</f>
        <v>#REF!</v>
      </c>
      <c r="BM23" s="567">
        <f t="shared" ref="BM23:BM40" si="152">BN23+BO23+BP23+BQ23</f>
        <v>7070.4</v>
      </c>
      <c r="BN23" s="584"/>
      <c r="BO23" s="568">
        <f>894+1516.4</f>
        <v>2410.4</v>
      </c>
      <c r="BP23" s="569">
        <v>4660</v>
      </c>
      <c r="BQ23" s="584"/>
      <c r="BR23" s="567">
        <f t="shared" ref="BR23:BR40" si="153">BS23+BT23+BU23+BV23</f>
        <v>0</v>
      </c>
      <c r="BS23" s="584"/>
      <c r="BT23" s="584"/>
      <c r="BU23" s="584"/>
      <c r="BV23" s="584"/>
      <c r="BW23" s="567">
        <f t="shared" ref="BW23:BW40" si="154">BX23+BY23+CB23+CC23</f>
        <v>5459.1229600000006</v>
      </c>
      <c r="BX23" s="584"/>
      <c r="BY23" s="578">
        <f t="shared" si="38"/>
        <v>5459.1229600000006</v>
      </c>
      <c r="BZ23" s="571">
        <v>1578.2424900000001</v>
      </c>
      <c r="CA23" s="571">
        <v>3880.8804700000001</v>
      </c>
      <c r="CB23" s="569"/>
      <c r="CC23" s="585"/>
      <c r="CD23" s="567">
        <f t="shared" ref="CD23:CD40" si="155">CE23+CF23+CI23+CJ23</f>
        <v>5459.1229600000006</v>
      </c>
      <c r="CE23" s="584"/>
      <c r="CF23" s="578">
        <f t="shared" si="39"/>
        <v>5459.1229600000006</v>
      </c>
      <c r="CG23" s="571">
        <v>1578.2424900000001</v>
      </c>
      <c r="CH23" s="571">
        <v>3880.8804700000001</v>
      </c>
      <c r="CI23" s="569"/>
      <c r="CJ23" s="585"/>
      <c r="CK23" s="567">
        <f t="shared" ref="CK23:CK40" si="156">CL23+CM23+CP23+CQ23</f>
        <v>1062.05555</v>
      </c>
      <c r="CL23" s="584"/>
      <c r="CM23" s="569">
        <f t="shared" si="102"/>
        <v>1062.05555</v>
      </c>
      <c r="CN23" s="569">
        <v>181.61760000000001</v>
      </c>
      <c r="CO23" s="569">
        <v>880.43795</v>
      </c>
      <c r="CP23" s="569"/>
      <c r="CQ23" s="584"/>
      <c r="CR23" s="573">
        <f t="shared" ref="CR23:CR40" si="157">CS23</f>
        <v>6521.1785100000006</v>
      </c>
      <c r="CS23" s="567">
        <f t="shared" si="40"/>
        <v>6521.1785100000006</v>
      </c>
      <c r="CT23" s="567">
        <f t="shared" si="41"/>
        <v>0</v>
      </c>
      <c r="CU23" s="567">
        <f t="shared" si="42"/>
        <v>6521.1785100000006</v>
      </c>
      <c r="CV23" s="567">
        <f t="shared" si="43"/>
        <v>0</v>
      </c>
      <c r="CW23" s="567">
        <f t="shared" ref="CW23:CW40" si="158">CJ23+CQ23</f>
        <v>0</v>
      </c>
      <c r="CX23" s="567">
        <f t="shared" ca="1" si="5"/>
        <v>0</v>
      </c>
      <c r="CY23" s="567">
        <f t="shared" si="44"/>
        <v>0</v>
      </c>
      <c r="CZ23" s="567">
        <f t="shared" si="45"/>
        <v>0</v>
      </c>
      <c r="DA23" s="567">
        <f t="shared" si="46"/>
        <v>0</v>
      </c>
      <c r="DB23" s="2">
        <f t="shared" ref="DB23:DB40" si="159">CC23-CJ23</f>
        <v>0</v>
      </c>
      <c r="DC23" s="76"/>
      <c r="DD23" s="253">
        <f>BO23</f>
        <v>2410.4</v>
      </c>
      <c r="DE23" s="254">
        <f>DD23</f>
        <v>2410.4</v>
      </c>
      <c r="DF23" s="2">
        <f t="shared" ref="DF23:DF40" si="160">DG23+DH23+DI23+DJ23</f>
        <v>0</v>
      </c>
      <c r="DG23" s="6"/>
      <c r="DH23" s="6"/>
      <c r="DI23" s="6"/>
      <c r="DJ23" s="6"/>
      <c r="DK23" s="2">
        <f t="shared" ref="DK23:DK40" si="161">DL23+DM23+DN23+DO23</f>
        <v>0</v>
      </c>
      <c r="DL23" s="6"/>
      <c r="DM23" s="6"/>
      <c r="DN23" s="6"/>
      <c r="DO23" s="6"/>
      <c r="DP23" s="2">
        <f t="shared" ref="DP23:DP40" si="162">DQ23+DR23+DS23+DT23</f>
        <v>0</v>
      </c>
      <c r="DQ23" s="2">
        <f t="shared" ref="DQ23:DT40" si="163">DG23-DL23</f>
        <v>0</v>
      </c>
      <c r="DR23" s="2">
        <f t="shared" si="163"/>
        <v>0</v>
      </c>
      <c r="DS23" s="2">
        <f t="shared" si="163"/>
        <v>0</v>
      </c>
      <c r="DT23" s="2">
        <f t="shared" si="163"/>
        <v>0</v>
      </c>
      <c r="DU23" s="6"/>
      <c r="DV23" s="6"/>
      <c r="DW23" s="6"/>
      <c r="DX23" s="2">
        <f t="shared" ref="DX23:DX40" ca="1" si="164">CX23+DP23+DW23</f>
        <v>0</v>
      </c>
      <c r="DY23" s="46"/>
      <c r="DZ23" s="2">
        <f t="shared" ref="DZ23:DZ40" si="165">BW23+DF23+DU23</f>
        <v>5459.1229600000006</v>
      </c>
      <c r="EA23" s="2">
        <f t="shared" ref="EA23:EA40" si="166">CD23+DK23+DV23</f>
        <v>5459.1229600000006</v>
      </c>
      <c r="EB23" s="46"/>
      <c r="EC23" s="2">
        <f>EA23</f>
        <v>5459.1229600000006</v>
      </c>
      <c r="ED23" s="2">
        <f ca="1">DX23</f>
        <v>0</v>
      </c>
      <c r="EE23" s="46"/>
      <c r="EF23" s="2">
        <f>DE23-EC23</f>
        <v>-3048.7229600000005</v>
      </c>
      <c r="EG23" s="46"/>
      <c r="EH23" s="46"/>
      <c r="EI23" s="2">
        <f t="shared" si="10"/>
        <v>5459.1229600000006</v>
      </c>
      <c r="EJ23" s="255"/>
      <c r="EK23" s="433">
        <f t="shared" si="48"/>
        <v>5459.1229600000006</v>
      </c>
      <c r="EL23" s="446">
        <v>1578.2424900000001</v>
      </c>
      <c r="EM23" s="446">
        <v>3880.8804700000001</v>
      </c>
      <c r="EN23" s="42"/>
      <c r="EO23" s="255"/>
      <c r="EP23" s="2">
        <f t="shared" si="14"/>
        <v>1062.05555</v>
      </c>
      <c r="EQ23" s="6"/>
      <c r="ER23" s="42">
        <f t="shared" si="104"/>
        <v>1062.05555</v>
      </c>
      <c r="ES23" s="42">
        <v>181.61760000000001</v>
      </c>
      <c r="ET23" s="42">
        <v>880.43795</v>
      </c>
      <c r="EU23" s="42"/>
      <c r="EV23" s="145"/>
      <c r="EW23" s="310"/>
      <c r="EX23" s="313"/>
      <c r="EY23" s="313"/>
      <c r="EZ23" s="397"/>
      <c r="FA23" s="397"/>
      <c r="FB23" s="310"/>
      <c r="FC23" s="313"/>
      <c r="FD23" s="313"/>
      <c r="FE23" s="397"/>
      <c r="FF23" s="397"/>
      <c r="FG23" s="397"/>
      <c r="FH23" s="314"/>
      <c r="FI23" s="438"/>
      <c r="FJ23" s="297" t="e">
        <f t="shared" ref="FJ23:FJ40" si="167">FH23/FE23</f>
        <v>#DIV/0!</v>
      </c>
      <c r="FK23" s="353">
        <f t="shared" si="73"/>
        <v>6381.3</v>
      </c>
      <c r="FL23" s="355">
        <f t="shared" si="122"/>
        <v>6381.3</v>
      </c>
      <c r="FM23" s="355"/>
      <c r="FN23" s="391">
        <f t="shared" ref="FN23:FN40" si="168">FL23/FK23</f>
        <v>1</v>
      </c>
      <c r="FO23" s="391">
        <f t="shared" ref="FO23:FO40" si="169">FM23/FK23</f>
        <v>0</v>
      </c>
      <c r="FP23" s="353">
        <f t="shared" si="75"/>
        <v>6521.1785100000006</v>
      </c>
      <c r="FQ23" s="355">
        <f t="shared" ref="FQ23:FQ40" si="170">EK23</f>
        <v>5459.1229600000006</v>
      </c>
      <c r="FR23" s="355">
        <f t="shared" ref="FR23:FR40" si="171">ER23</f>
        <v>1062.05555</v>
      </c>
      <c r="FS23" s="391">
        <f t="shared" ref="FS23:FS40" si="172">FQ23/FP23</f>
        <v>0.83713748237816599</v>
      </c>
      <c r="FT23" s="391">
        <f t="shared" ref="FT23:FT40" si="173">FR23/FP23</f>
        <v>0.16286251762183396</v>
      </c>
      <c r="FU23" s="391"/>
      <c r="FV23" s="386">
        <f t="shared" si="113"/>
        <v>6521.1785100000006</v>
      </c>
      <c r="FW23" s="386">
        <f t="shared" si="77"/>
        <v>-1062.05555</v>
      </c>
      <c r="FX23" s="310">
        <f t="shared" ref="FX23:FX40" si="174">FY23+FZ23</f>
        <v>0</v>
      </c>
      <c r="FY23" s="313">
        <f>BD23</f>
        <v>0</v>
      </c>
      <c r="FZ23" s="313"/>
      <c r="GA23" s="397" t="e">
        <f t="shared" ref="GA23:GA40" si="175">FY23/FX23</f>
        <v>#DIV/0!</v>
      </c>
      <c r="GB23" s="397" t="e">
        <f t="shared" ref="GB23:GB40" si="176">FZ23/FX23</f>
        <v>#DIV/0!</v>
      </c>
      <c r="GC23" s="310">
        <f t="shared" si="80"/>
        <v>0</v>
      </c>
      <c r="GD23" s="313">
        <f t="shared" ref="GD23:GD84" si="177">EN23</f>
        <v>0</v>
      </c>
      <c r="GE23" s="313">
        <f t="shared" ref="GE23:GE84" si="178">EU23</f>
        <v>0</v>
      </c>
      <c r="GF23" s="397" t="e">
        <f t="shared" ref="GF23:GF40" si="179">GD23/GC23</f>
        <v>#DIV/0!</v>
      </c>
      <c r="GG23" s="397" t="e">
        <f t="shared" ref="GG23:GG40" si="180">GE23/GC23</f>
        <v>#DIV/0!</v>
      </c>
      <c r="GH23" s="397"/>
      <c r="GI23" s="314" t="e">
        <f t="shared" ref="GI23:GI40" si="181">GC23*GA23</f>
        <v>#DIV/0!</v>
      </c>
      <c r="GJ23" s="452" t="e">
        <f t="shared" si="82"/>
        <v>#DIV/0!</v>
      </c>
      <c r="GK23" s="303">
        <f t="shared" si="30"/>
        <v>0.85548759030291643</v>
      </c>
    </row>
    <row r="24" spans="2:193" s="37" customFormat="1" ht="15.6" hidden="1" customHeight="1" x14ac:dyDescent="0.25">
      <c r="B24" s="29"/>
      <c r="C24" s="30"/>
      <c r="D24" s="30"/>
      <c r="E24" s="493"/>
      <c r="F24" s="29"/>
      <c r="G24" s="30"/>
      <c r="H24" s="30"/>
      <c r="I24" s="722"/>
      <c r="J24" s="742"/>
      <c r="K24" s="199"/>
      <c r="L24" s="53"/>
      <c r="M24" s="493"/>
      <c r="N24" s="18" t="s">
        <v>246</v>
      </c>
      <c r="O24" s="128"/>
      <c r="P24" s="128">
        <f t="shared" si="49"/>
        <v>0</v>
      </c>
      <c r="Q24" s="128"/>
      <c r="R24" s="128"/>
      <c r="S24" s="128"/>
      <c r="T24" s="128"/>
      <c r="U24" s="128"/>
      <c r="V24" s="42">
        <f t="shared" si="31"/>
        <v>0</v>
      </c>
      <c r="W24" s="42"/>
      <c r="X24" s="198">
        <f t="shared" si="105"/>
        <v>0</v>
      </c>
      <c r="Y24" s="198"/>
      <c r="Z24" s="42"/>
      <c r="AA24" s="6"/>
      <c r="AB24" s="569">
        <f t="shared" si="149"/>
        <v>0</v>
      </c>
      <c r="AC24" s="569"/>
      <c r="AD24" s="568">
        <f t="shared" si="106"/>
        <v>0</v>
      </c>
      <c r="AE24" s="568"/>
      <c r="AF24" s="569"/>
      <c r="AG24" s="584"/>
      <c r="AH24" s="583"/>
      <c r="AI24" s="569"/>
      <c r="AJ24" s="569"/>
      <c r="AK24" s="568"/>
      <c r="AL24" s="584"/>
      <c r="AM24" s="583"/>
      <c r="AN24" s="569"/>
      <c r="AO24" s="569"/>
      <c r="AP24" s="568"/>
      <c r="AQ24" s="584"/>
      <c r="AR24" s="583"/>
      <c r="AS24" s="569"/>
      <c r="AT24" s="569"/>
      <c r="AU24" s="568"/>
      <c r="AV24" s="584"/>
      <c r="AW24" s="584"/>
      <c r="AX24" s="586"/>
      <c r="AY24" s="567">
        <f t="shared" si="150"/>
        <v>0</v>
      </c>
      <c r="AZ24" s="584"/>
      <c r="BA24" s="569">
        <f t="shared" si="151"/>
        <v>0</v>
      </c>
      <c r="BB24" s="584"/>
      <c r="BC24" s="584"/>
      <c r="BD24" s="584"/>
      <c r="BE24" s="584"/>
      <c r="BF24" s="567">
        <f t="shared" si="32"/>
        <v>0</v>
      </c>
      <c r="BG24" s="567">
        <f t="shared" si="33"/>
        <v>0</v>
      </c>
      <c r="BH24" s="567">
        <f t="shared" si="34"/>
        <v>0</v>
      </c>
      <c r="BI24" s="567">
        <f t="shared" si="35"/>
        <v>0</v>
      </c>
      <c r="BJ24" s="567">
        <f t="shared" si="36"/>
        <v>0</v>
      </c>
      <c r="BK24" s="567">
        <f t="shared" si="37"/>
        <v>0</v>
      </c>
      <c r="BL24" s="567" t="e">
        <f>#REF!-BE24</f>
        <v>#REF!</v>
      </c>
      <c r="BM24" s="567">
        <f t="shared" si="152"/>
        <v>0</v>
      </c>
      <c r="BN24" s="584"/>
      <c r="BO24" s="584"/>
      <c r="BP24" s="584"/>
      <c r="BQ24" s="584"/>
      <c r="BR24" s="567">
        <f t="shared" si="153"/>
        <v>0</v>
      </c>
      <c r="BS24" s="584"/>
      <c r="BT24" s="584"/>
      <c r="BU24" s="584"/>
      <c r="BV24" s="584"/>
      <c r="BW24" s="567">
        <f t="shared" si="154"/>
        <v>0</v>
      </c>
      <c r="BX24" s="584"/>
      <c r="BY24" s="582">
        <f t="shared" si="38"/>
        <v>0</v>
      </c>
      <c r="BZ24" s="587"/>
      <c r="CA24" s="587"/>
      <c r="CB24" s="585"/>
      <c r="CC24" s="585"/>
      <c r="CD24" s="567">
        <f t="shared" si="155"/>
        <v>0</v>
      </c>
      <c r="CE24" s="584"/>
      <c r="CF24" s="582">
        <f t="shared" si="39"/>
        <v>0</v>
      </c>
      <c r="CG24" s="587"/>
      <c r="CH24" s="587"/>
      <c r="CI24" s="585"/>
      <c r="CJ24" s="585"/>
      <c r="CK24" s="567">
        <f t="shared" si="156"/>
        <v>0</v>
      </c>
      <c r="CL24" s="584"/>
      <c r="CM24" s="569">
        <f t="shared" si="102"/>
        <v>0</v>
      </c>
      <c r="CN24" s="584"/>
      <c r="CO24" s="584"/>
      <c r="CP24" s="584"/>
      <c r="CQ24" s="584"/>
      <c r="CR24" s="573">
        <f t="shared" si="157"/>
        <v>0</v>
      </c>
      <c r="CS24" s="567">
        <f t="shared" si="40"/>
        <v>0</v>
      </c>
      <c r="CT24" s="567">
        <f t="shared" si="41"/>
        <v>0</v>
      </c>
      <c r="CU24" s="567">
        <f t="shared" si="42"/>
        <v>0</v>
      </c>
      <c r="CV24" s="567">
        <f t="shared" si="43"/>
        <v>0</v>
      </c>
      <c r="CW24" s="567">
        <f t="shared" si="158"/>
        <v>0</v>
      </c>
      <c r="CX24" s="567">
        <f t="shared" ref="CX24:CX87" ca="1" si="182">CX25</f>
        <v>0</v>
      </c>
      <c r="CY24" s="567">
        <f t="shared" si="44"/>
        <v>0</v>
      </c>
      <c r="CZ24" s="567">
        <f t="shared" si="45"/>
        <v>0</v>
      </c>
      <c r="DA24" s="567">
        <f t="shared" si="46"/>
        <v>0</v>
      </c>
      <c r="DB24" s="2">
        <f t="shared" si="159"/>
        <v>0</v>
      </c>
      <c r="DC24" s="76"/>
      <c r="DD24" s="254"/>
      <c r="DE24" s="254"/>
      <c r="DF24" s="2">
        <f t="shared" si="160"/>
        <v>0</v>
      </c>
      <c r="DG24" s="6"/>
      <c r="DH24" s="6"/>
      <c r="DI24" s="6"/>
      <c r="DJ24" s="6"/>
      <c r="DK24" s="2">
        <f t="shared" si="161"/>
        <v>0</v>
      </c>
      <c r="DL24" s="6"/>
      <c r="DM24" s="6"/>
      <c r="DN24" s="6"/>
      <c r="DO24" s="6"/>
      <c r="DP24" s="2">
        <f t="shared" si="162"/>
        <v>0</v>
      </c>
      <c r="DQ24" s="2">
        <f t="shared" si="163"/>
        <v>0</v>
      </c>
      <c r="DR24" s="2">
        <f t="shared" si="163"/>
        <v>0</v>
      </c>
      <c r="DS24" s="2">
        <f t="shared" si="163"/>
        <v>0</v>
      </c>
      <c r="DT24" s="2">
        <f t="shared" si="163"/>
        <v>0</v>
      </c>
      <c r="DU24" s="6"/>
      <c r="DV24" s="6"/>
      <c r="DW24" s="6"/>
      <c r="DX24" s="2">
        <f t="shared" ca="1" si="164"/>
        <v>0</v>
      </c>
      <c r="DY24" s="46"/>
      <c r="DZ24" s="2">
        <f t="shared" si="165"/>
        <v>0</v>
      </c>
      <c r="EA24" s="2">
        <f t="shared" si="166"/>
        <v>0</v>
      </c>
      <c r="EB24" s="46"/>
      <c r="EC24" s="2">
        <f>EA24</f>
        <v>0</v>
      </c>
      <c r="ED24" s="2">
        <f ca="1">DX24</f>
        <v>0</v>
      </c>
      <c r="EE24" s="46"/>
      <c r="EF24" s="6"/>
      <c r="EG24" s="46"/>
      <c r="EH24" s="46"/>
      <c r="EI24" s="2">
        <f t="shared" si="10"/>
        <v>0</v>
      </c>
      <c r="EJ24" s="255"/>
      <c r="EK24" s="235">
        <f t="shared" si="48"/>
        <v>0</v>
      </c>
      <c r="EL24" s="497"/>
      <c r="EM24" s="497"/>
      <c r="EN24" s="255"/>
      <c r="EO24" s="255"/>
      <c r="EP24" s="2">
        <f t="shared" si="14"/>
        <v>0</v>
      </c>
      <c r="EQ24" s="6"/>
      <c r="ER24" s="42">
        <f t="shared" si="104"/>
        <v>0</v>
      </c>
      <c r="ES24" s="6"/>
      <c r="ET24" s="6"/>
      <c r="EU24" s="6"/>
      <c r="EV24" s="145"/>
      <c r="EW24" s="310"/>
      <c r="EX24" s="313"/>
      <c r="EY24" s="347"/>
      <c r="EZ24" s="397"/>
      <c r="FA24" s="397"/>
      <c r="FB24" s="310"/>
      <c r="FC24" s="313"/>
      <c r="FD24" s="313"/>
      <c r="FE24" s="397"/>
      <c r="FF24" s="397"/>
      <c r="FG24" s="397"/>
      <c r="FH24" s="314"/>
      <c r="FI24" s="438"/>
      <c r="FJ24" s="298" t="e">
        <f t="shared" si="167"/>
        <v>#DIV/0!</v>
      </c>
      <c r="FK24" s="353"/>
      <c r="FL24" s="355"/>
      <c r="FM24" s="356"/>
      <c r="FN24" s="391"/>
      <c r="FO24" s="391"/>
      <c r="FP24" s="353"/>
      <c r="FQ24" s="355"/>
      <c r="FR24" s="355"/>
      <c r="FS24" s="391"/>
      <c r="FT24" s="391"/>
      <c r="FU24" s="391"/>
      <c r="FV24" s="386"/>
      <c r="FW24" s="386">
        <f t="shared" si="77"/>
        <v>0</v>
      </c>
      <c r="FX24" s="310"/>
      <c r="FY24" s="313"/>
      <c r="FZ24" s="347"/>
      <c r="GA24" s="397"/>
      <c r="GB24" s="397"/>
      <c r="GC24" s="310"/>
      <c r="GD24" s="313"/>
      <c r="GE24" s="313"/>
      <c r="GF24" s="397"/>
      <c r="GG24" s="397"/>
      <c r="GH24" s="397"/>
      <c r="GI24" s="314"/>
      <c r="GJ24" s="452"/>
      <c r="GK24" s="303" t="e">
        <f t="shared" si="30"/>
        <v>#DIV/0!</v>
      </c>
    </row>
    <row r="25" spans="2:193" s="37" customFormat="1" ht="15.6" customHeight="1" x14ac:dyDescent="0.25">
      <c r="B25" s="29"/>
      <c r="C25" s="30"/>
      <c r="D25" s="30">
        <v>1</v>
      </c>
      <c r="E25" s="493">
        <v>13</v>
      </c>
      <c r="F25" s="29"/>
      <c r="G25" s="30"/>
      <c r="H25" s="30">
        <v>1</v>
      </c>
      <c r="I25" s="741"/>
      <c r="J25" s="743"/>
      <c r="K25" s="199"/>
      <c r="L25" s="53"/>
      <c r="M25" s="493">
        <v>10</v>
      </c>
      <c r="N25" s="494" t="s">
        <v>73</v>
      </c>
      <c r="O25" s="494" t="s">
        <v>334</v>
      </c>
      <c r="P25" s="494">
        <f t="shared" si="49"/>
        <v>0</v>
      </c>
      <c r="Q25" s="494"/>
      <c r="R25" s="494"/>
      <c r="S25" s="494" t="s">
        <v>576</v>
      </c>
      <c r="T25" s="156">
        <v>2</v>
      </c>
      <c r="U25" s="493"/>
      <c r="V25" s="2">
        <f t="shared" si="31"/>
        <v>2707.4</v>
      </c>
      <c r="W25" s="2"/>
      <c r="X25" s="198">
        <f t="shared" si="105"/>
        <v>2707.4</v>
      </c>
      <c r="Y25" s="198">
        <v>853</v>
      </c>
      <c r="Z25" s="42">
        <v>1854.4</v>
      </c>
      <c r="AA25" s="2"/>
      <c r="AB25" s="567">
        <f t="shared" si="149"/>
        <v>2707.4</v>
      </c>
      <c r="AC25" s="567"/>
      <c r="AD25" s="568">
        <f t="shared" si="106"/>
        <v>2707.4</v>
      </c>
      <c r="AE25" s="568">
        <v>853</v>
      </c>
      <c r="AF25" s="569">
        <v>1854.4</v>
      </c>
      <c r="AG25" s="567"/>
      <c r="AH25" s="570"/>
      <c r="AI25" s="567"/>
      <c r="AJ25" s="567"/>
      <c r="AK25" s="568"/>
      <c r="AL25" s="567"/>
      <c r="AM25" s="570"/>
      <c r="AN25" s="567"/>
      <c r="AO25" s="567"/>
      <c r="AP25" s="568"/>
      <c r="AQ25" s="567"/>
      <c r="AR25" s="570"/>
      <c r="AS25" s="567"/>
      <c r="AT25" s="567"/>
      <c r="AU25" s="568"/>
      <c r="AV25" s="567"/>
      <c r="AW25" s="570"/>
      <c r="AX25" s="409" t="s">
        <v>435</v>
      </c>
      <c r="AY25" s="567">
        <f t="shared" si="150"/>
        <v>2707.4</v>
      </c>
      <c r="AZ25" s="567"/>
      <c r="BA25" s="568">
        <f t="shared" si="151"/>
        <v>2707.4</v>
      </c>
      <c r="BB25" s="568">
        <v>853</v>
      </c>
      <c r="BC25" s="569">
        <v>1854.4</v>
      </c>
      <c r="BD25" s="569"/>
      <c r="BE25" s="570"/>
      <c r="BF25" s="567">
        <f t="shared" si="32"/>
        <v>0</v>
      </c>
      <c r="BG25" s="567">
        <f t="shared" si="33"/>
        <v>0</v>
      </c>
      <c r="BH25" s="567">
        <f t="shared" si="34"/>
        <v>0</v>
      </c>
      <c r="BI25" s="567">
        <f t="shared" si="35"/>
        <v>0</v>
      </c>
      <c r="BJ25" s="567">
        <f t="shared" si="36"/>
        <v>0</v>
      </c>
      <c r="BK25" s="567">
        <f t="shared" si="37"/>
        <v>0</v>
      </c>
      <c r="BL25" s="567" t="e">
        <f>#REF!-BE25</f>
        <v>#REF!</v>
      </c>
      <c r="BM25" s="567">
        <f t="shared" si="152"/>
        <v>476.1</v>
      </c>
      <c r="BN25" s="567"/>
      <c r="BO25" s="568">
        <f>207+269.1</f>
        <v>476.1</v>
      </c>
      <c r="BP25" s="569"/>
      <c r="BQ25" s="570"/>
      <c r="BR25" s="567">
        <f t="shared" si="153"/>
        <v>0</v>
      </c>
      <c r="BS25" s="567"/>
      <c r="BT25" s="568"/>
      <c r="BU25" s="569"/>
      <c r="BV25" s="570"/>
      <c r="BW25" s="567">
        <f t="shared" si="154"/>
        <v>2394.7854699999998</v>
      </c>
      <c r="BX25" s="567"/>
      <c r="BY25" s="568">
        <f t="shared" si="38"/>
        <v>2394.7854699999998</v>
      </c>
      <c r="BZ25" s="571">
        <v>852.99999000000003</v>
      </c>
      <c r="CA25" s="571">
        <v>1541.78548</v>
      </c>
      <c r="CB25" s="582"/>
      <c r="CC25" s="577"/>
      <c r="CD25" s="567">
        <f t="shared" si="155"/>
        <v>2394.7854699999998</v>
      </c>
      <c r="CE25" s="567"/>
      <c r="CF25" s="568">
        <f t="shared" si="39"/>
        <v>2394.7854699999998</v>
      </c>
      <c r="CG25" s="571">
        <v>852.99999000000003</v>
      </c>
      <c r="CH25" s="571">
        <v>1541.78548</v>
      </c>
      <c r="CI25" s="582"/>
      <c r="CJ25" s="577"/>
      <c r="CK25" s="567">
        <f t="shared" si="156"/>
        <v>434.32089999999999</v>
      </c>
      <c r="CL25" s="567"/>
      <c r="CM25" s="569">
        <v>434.32089999999999</v>
      </c>
      <c r="CN25" s="569">
        <v>154.70101</v>
      </c>
      <c r="CO25" s="569"/>
      <c r="CP25" s="569"/>
      <c r="CQ25" s="567"/>
      <c r="CR25" s="573">
        <f t="shared" si="157"/>
        <v>2829.10637</v>
      </c>
      <c r="CS25" s="567">
        <f t="shared" si="40"/>
        <v>2829.10637</v>
      </c>
      <c r="CT25" s="567">
        <f t="shared" si="41"/>
        <v>0</v>
      </c>
      <c r="CU25" s="567">
        <f t="shared" si="42"/>
        <v>2829.10637</v>
      </c>
      <c r="CV25" s="567">
        <f t="shared" si="43"/>
        <v>0</v>
      </c>
      <c r="CW25" s="567">
        <f t="shared" si="158"/>
        <v>0</v>
      </c>
      <c r="CX25" s="567">
        <f t="shared" ca="1" si="182"/>
        <v>0</v>
      </c>
      <c r="CY25" s="567">
        <f t="shared" si="44"/>
        <v>0</v>
      </c>
      <c r="CZ25" s="567">
        <f t="shared" si="45"/>
        <v>0</v>
      </c>
      <c r="DA25" s="567">
        <f t="shared" si="46"/>
        <v>0</v>
      </c>
      <c r="DB25" s="2">
        <f t="shared" si="159"/>
        <v>0</v>
      </c>
      <c r="DC25" s="76"/>
      <c r="DD25" s="256"/>
      <c r="DE25" s="256"/>
      <c r="DF25" s="2">
        <f t="shared" si="160"/>
        <v>0</v>
      </c>
      <c r="DG25" s="2"/>
      <c r="DH25" s="198"/>
      <c r="DI25" s="42"/>
      <c r="DJ25" s="234"/>
      <c r="DK25" s="2">
        <f t="shared" si="161"/>
        <v>0</v>
      </c>
      <c r="DL25" s="2"/>
      <c r="DM25" s="198"/>
      <c r="DN25" s="42"/>
      <c r="DO25" s="234"/>
      <c r="DP25" s="2">
        <f t="shared" si="162"/>
        <v>0</v>
      </c>
      <c r="DQ25" s="2">
        <f t="shared" si="163"/>
        <v>0</v>
      </c>
      <c r="DR25" s="2">
        <f t="shared" si="163"/>
        <v>0</v>
      </c>
      <c r="DS25" s="2">
        <f t="shared" si="163"/>
        <v>0</v>
      </c>
      <c r="DT25" s="2">
        <f t="shared" si="163"/>
        <v>0</v>
      </c>
      <c r="DU25" s="42"/>
      <c r="DV25" s="42"/>
      <c r="DW25" s="42"/>
      <c r="DX25" s="2">
        <f t="shared" ca="1" si="164"/>
        <v>0</v>
      </c>
      <c r="DY25" s="46"/>
      <c r="DZ25" s="2">
        <f t="shared" si="165"/>
        <v>2394.7854699999998</v>
      </c>
      <c r="EA25" s="2">
        <f t="shared" si="166"/>
        <v>2394.7854699999998</v>
      </c>
      <c r="EB25" s="46"/>
      <c r="EC25" s="2"/>
      <c r="ED25" s="2"/>
      <c r="EE25" s="46"/>
      <c r="EF25" s="2"/>
      <c r="EG25" s="46"/>
      <c r="EH25" s="46"/>
      <c r="EI25" s="2">
        <f t="shared" si="10"/>
        <v>2394.7854699999998</v>
      </c>
      <c r="EJ25" s="2"/>
      <c r="EK25" s="198">
        <f t="shared" si="48"/>
        <v>2394.7854699999998</v>
      </c>
      <c r="EL25" s="446">
        <v>852.99999000000003</v>
      </c>
      <c r="EM25" s="446">
        <v>1541.78548</v>
      </c>
      <c r="EN25" s="235"/>
      <c r="EO25" s="236"/>
      <c r="EP25" s="2">
        <f t="shared" si="14"/>
        <v>434.32089999999999</v>
      </c>
      <c r="EQ25" s="2"/>
      <c r="ER25" s="42">
        <v>434.32089999999999</v>
      </c>
      <c r="ES25" s="42">
        <v>154.70101</v>
      </c>
      <c r="ET25" s="42">
        <v>279.61989</v>
      </c>
      <c r="EU25" s="42"/>
      <c r="EV25" s="141"/>
      <c r="EW25" s="310"/>
      <c r="EX25" s="310"/>
      <c r="EY25" s="313"/>
      <c r="EZ25" s="397"/>
      <c r="FA25" s="397"/>
      <c r="FB25" s="310"/>
      <c r="FC25" s="310"/>
      <c r="FD25" s="313"/>
      <c r="FE25" s="397"/>
      <c r="FF25" s="397"/>
      <c r="FG25" s="397"/>
      <c r="FH25" s="314"/>
      <c r="FI25" s="438"/>
      <c r="FJ25" s="297" t="e">
        <f t="shared" si="167"/>
        <v>#DIV/0!</v>
      </c>
      <c r="FK25" s="353">
        <f t="shared" si="73"/>
        <v>2707.4</v>
      </c>
      <c r="FL25" s="353">
        <f t="shared" ref="FL25:FL41" si="183">BA25</f>
        <v>2707.4</v>
      </c>
      <c r="FM25" s="355"/>
      <c r="FN25" s="391">
        <f t="shared" si="168"/>
        <v>1</v>
      </c>
      <c r="FO25" s="391">
        <f t="shared" si="169"/>
        <v>0</v>
      </c>
      <c r="FP25" s="353">
        <f t="shared" si="75"/>
        <v>2829.10637</v>
      </c>
      <c r="FQ25" s="353">
        <f t="shared" si="170"/>
        <v>2394.7854699999998</v>
      </c>
      <c r="FR25" s="355">
        <f t="shared" si="171"/>
        <v>434.32089999999999</v>
      </c>
      <c r="FS25" s="391">
        <f t="shared" si="172"/>
        <v>0.84648124064702446</v>
      </c>
      <c r="FT25" s="391">
        <f t="shared" si="173"/>
        <v>0.15351875935297549</v>
      </c>
      <c r="FU25" s="391"/>
      <c r="FV25" s="386">
        <f t="shared" si="113"/>
        <v>2829.10637</v>
      </c>
      <c r="FW25" s="386">
        <f t="shared" si="77"/>
        <v>-434.32090000000017</v>
      </c>
      <c r="FX25" s="310"/>
      <c r="FY25" s="310"/>
      <c r="FZ25" s="313"/>
      <c r="GA25" s="397"/>
      <c r="GB25" s="397"/>
      <c r="GC25" s="310"/>
      <c r="GD25" s="310"/>
      <c r="GE25" s="313"/>
      <c r="GF25" s="397"/>
      <c r="GG25" s="397"/>
      <c r="GH25" s="397"/>
      <c r="GI25" s="314"/>
      <c r="GJ25" s="452"/>
      <c r="GK25" s="303">
        <f t="shared" si="30"/>
        <v>0.88453330501588234</v>
      </c>
    </row>
    <row r="26" spans="2:193" s="37" customFormat="1" ht="15.6" hidden="1" customHeight="1" x14ac:dyDescent="0.25">
      <c r="B26" s="29"/>
      <c r="C26" s="30"/>
      <c r="D26" s="30">
        <v>1</v>
      </c>
      <c r="E26" s="493">
        <v>14</v>
      </c>
      <c r="F26" s="29"/>
      <c r="G26" s="30"/>
      <c r="H26" s="30">
        <v>1</v>
      </c>
      <c r="I26" s="729"/>
      <c r="J26" s="730"/>
      <c r="K26" s="730"/>
      <c r="L26" s="154"/>
      <c r="M26" s="493">
        <v>14</v>
      </c>
      <c r="N26" s="494" t="s">
        <v>74</v>
      </c>
      <c r="O26" s="494"/>
      <c r="P26" s="494">
        <f t="shared" si="49"/>
        <v>0</v>
      </c>
      <c r="Q26" s="494"/>
      <c r="R26" s="494"/>
      <c r="S26" s="494"/>
      <c r="T26" s="156"/>
      <c r="U26" s="493"/>
      <c r="V26" s="2">
        <f t="shared" si="31"/>
        <v>0</v>
      </c>
      <c r="W26" s="2"/>
      <c r="X26" s="198">
        <f t="shared" si="105"/>
        <v>0</v>
      </c>
      <c r="Y26" s="198"/>
      <c r="Z26" s="42"/>
      <c r="AA26" s="2"/>
      <c r="AB26" s="567">
        <f t="shared" si="149"/>
        <v>0</v>
      </c>
      <c r="AC26" s="567"/>
      <c r="AD26" s="568">
        <f t="shared" si="106"/>
        <v>0</v>
      </c>
      <c r="AE26" s="568"/>
      <c r="AF26" s="569"/>
      <c r="AG26" s="567"/>
      <c r="AH26" s="570"/>
      <c r="AI26" s="567"/>
      <c r="AJ26" s="567"/>
      <c r="AK26" s="568"/>
      <c r="AL26" s="567"/>
      <c r="AM26" s="570"/>
      <c r="AN26" s="567"/>
      <c r="AO26" s="567"/>
      <c r="AP26" s="568"/>
      <c r="AQ26" s="567"/>
      <c r="AR26" s="570"/>
      <c r="AS26" s="567"/>
      <c r="AT26" s="567"/>
      <c r="AU26" s="568"/>
      <c r="AV26" s="567"/>
      <c r="AW26" s="570"/>
      <c r="AX26" s="409"/>
      <c r="AY26" s="567">
        <f t="shared" si="150"/>
        <v>0</v>
      </c>
      <c r="AZ26" s="567"/>
      <c r="BA26" s="568">
        <f t="shared" si="151"/>
        <v>0</v>
      </c>
      <c r="BB26" s="568"/>
      <c r="BC26" s="569"/>
      <c r="BD26" s="567"/>
      <c r="BE26" s="570"/>
      <c r="BF26" s="567">
        <f t="shared" si="32"/>
        <v>0</v>
      </c>
      <c r="BG26" s="567">
        <f t="shared" si="33"/>
        <v>0</v>
      </c>
      <c r="BH26" s="567">
        <f t="shared" si="34"/>
        <v>0</v>
      </c>
      <c r="BI26" s="567">
        <f t="shared" si="35"/>
        <v>0</v>
      </c>
      <c r="BJ26" s="567">
        <f t="shared" si="36"/>
        <v>0</v>
      </c>
      <c r="BK26" s="567">
        <f t="shared" si="37"/>
        <v>0</v>
      </c>
      <c r="BL26" s="567" t="e">
        <f>#REF!-BE26</f>
        <v>#REF!</v>
      </c>
      <c r="BM26" s="567">
        <f t="shared" si="152"/>
        <v>218.5</v>
      </c>
      <c r="BN26" s="567"/>
      <c r="BO26" s="568">
        <v>218.5</v>
      </c>
      <c r="BP26" s="567"/>
      <c r="BQ26" s="570"/>
      <c r="BR26" s="567">
        <f t="shared" si="153"/>
        <v>0</v>
      </c>
      <c r="BS26" s="567"/>
      <c r="BT26" s="568"/>
      <c r="BU26" s="567"/>
      <c r="BV26" s="570"/>
      <c r="BW26" s="567">
        <f t="shared" si="154"/>
        <v>0</v>
      </c>
      <c r="BX26" s="567"/>
      <c r="BY26" s="568">
        <f t="shared" si="38"/>
        <v>0</v>
      </c>
      <c r="BZ26" s="571"/>
      <c r="CA26" s="571"/>
      <c r="CB26" s="567"/>
      <c r="CC26" s="577"/>
      <c r="CD26" s="567">
        <f t="shared" si="155"/>
        <v>0</v>
      </c>
      <c r="CE26" s="567"/>
      <c r="CF26" s="568">
        <f t="shared" si="39"/>
        <v>0</v>
      </c>
      <c r="CG26" s="571"/>
      <c r="CH26" s="571"/>
      <c r="CI26" s="567"/>
      <c r="CJ26" s="577"/>
      <c r="CK26" s="567">
        <f t="shared" si="156"/>
        <v>0</v>
      </c>
      <c r="CL26" s="567"/>
      <c r="CM26" s="567">
        <f t="shared" si="102"/>
        <v>0</v>
      </c>
      <c r="CN26" s="567"/>
      <c r="CO26" s="567"/>
      <c r="CP26" s="567"/>
      <c r="CQ26" s="567"/>
      <c r="CR26" s="573">
        <f t="shared" si="157"/>
        <v>0</v>
      </c>
      <c r="CS26" s="567">
        <f t="shared" si="40"/>
        <v>0</v>
      </c>
      <c r="CT26" s="567">
        <f t="shared" si="41"/>
        <v>0</v>
      </c>
      <c r="CU26" s="567">
        <f t="shared" si="42"/>
        <v>0</v>
      </c>
      <c r="CV26" s="567">
        <f t="shared" si="43"/>
        <v>0</v>
      </c>
      <c r="CW26" s="567">
        <f t="shared" si="158"/>
        <v>0</v>
      </c>
      <c r="CX26" s="567">
        <f t="shared" ca="1" si="182"/>
        <v>0</v>
      </c>
      <c r="CY26" s="567">
        <f t="shared" si="44"/>
        <v>0</v>
      </c>
      <c r="CZ26" s="567">
        <f t="shared" si="45"/>
        <v>0</v>
      </c>
      <c r="DA26" s="567">
        <f t="shared" si="46"/>
        <v>0</v>
      </c>
      <c r="DB26" s="2">
        <f t="shared" si="159"/>
        <v>0</v>
      </c>
      <c r="DC26" s="76"/>
      <c r="DD26" s="253"/>
      <c r="DE26" s="253"/>
      <c r="DF26" s="2">
        <f t="shared" si="160"/>
        <v>0</v>
      </c>
      <c r="DG26" s="2"/>
      <c r="DH26" s="198"/>
      <c r="DI26" s="2"/>
      <c r="DJ26" s="234"/>
      <c r="DK26" s="2">
        <f t="shared" si="161"/>
        <v>0</v>
      </c>
      <c r="DL26" s="2"/>
      <c r="DM26" s="198"/>
      <c r="DN26" s="2"/>
      <c r="DO26" s="234"/>
      <c r="DP26" s="2">
        <f t="shared" si="162"/>
        <v>0</v>
      </c>
      <c r="DQ26" s="2">
        <f t="shared" si="163"/>
        <v>0</v>
      </c>
      <c r="DR26" s="2">
        <f t="shared" si="163"/>
        <v>0</v>
      </c>
      <c r="DS26" s="2">
        <f t="shared" si="163"/>
        <v>0</v>
      </c>
      <c r="DT26" s="2">
        <f t="shared" si="163"/>
        <v>0</v>
      </c>
      <c r="DU26" s="2"/>
      <c r="DV26" s="2"/>
      <c r="DW26" s="2"/>
      <c r="DX26" s="2">
        <f t="shared" ca="1" si="164"/>
        <v>0</v>
      </c>
      <c r="DY26" s="46"/>
      <c r="DZ26" s="2">
        <f t="shared" si="165"/>
        <v>0</v>
      </c>
      <c r="EA26" s="2">
        <f t="shared" si="166"/>
        <v>0</v>
      </c>
      <c r="EB26" s="46"/>
      <c r="EC26" s="2"/>
      <c r="ED26" s="2"/>
      <c r="EE26" s="46"/>
      <c r="EF26" s="2"/>
      <c r="EG26" s="46"/>
      <c r="EH26" s="46"/>
      <c r="EI26" s="2">
        <f t="shared" si="10"/>
        <v>0</v>
      </c>
      <c r="EJ26" s="2"/>
      <c r="EK26" s="198">
        <f t="shared" si="48"/>
        <v>0</v>
      </c>
      <c r="EL26" s="446"/>
      <c r="EM26" s="446"/>
      <c r="EN26" s="2"/>
      <c r="EO26" s="236"/>
      <c r="EP26" s="2">
        <f t="shared" si="14"/>
        <v>0</v>
      </c>
      <c r="EQ26" s="2"/>
      <c r="ER26" s="2">
        <f t="shared" si="104"/>
        <v>0</v>
      </c>
      <c r="ES26" s="2"/>
      <c r="ET26" s="2"/>
      <c r="EU26" s="2"/>
      <c r="EV26" s="141"/>
      <c r="EW26" s="310"/>
      <c r="EX26" s="310"/>
      <c r="EY26" s="310"/>
      <c r="EZ26" s="396"/>
      <c r="FA26" s="396"/>
      <c r="FB26" s="310"/>
      <c r="FC26" s="310"/>
      <c r="FD26" s="310"/>
      <c r="FE26" s="396"/>
      <c r="FF26" s="396"/>
      <c r="FG26" s="396"/>
      <c r="FH26" s="311"/>
      <c r="FI26" s="310"/>
      <c r="FJ26" s="296" t="e">
        <f t="shared" si="167"/>
        <v>#DIV/0!</v>
      </c>
      <c r="FK26" s="353">
        <f t="shared" si="73"/>
        <v>0</v>
      </c>
      <c r="FL26" s="353">
        <f t="shared" si="183"/>
        <v>0</v>
      </c>
      <c r="FM26" s="353"/>
      <c r="FN26" s="388" t="e">
        <f t="shared" si="168"/>
        <v>#DIV/0!</v>
      </c>
      <c r="FO26" s="388" t="e">
        <f t="shared" si="169"/>
        <v>#DIV/0!</v>
      </c>
      <c r="FP26" s="353">
        <f t="shared" si="75"/>
        <v>0</v>
      </c>
      <c r="FQ26" s="353">
        <f t="shared" si="170"/>
        <v>0</v>
      </c>
      <c r="FR26" s="353">
        <f t="shared" si="171"/>
        <v>0</v>
      </c>
      <c r="FS26" s="388" t="e">
        <f t="shared" si="172"/>
        <v>#DIV/0!</v>
      </c>
      <c r="FT26" s="388" t="e">
        <f t="shared" si="173"/>
        <v>#DIV/0!</v>
      </c>
      <c r="FU26" s="388"/>
      <c r="FV26" s="353" t="e">
        <f t="shared" si="113"/>
        <v>#DIV/0!</v>
      </c>
      <c r="FW26" s="353" t="e">
        <f t="shared" si="77"/>
        <v>#DIV/0!</v>
      </c>
      <c r="FX26" s="310"/>
      <c r="FY26" s="310"/>
      <c r="FZ26" s="310"/>
      <c r="GA26" s="396"/>
      <c r="GB26" s="396"/>
      <c r="GC26" s="310"/>
      <c r="GD26" s="310"/>
      <c r="GE26" s="310"/>
      <c r="GF26" s="396"/>
      <c r="GG26" s="396"/>
      <c r="GH26" s="396"/>
      <c r="GI26" s="311"/>
      <c r="GJ26" s="344"/>
      <c r="GK26" s="303" t="e">
        <f t="shared" si="30"/>
        <v>#DIV/0!</v>
      </c>
    </row>
    <row r="27" spans="2:193" s="37" customFormat="1" ht="15.6" customHeight="1" x14ac:dyDescent="0.25">
      <c r="B27" s="29"/>
      <c r="C27" s="30"/>
      <c r="D27" s="30">
        <v>1</v>
      </c>
      <c r="E27" s="493">
        <v>15</v>
      </c>
      <c r="F27" s="29"/>
      <c r="G27" s="30"/>
      <c r="H27" s="30">
        <v>1</v>
      </c>
      <c r="I27" s="733"/>
      <c r="J27" s="734"/>
      <c r="K27" s="734"/>
      <c r="L27" s="734"/>
      <c r="M27" s="493">
        <v>11</v>
      </c>
      <c r="N27" s="494" t="s">
        <v>75</v>
      </c>
      <c r="O27" s="494"/>
      <c r="P27" s="469">
        <f t="shared" si="49"/>
        <v>0</v>
      </c>
      <c r="Q27" s="494" t="s">
        <v>709</v>
      </c>
      <c r="R27" s="469" t="s">
        <v>699</v>
      </c>
      <c r="S27" s="494" t="s">
        <v>563</v>
      </c>
      <c r="T27" s="156">
        <v>2</v>
      </c>
      <c r="U27" s="493">
        <v>1</v>
      </c>
      <c r="V27" s="2">
        <f t="shared" si="31"/>
        <v>5574.9</v>
      </c>
      <c r="W27" s="2"/>
      <c r="X27" s="198">
        <f t="shared" si="105"/>
        <v>5574.9</v>
      </c>
      <c r="Y27" s="198">
        <v>1756.5</v>
      </c>
      <c r="Z27" s="42">
        <v>3818.4</v>
      </c>
      <c r="AA27" s="2"/>
      <c r="AB27" s="567">
        <f t="shared" si="149"/>
        <v>5574.9</v>
      </c>
      <c r="AC27" s="567"/>
      <c r="AD27" s="568">
        <f t="shared" si="106"/>
        <v>5574.9</v>
      </c>
      <c r="AE27" s="568">
        <v>1756.5</v>
      </c>
      <c r="AF27" s="569">
        <v>3818.4</v>
      </c>
      <c r="AG27" s="567"/>
      <c r="AH27" s="570"/>
      <c r="AI27" s="567"/>
      <c r="AJ27" s="567"/>
      <c r="AK27" s="568"/>
      <c r="AL27" s="567"/>
      <c r="AM27" s="570"/>
      <c r="AN27" s="567"/>
      <c r="AO27" s="567"/>
      <c r="AP27" s="568"/>
      <c r="AQ27" s="567"/>
      <c r="AR27" s="570"/>
      <c r="AS27" s="567"/>
      <c r="AT27" s="567"/>
      <c r="AU27" s="568"/>
      <c r="AV27" s="567"/>
      <c r="AW27" s="570"/>
      <c r="AX27" s="425" t="s">
        <v>675</v>
      </c>
      <c r="AY27" s="567">
        <f t="shared" si="150"/>
        <v>5574.8560299999999</v>
      </c>
      <c r="AZ27" s="567"/>
      <c r="BA27" s="568">
        <f t="shared" si="151"/>
        <v>5574.8560299999999</v>
      </c>
      <c r="BB27" s="568">
        <f>1756.5-0.04397</f>
        <v>1756.4560300000001</v>
      </c>
      <c r="BC27" s="569">
        <v>3818.4</v>
      </c>
      <c r="BD27" s="567"/>
      <c r="BE27" s="570"/>
      <c r="BF27" s="567">
        <f t="shared" si="32"/>
        <v>4.3969999999944775E-2</v>
      </c>
      <c r="BG27" s="567">
        <f t="shared" si="33"/>
        <v>0</v>
      </c>
      <c r="BH27" s="567">
        <f t="shared" si="34"/>
        <v>4.3969999999944775E-2</v>
      </c>
      <c r="BI27" s="567">
        <f t="shared" si="35"/>
        <v>4.3969999999944775E-2</v>
      </c>
      <c r="BJ27" s="567">
        <f t="shared" si="36"/>
        <v>0</v>
      </c>
      <c r="BK27" s="567">
        <f t="shared" si="37"/>
        <v>0</v>
      </c>
      <c r="BL27" s="567" t="e">
        <f>#REF!-BE27</f>
        <v>#REF!</v>
      </c>
      <c r="BM27" s="567">
        <f t="shared" si="152"/>
        <v>717.6</v>
      </c>
      <c r="BN27" s="567"/>
      <c r="BO27" s="568">
        <f>312+405.6</f>
        <v>717.6</v>
      </c>
      <c r="BP27" s="567"/>
      <c r="BQ27" s="570"/>
      <c r="BR27" s="567">
        <f t="shared" si="153"/>
        <v>0</v>
      </c>
      <c r="BS27" s="567"/>
      <c r="BT27" s="567"/>
      <c r="BU27" s="567"/>
      <c r="BV27" s="570"/>
      <c r="BW27" s="567">
        <f t="shared" si="154"/>
        <v>4063.4504599999996</v>
      </c>
      <c r="BX27" s="567"/>
      <c r="BY27" s="568">
        <f t="shared" si="38"/>
        <v>4063.4504599999996</v>
      </c>
      <c r="BZ27" s="571">
        <f>491.39775+721.14274+350.82523</f>
        <v>1563.3657199999998</v>
      </c>
      <c r="CA27" s="571">
        <f>603.3864+1048.37693+311.36582+536.95559</f>
        <v>2500.0847399999998</v>
      </c>
      <c r="CB27" s="567"/>
      <c r="CC27" s="577"/>
      <c r="CD27" s="567">
        <f t="shared" si="155"/>
        <v>4063.4504599999996</v>
      </c>
      <c r="CE27" s="567"/>
      <c r="CF27" s="568">
        <f t="shared" si="39"/>
        <v>4063.4504599999996</v>
      </c>
      <c r="CG27" s="571">
        <f>491.39775+721.14274+350.82523</f>
        <v>1563.3657199999998</v>
      </c>
      <c r="CH27" s="571">
        <f>603.3864+1048.37693+311.36582+536.95559</f>
        <v>2500.0847399999998</v>
      </c>
      <c r="CI27" s="567"/>
      <c r="CJ27" s="577"/>
      <c r="CK27" s="567">
        <f t="shared" si="156"/>
        <v>812.75851</v>
      </c>
      <c r="CL27" s="567"/>
      <c r="CM27" s="567">
        <v>812.75851</v>
      </c>
      <c r="CN27" s="567">
        <f>144.20515+98.2636</f>
        <v>242.46875</v>
      </c>
      <c r="CO27" s="567">
        <f>120.70604+209.72535+62.288+107.41671</f>
        <v>500.13609999999994</v>
      </c>
      <c r="CP27" s="567"/>
      <c r="CQ27" s="567"/>
      <c r="CR27" s="573">
        <f t="shared" si="157"/>
        <v>4876.2089699999997</v>
      </c>
      <c r="CS27" s="567">
        <f t="shared" si="40"/>
        <v>4876.2089699999997</v>
      </c>
      <c r="CT27" s="567">
        <f t="shared" si="41"/>
        <v>0</v>
      </c>
      <c r="CU27" s="567">
        <f t="shared" si="42"/>
        <v>4876.2089699999997</v>
      </c>
      <c r="CV27" s="567">
        <f t="shared" si="43"/>
        <v>0</v>
      </c>
      <c r="CW27" s="567">
        <f t="shared" si="158"/>
        <v>0</v>
      </c>
      <c r="CX27" s="567">
        <f t="shared" ca="1" si="182"/>
        <v>0</v>
      </c>
      <c r="CY27" s="567">
        <f t="shared" si="44"/>
        <v>0</v>
      </c>
      <c r="CZ27" s="567">
        <f t="shared" si="45"/>
        <v>0</v>
      </c>
      <c r="DA27" s="567">
        <f t="shared" si="46"/>
        <v>0</v>
      </c>
      <c r="DB27" s="2">
        <f t="shared" si="159"/>
        <v>0</v>
      </c>
      <c r="DC27" s="76"/>
      <c r="DD27" s="253"/>
      <c r="DE27" s="253"/>
      <c r="DF27" s="2">
        <f t="shared" si="160"/>
        <v>0</v>
      </c>
      <c r="DG27" s="2"/>
      <c r="DH27" s="2"/>
      <c r="DI27" s="2"/>
      <c r="DJ27" s="234"/>
      <c r="DK27" s="2">
        <f t="shared" si="161"/>
        <v>0</v>
      </c>
      <c r="DL27" s="2"/>
      <c r="DM27" s="2"/>
      <c r="DN27" s="2"/>
      <c r="DO27" s="234"/>
      <c r="DP27" s="2">
        <f t="shared" si="162"/>
        <v>0</v>
      </c>
      <c r="DQ27" s="2">
        <f t="shared" si="163"/>
        <v>0</v>
      </c>
      <c r="DR27" s="2">
        <f t="shared" si="163"/>
        <v>0</v>
      </c>
      <c r="DS27" s="2">
        <f t="shared" si="163"/>
        <v>0</v>
      </c>
      <c r="DT27" s="2">
        <f t="shared" si="163"/>
        <v>0</v>
      </c>
      <c r="DU27" s="2"/>
      <c r="DV27" s="2"/>
      <c r="DW27" s="2"/>
      <c r="DX27" s="2">
        <f t="shared" ca="1" si="164"/>
        <v>0</v>
      </c>
      <c r="DY27" s="46"/>
      <c r="DZ27" s="2">
        <f t="shared" si="165"/>
        <v>4063.4504599999996</v>
      </c>
      <c r="EA27" s="2">
        <f t="shared" si="166"/>
        <v>4063.4504599999996</v>
      </c>
      <c r="EB27" s="46"/>
      <c r="EC27" s="2"/>
      <c r="ED27" s="2"/>
      <c r="EE27" s="46"/>
      <c r="EF27" s="2"/>
      <c r="EG27" s="46"/>
      <c r="EH27" s="46"/>
      <c r="EI27" s="2">
        <f t="shared" si="10"/>
        <v>4063.4504599999996</v>
      </c>
      <c r="EJ27" s="2"/>
      <c r="EK27" s="198">
        <f t="shared" si="48"/>
        <v>4063.4504599999996</v>
      </c>
      <c r="EL27" s="446">
        <f>491.39775+721.14274+350.82523</f>
        <v>1563.3657199999998</v>
      </c>
      <c r="EM27" s="446">
        <f>603.3864+1048.37693+311.36582+536.95559</f>
        <v>2500.0847399999998</v>
      </c>
      <c r="EN27" s="2"/>
      <c r="EO27" s="236"/>
      <c r="EP27" s="2">
        <f t="shared" si="14"/>
        <v>812.75851</v>
      </c>
      <c r="EQ27" s="2"/>
      <c r="ER27" s="2">
        <v>812.75851</v>
      </c>
      <c r="ES27" s="2">
        <f>144.20515+98.2636+70.15366</f>
        <v>312.62241</v>
      </c>
      <c r="ET27" s="2">
        <f>120.70604+209.72535+62.288+107.41671</f>
        <v>500.13609999999994</v>
      </c>
      <c r="EU27" s="2"/>
      <c r="EV27" s="141"/>
      <c r="EW27" s="310"/>
      <c r="EX27" s="310"/>
      <c r="EY27" s="310"/>
      <c r="EZ27" s="396"/>
      <c r="FA27" s="396"/>
      <c r="FB27" s="310"/>
      <c r="FC27" s="310"/>
      <c r="FD27" s="310"/>
      <c r="FE27" s="396"/>
      <c r="FF27" s="396"/>
      <c r="FG27" s="396"/>
      <c r="FH27" s="311"/>
      <c r="FI27" s="310"/>
      <c r="FJ27" s="296" t="e">
        <f t="shared" si="167"/>
        <v>#DIV/0!</v>
      </c>
      <c r="FK27" s="353">
        <f t="shared" si="73"/>
        <v>5574.8560299999999</v>
      </c>
      <c r="FL27" s="353">
        <f t="shared" si="183"/>
        <v>5574.8560299999999</v>
      </c>
      <c r="FM27" s="353"/>
      <c r="FN27" s="388">
        <f t="shared" si="168"/>
        <v>1</v>
      </c>
      <c r="FO27" s="388">
        <f t="shared" si="169"/>
        <v>0</v>
      </c>
      <c r="FP27" s="353">
        <f t="shared" si="75"/>
        <v>4876.2089699999997</v>
      </c>
      <c r="FQ27" s="353">
        <f t="shared" si="170"/>
        <v>4063.4504599999996</v>
      </c>
      <c r="FR27" s="353">
        <f t="shared" si="171"/>
        <v>812.75851</v>
      </c>
      <c r="FS27" s="388">
        <f t="shared" si="172"/>
        <v>0.83332164084838223</v>
      </c>
      <c r="FT27" s="388">
        <f t="shared" si="173"/>
        <v>0.16667835915161774</v>
      </c>
      <c r="FU27" s="388"/>
      <c r="FV27" s="353">
        <f t="shared" si="113"/>
        <v>4876.2089699999997</v>
      </c>
      <c r="FW27" s="353">
        <f t="shared" si="77"/>
        <v>-812.75851000000011</v>
      </c>
      <c r="FX27" s="310"/>
      <c r="FY27" s="310"/>
      <c r="FZ27" s="310"/>
      <c r="GA27" s="396"/>
      <c r="GB27" s="396"/>
      <c r="GC27" s="310"/>
      <c r="GD27" s="310"/>
      <c r="GE27" s="310"/>
      <c r="GF27" s="396"/>
      <c r="GG27" s="396"/>
      <c r="GH27" s="396"/>
      <c r="GI27" s="311"/>
      <c r="GJ27" s="344"/>
      <c r="GK27" s="303">
        <f t="shared" si="30"/>
        <v>0.728883111804696</v>
      </c>
    </row>
    <row r="28" spans="2:193" s="37" customFormat="1" ht="15.6" customHeight="1" x14ac:dyDescent="0.25">
      <c r="B28" s="29"/>
      <c r="C28" s="30">
        <v>1</v>
      </c>
      <c r="D28" s="30"/>
      <c r="E28" s="493">
        <v>16</v>
      </c>
      <c r="F28" s="29"/>
      <c r="G28" s="30">
        <v>1</v>
      </c>
      <c r="H28" s="30">
        <v>1</v>
      </c>
      <c r="I28" s="493"/>
      <c r="J28" s="494"/>
      <c r="K28" s="199"/>
      <c r="L28" s="53"/>
      <c r="M28" s="493">
        <v>12</v>
      </c>
      <c r="N28" s="494" t="s">
        <v>35</v>
      </c>
      <c r="O28" s="494"/>
      <c r="P28" s="494">
        <f t="shared" si="49"/>
        <v>0</v>
      </c>
      <c r="Q28" s="494" t="s">
        <v>701</v>
      </c>
      <c r="R28" s="494" t="s">
        <v>699</v>
      </c>
      <c r="S28" s="494" t="s">
        <v>512</v>
      </c>
      <c r="T28" s="156">
        <v>2</v>
      </c>
      <c r="U28" s="493"/>
      <c r="V28" s="2">
        <f t="shared" si="31"/>
        <v>1843.3999999999999</v>
      </c>
      <c r="W28" s="2"/>
      <c r="X28" s="198">
        <f t="shared" si="105"/>
        <v>1843.3999999999999</v>
      </c>
      <c r="Y28" s="198">
        <v>580.79999999999995</v>
      </c>
      <c r="Z28" s="42">
        <v>1262.5999999999999</v>
      </c>
      <c r="AA28" s="2"/>
      <c r="AB28" s="567">
        <f t="shared" si="149"/>
        <v>1843.3999999999999</v>
      </c>
      <c r="AC28" s="567"/>
      <c r="AD28" s="568">
        <f t="shared" si="106"/>
        <v>1843.3999999999999</v>
      </c>
      <c r="AE28" s="568">
        <v>580.79999999999995</v>
      </c>
      <c r="AF28" s="569">
        <v>1262.5999999999999</v>
      </c>
      <c r="AG28" s="567"/>
      <c r="AH28" s="570"/>
      <c r="AI28" s="567"/>
      <c r="AJ28" s="567"/>
      <c r="AK28" s="568"/>
      <c r="AL28" s="567"/>
      <c r="AM28" s="570"/>
      <c r="AN28" s="567"/>
      <c r="AO28" s="567"/>
      <c r="AP28" s="568"/>
      <c r="AQ28" s="567"/>
      <c r="AR28" s="570"/>
      <c r="AS28" s="567"/>
      <c r="AT28" s="567"/>
      <c r="AU28" s="568"/>
      <c r="AV28" s="567"/>
      <c r="AW28" s="570"/>
      <c r="AX28" s="425" t="s">
        <v>387</v>
      </c>
      <c r="AY28" s="567">
        <f t="shared" si="150"/>
        <v>1843.3999999999999</v>
      </c>
      <c r="AZ28" s="567"/>
      <c r="BA28" s="568">
        <f t="shared" si="151"/>
        <v>1843.3999999999999</v>
      </c>
      <c r="BB28" s="568">
        <v>580.79999999999995</v>
      </c>
      <c r="BC28" s="569">
        <v>1262.5999999999999</v>
      </c>
      <c r="BD28" s="567"/>
      <c r="BE28" s="570"/>
      <c r="BF28" s="567">
        <f t="shared" si="32"/>
        <v>0</v>
      </c>
      <c r="BG28" s="567">
        <f t="shared" si="33"/>
        <v>0</v>
      </c>
      <c r="BH28" s="567">
        <f t="shared" si="34"/>
        <v>0</v>
      </c>
      <c r="BI28" s="567">
        <f t="shared" si="35"/>
        <v>0</v>
      </c>
      <c r="BJ28" s="567">
        <f t="shared" si="36"/>
        <v>0</v>
      </c>
      <c r="BK28" s="567">
        <f t="shared" si="37"/>
        <v>0</v>
      </c>
      <c r="BL28" s="567" t="e">
        <f>#REF!-BE28</f>
        <v>#REF!</v>
      </c>
      <c r="BM28" s="567">
        <f t="shared" si="152"/>
        <v>595.70000000000005</v>
      </c>
      <c r="BN28" s="567"/>
      <c r="BO28" s="568">
        <v>595.70000000000005</v>
      </c>
      <c r="BP28" s="567"/>
      <c r="BQ28" s="570"/>
      <c r="BR28" s="567">
        <f t="shared" si="153"/>
        <v>0</v>
      </c>
      <c r="BS28" s="567"/>
      <c r="BT28" s="568"/>
      <c r="BU28" s="567"/>
      <c r="BV28" s="570"/>
      <c r="BW28" s="567">
        <f t="shared" si="154"/>
        <v>1834.183</v>
      </c>
      <c r="BX28" s="567"/>
      <c r="BY28" s="578">
        <f t="shared" si="38"/>
        <v>1834.183</v>
      </c>
      <c r="BZ28" s="571">
        <v>577.89599999999996</v>
      </c>
      <c r="CA28" s="571">
        <v>1256.287</v>
      </c>
      <c r="CB28" s="567"/>
      <c r="CC28" s="577"/>
      <c r="CD28" s="567">
        <f t="shared" si="155"/>
        <v>1834.183</v>
      </c>
      <c r="CE28" s="567"/>
      <c r="CF28" s="578">
        <f t="shared" si="39"/>
        <v>1834.183</v>
      </c>
      <c r="CG28" s="571">
        <v>577.89599999999996</v>
      </c>
      <c r="CH28" s="571">
        <v>1256.287</v>
      </c>
      <c r="CI28" s="567"/>
      <c r="CJ28" s="577"/>
      <c r="CK28" s="567">
        <f t="shared" si="156"/>
        <v>2124.7582499999999</v>
      </c>
      <c r="CL28" s="567"/>
      <c r="CM28" s="567">
        <f t="shared" si="102"/>
        <v>2124.7582499999999</v>
      </c>
      <c r="CN28" s="567">
        <v>669.17035999999996</v>
      </c>
      <c r="CO28" s="567">
        <v>1455.58789</v>
      </c>
      <c r="CP28" s="567"/>
      <c r="CQ28" s="567"/>
      <c r="CR28" s="573">
        <f t="shared" si="157"/>
        <v>3958.9412499999999</v>
      </c>
      <c r="CS28" s="567">
        <f t="shared" si="40"/>
        <v>3958.9412499999999</v>
      </c>
      <c r="CT28" s="567">
        <f t="shared" si="41"/>
        <v>0</v>
      </c>
      <c r="CU28" s="567">
        <f t="shared" si="42"/>
        <v>3958.9412499999999</v>
      </c>
      <c r="CV28" s="567">
        <f t="shared" si="43"/>
        <v>0</v>
      </c>
      <c r="CW28" s="567">
        <f t="shared" si="158"/>
        <v>0</v>
      </c>
      <c r="CX28" s="567">
        <f t="shared" ca="1" si="182"/>
        <v>0</v>
      </c>
      <c r="CY28" s="567">
        <f t="shared" si="44"/>
        <v>0</v>
      </c>
      <c r="CZ28" s="567">
        <f t="shared" si="45"/>
        <v>0</v>
      </c>
      <c r="DA28" s="567">
        <f t="shared" si="46"/>
        <v>0</v>
      </c>
      <c r="DB28" s="2">
        <f t="shared" si="159"/>
        <v>0</v>
      </c>
      <c r="DC28" s="76"/>
      <c r="DD28" s="545">
        <f>BM28</f>
        <v>595.70000000000005</v>
      </c>
      <c r="DE28" s="545">
        <f>DD28+DF28</f>
        <v>595.70000000000005</v>
      </c>
      <c r="DF28" s="2">
        <f t="shared" si="160"/>
        <v>0</v>
      </c>
      <c r="DG28" s="2"/>
      <c r="DH28" s="198"/>
      <c r="DI28" s="2"/>
      <c r="DJ28" s="234"/>
      <c r="DK28" s="2">
        <f t="shared" si="161"/>
        <v>0</v>
      </c>
      <c r="DL28" s="2"/>
      <c r="DM28" s="198"/>
      <c r="DN28" s="2"/>
      <c r="DO28" s="234"/>
      <c r="DP28" s="2">
        <f t="shared" si="162"/>
        <v>0</v>
      </c>
      <c r="DQ28" s="2">
        <f t="shared" si="163"/>
        <v>0</v>
      </c>
      <c r="DR28" s="2">
        <f t="shared" si="163"/>
        <v>0</v>
      </c>
      <c r="DS28" s="2">
        <f t="shared" si="163"/>
        <v>0</v>
      </c>
      <c r="DT28" s="2">
        <f t="shared" si="163"/>
        <v>0</v>
      </c>
      <c r="DU28" s="2"/>
      <c r="DV28" s="2"/>
      <c r="DW28" s="2"/>
      <c r="DX28" s="2">
        <f t="shared" ca="1" si="164"/>
        <v>0</v>
      </c>
      <c r="DY28" s="46"/>
      <c r="DZ28" s="2">
        <f t="shared" si="165"/>
        <v>1834.183</v>
      </c>
      <c r="EA28" s="2">
        <f t="shared" si="166"/>
        <v>1834.183</v>
      </c>
      <c r="EB28" s="46"/>
      <c r="EC28" s="546">
        <f>EA28</f>
        <v>1834.183</v>
      </c>
      <c r="ED28" s="546">
        <f ca="1">DX28</f>
        <v>0</v>
      </c>
      <c r="EE28" s="46"/>
      <c r="EF28" s="2">
        <f>DE28-EC28</f>
        <v>-1238.4829999999999</v>
      </c>
      <c r="EG28" s="46"/>
      <c r="EH28" s="46"/>
      <c r="EI28" s="2">
        <f t="shared" si="10"/>
        <v>1834.183</v>
      </c>
      <c r="EJ28" s="2"/>
      <c r="EK28" s="433">
        <f t="shared" si="48"/>
        <v>1834.183</v>
      </c>
      <c r="EL28" s="446">
        <v>577.89599999999996</v>
      </c>
      <c r="EM28" s="446">
        <v>1256.287</v>
      </c>
      <c r="EN28" s="2"/>
      <c r="EO28" s="236"/>
      <c r="EP28" s="2">
        <f t="shared" si="14"/>
        <v>2124.7582499999999</v>
      </c>
      <c r="EQ28" s="2"/>
      <c r="ER28" s="2">
        <f t="shared" si="104"/>
        <v>2124.7582499999999</v>
      </c>
      <c r="ES28" s="2">
        <v>669.17035999999996</v>
      </c>
      <c r="ET28" s="2">
        <v>1455.58789</v>
      </c>
      <c r="EU28" s="2"/>
      <c r="EV28" s="141"/>
      <c r="EW28" s="310"/>
      <c r="EX28" s="310"/>
      <c r="EY28" s="310"/>
      <c r="EZ28" s="396"/>
      <c r="FA28" s="396"/>
      <c r="FB28" s="310"/>
      <c r="FC28" s="310"/>
      <c r="FD28" s="310"/>
      <c r="FE28" s="396"/>
      <c r="FF28" s="396"/>
      <c r="FG28" s="396"/>
      <c r="FH28" s="311"/>
      <c r="FI28" s="310"/>
      <c r="FJ28" s="296" t="e">
        <f t="shared" si="167"/>
        <v>#DIV/0!</v>
      </c>
      <c r="FK28" s="353">
        <f t="shared" si="73"/>
        <v>1843.3999999999999</v>
      </c>
      <c r="FL28" s="353">
        <f t="shared" si="183"/>
        <v>1843.3999999999999</v>
      </c>
      <c r="FM28" s="353"/>
      <c r="FN28" s="388">
        <f t="shared" si="168"/>
        <v>1</v>
      </c>
      <c r="FO28" s="388">
        <f t="shared" si="169"/>
        <v>0</v>
      </c>
      <c r="FP28" s="353">
        <f t="shared" si="75"/>
        <v>3958.9412499999999</v>
      </c>
      <c r="FQ28" s="353">
        <f t="shared" si="170"/>
        <v>1834.183</v>
      </c>
      <c r="FR28" s="353">
        <f t="shared" si="171"/>
        <v>2124.7582499999999</v>
      </c>
      <c r="FS28" s="388">
        <f t="shared" si="172"/>
        <v>0.4633013940280119</v>
      </c>
      <c r="FT28" s="388">
        <f t="shared" si="173"/>
        <v>0.53669860597198804</v>
      </c>
      <c r="FU28" s="388"/>
      <c r="FV28" s="353">
        <f t="shared" si="113"/>
        <v>3958.9412499999999</v>
      </c>
      <c r="FW28" s="353">
        <f t="shared" si="77"/>
        <v>-2124.7582499999999</v>
      </c>
      <c r="FX28" s="310">
        <f t="shared" si="174"/>
        <v>0</v>
      </c>
      <c r="FY28" s="310">
        <f>BD28</f>
        <v>0</v>
      </c>
      <c r="FZ28" s="310"/>
      <c r="GA28" s="396" t="e">
        <f t="shared" si="175"/>
        <v>#DIV/0!</v>
      </c>
      <c r="GB28" s="396" t="e">
        <f t="shared" si="176"/>
        <v>#DIV/0!</v>
      </c>
      <c r="GC28" s="310">
        <f t="shared" si="80"/>
        <v>0</v>
      </c>
      <c r="GD28" s="310">
        <f t="shared" si="177"/>
        <v>0</v>
      </c>
      <c r="GE28" s="310">
        <f t="shared" si="178"/>
        <v>0</v>
      </c>
      <c r="GF28" s="396" t="e">
        <f t="shared" si="179"/>
        <v>#DIV/0!</v>
      </c>
      <c r="GG28" s="396" t="e">
        <f t="shared" si="180"/>
        <v>#DIV/0!</v>
      </c>
      <c r="GH28" s="396"/>
      <c r="GI28" s="311" t="e">
        <f t="shared" si="181"/>
        <v>#DIV/0!</v>
      </c>
      <c r="GJ28" s="344" t="e">
        <f t="shared" si="82"/>
        <v>#DIV/0!</v>
      </c>
      <c r="GK28" s="303">
        <f t="shared" si="30"/>
        <v>0.99500000000000011</v>
      </c>
    </row>
    <row r="29" spans="2:193" s="37" customFormat="1" ht="15.75" hidden="1" customHeight="1" x14ac:dyDescent="0.25">
      <c r="B29" s="29"/>
      <c r="C29" s="30"/>
      <c r="D29" s="30">
        <v>1</v>
      </c>
      <c r="E29" s="493">
        <v>17</v>
      </c>
      <c r="F29" s="29"/>
      <c r="G29" s="30"/>
      <c r="H29" s="30">
        <v>1</v>
      </c>
      <c r="I29" s="729"/>
      <c r="J29" s="730"/>
      <c r="K29" s="730"/>
      <c r="L29" s="154"/>
      <c r="M29" s="493">
        <v>14</v>
      </c>
      <c r="N29" s="494" t="s">
        <v>76</v>
      </c>
      <c r="O29" s="494"/>
      <c r="P29" s="494">
        <f t="shared" si="49"/>
        <v>0</v>
      </c>
      <c r="Q29" s="494"/>
      <c r="R29" s="494"/>
      <c r="S29" s="494"/>
      <c r="T29" s="156"/>
      <c r="U29" s="493"/>
      <c r="V29" s="2">
        <f t="shared" si="31"/>
        <v>0</v>
      </c>
      <c r="W29" s="2"/>
      <c r="X29" s="198">
        <f t="shared" si="105"/>
        <v>0</v>
      </c>
      <c r="Y29" s="198"/>
      <c r="Z29" s="42"/>
      <c r="AA29" s="2"/>
      <c r="AB29" s="567">
        <f t="shared" si="149"/>
        <v>0</v>
      </c>
      <c r="AC29" s="567"/>
      <c r="AD29" s="568">
        <f t="shared" si="106"/>
        <v>0</v>
      </c>
      <c r="AE29" s="568"/>
      <c r="AF29" s="569"/>
      <c r="AG29" s="567"/>
      <c r="AH29" s="580"/>
      <c r="AI29" s="567"/>
      <c r="AJ29" s="567"/>
      <c r="AK29" s="568"/>
      <c r="AL29" s="567"/>
      <c r="AM29" s="580"/>
      <c r="AN29" s="567"/>
      <c r="AO29" s="567"/>
      <c r="AP29" s="568"/>
      <c r="AQ29" s="567"/>
      <c r="AR29" s="580"/>
      <c r="AS29" s="567"/>
      <c r="AT29" s="567"/>
      <c r="AU29" s="568"/>
      <c r="AV29" s="567"/>
      <c r="AW29" s="580"/>
      <c r="AX29" s="425"/>
      <c r="AY29" s="567">
        <f t="shared" si="150"/>
        <v>0</v>
      </c>
      <c r="AZ29" s="567"/>
      <c r="BA29" s="568">
        <f t="shared" si="151"/>
        <v>0</v>
      </c>
      <c r="BB29" s="568"/>
      <c r="BC29" s="569"/>
      <c r="BD29" s="567"/>
      <c r="BE29" s="567"/>
      <c r="BF29" s="567">
        <f t="shared" si="32"/>
        <v>0</v>
      </c>
      <c r="BG29" s="567">
        <f t="shared" si="33"/>
        <v>0</v>
      </c>
      <c r="BH29" s="567">
        <f t="shared" si="34"/>
        <v>0</v>
      </c>
      <c r="BI29" s="567">
        <f t="shared" si="35"/>
        <v>0</v>
      </c>
      <c r="BJ29" s="567">
        <f t="shared" si="36"/>
        <v>0</v>
      </c>
      <c r="BK29" s="567">
        <f t="shared" si="37"/>
        <v>0</v>
      </c>
      <c r="BL29" s="567" t="e">
        <f>#REF!-BE29</f>
        <v>#REF!</v>
      </c>
      <c r="BM29" s="567">
        <f t="shared" si="152"/>
        <v>414</v>
      </c>
      <c r="BN29" s="567"/>
      <c r="BO29" s="568">
        <f>180+234</f>
        <v>414</v>
      </c>
      <c r="BP29" s="567"/>
      <c r="BQ29" s="567"/>
      <c r="BR29" s="567">
        <f t="shared" si="153"/>
        <v>0</v>
      </c>
      <c r="BS29" s="567"/>
      <c r="BT29" s="568"/>
      <c r="BU29" s="567"/>
      <c r="BV29" s="567"/>
      <c r="BW29" s="567">
        <f t="shared" si="154"/>
        <v>0</v>
      </c>
      <c r="BX29" s="567"/>
      <c r="BY29" s="568">
        <f t="shared" si="38"/>
        <v>0</v>
      </c>
      <c r="BZ29" s="571"/>
      <c r="CA29" s="571"/>
      <c r="CB29" s="567"/>
      <c r="CC29" s="567"/>
      <c r="CD29" s="567">
        <f t="shared" si="155"/>
        <v>0</v>
      </c>
      <c r="CE29" s="567"/>
      <c r="CF29" s="568">
        <f t="shared" si="39"/>
        <v>0</v>
      </c>
      <c r="CG29" s="571"/>
      <c r="CH29" s="571"/>
      <c r="CI29" s="567"/>
      <c r="CJ29" s="567"/>
      <c r="CK29" s="567">
        <f t="shared" si="156"/>
        <v>0</v>
      </c>
      <c r="CL29" s="567"/>
      <c r="CM29" s="567">
        <f t="shared" si="102"/>
        <v>0</v>
      </c>
      <c r="CN29" s="567"/>
      <c r="CO29" s="567"/>
      <c r="CP29" s="567"/>
      <c r="CQ29" s="567"/>
      <c r="CR29" s="573">
        <f t="shared" si="157"/>
        <v>0</v>
      </c>
      <c r="CS29" s="567">
        <f t="shared" si="40"/>
        <v>0</v>
      </c>
      <c r="CT29" s="567">
        <f t="shared" si="41"/>
        <v>0</v>
      </c>
      <c r="CU29" s="567">
        <f t="shared" si="42"/>
        <v>0</v>
      </c>
      <c r="CV29" s="567">
        <f t="shared" si="43"/>
        <v>0</v>
      </c>
      <c r="CW29" s="567">
        <f t="shared" si="158"/>
        <v>0</v>
      </c>
      <c r="CX29" s="567">
        <f t="shared" ca="1" si="182"/>
        <v>0</v>
      </c>
      <c r="CY29" s="567">
        <f t="shared" si="44"/>
        <v>0</v>
      </c>
      <c r="CZ29" s="567">
        <f t="shared" si="45"/>
        <v>0</v>
      </c>
      <c r="DA29" s="567">
        <f t="shared" si="46"/>
        <v>0</v>
      </c>
      <c r="DB29" s="2">
        <f t="shared" si="159"/>
        <v>0</v>
      </c>
      <c r="DC29" s="76"/>
      <c r="DD29" s="253">
        <f>BM22-DD23-DD28</f>
        <v>10094.900000000001</v>
      </c>
      <c r="DE29" s="253">
        <f>DD29-BR22</f>
        <v>10094.900000000001</v>
      </c>
      <c r="DF29" s="2">
        <f t="shared" si="160"/>
        <v>0</v>
      </c>
      <c r="DG29" s="2"/>
      <c r="DH29" s="198"/>
      <c r="DI29" s="2"/>
      <c r="DJ29" s="2"/>
      <c r="DK29" s="2">
        <f t="shared" si="161"/>
        <v>0</v>
      </c>
      <c r="DL29" s="2"/>
      <c r="DM29" s="198"/>
      <c r="DN29" s="2"/>
      <c r="DO29" s="2"/>
      <c r="DP29" s="2">
        <f t="shared" si="162"/>
        <v>0</v>
      </c>
      <c r="DQ29" s="2">
        <f t="shared" si="163"/>
        <v>0</v>
      </c>
      <c r="DR29" s="2">
        <f t="shared" si="163"/>
        <v>0</v>
      </c>
      <c r="DS29" s="2">
        <f t="shared" si="163"/>
        <v>0</v>
      </c>
      <c r="DT29" s="2">
        <f t="shared" si="163"/>
        <v>0</v>
      </c>
      <c r="DU29" s="2"/>
      <c r="DV29" s="2"/>
      <c r="DW29" s="2"/>
      <c r="DX29" s="2">
        <f t="shared" ca="1" si="164"/>
        <v>0</v>
      </c>
      <c r="DY29" s="46"/>
      <c r="DZ29" s="2">
        <f t="shared" si="165"/>
        <v>0</v>
      </c>
      <c r="EA29" s="2">
        <f t="shared" si="166"/>
        <v>0</v>
      </c>
      <c r="EB29" s="46"/>
      <c r="EC29" s="2">
        <f>EA25+EA26+EA27+EA29+EA30+EA31+EA32+EA33+EA34+EA35+EA36+EA37+EA38+EA39+EA40</f>
        <v>15606.0293</v>
      </c>
      <c r="ED29" s="2">
        <f ca="1">DX25+DX26+DX27+DX29+DX30+DX31+DX32+DX33+DX34+DX35+DX36+DX37+DX38+DX39+DX40</f>
        <v>0</v>
      </c>
      <c r="EE29" s="46"/>
      <c r="EF29" s="2">
        <f>DE29-EC29</f>
        <v>-5511.1292999999987</v>
      </c>
      <c r="EG29" s="46"/>
      <c r="EH29" s="46"/>
      <c r="EI29" s="2">
        <f t="shared" si="10"/>
        <v>0</v>
      </c>
      <c r="EJ29" s="2"/>
      <c r="EK29" s="198">
        <f t="shared" si="48"/>
        <v>0</v>
      </c>
      <c r="EL29" s="446"/>
      <c r="EM29" s="446"/>
      <c r="EN29" s="2"/>
      <c r="EO29" s="2"/>
      <c r="EP29" s="2">
        <f t="shared" si="14"/>
        <v>0</v>
      </c>
      <c r="EQ29" s="2"/>
      <c r="ER29" s="2">
        <f t="shared" si="104"/>
        <v>0</v>
      </c>
      <c r="ES29" s="2"/>
      <c r="ET29" s="2"/>
      <c r="EU29" s="2"/>
      <c r="EV29" s="141"/>
      <c r="EW29" s="310"/>
      <c r="EX29" s="310"/>
      <c r="EY29" s="310"/>
      <c r="EZ29" s="396"/>
      <c r="FA29" s="396"/>
      <c r="FB29" s="310"/>
      <c r="FC29" s="310"/>
      <c r="FD29" s="310"/>
      <c r="FE29" s="396"/>
      <c r="FF29" s="396"/>
      <c r="FG29" s="396"/>
      <c r="FH29" s="311"/>
      <c r="FI29" s="310"/>
      <c r="FJ29" s="296" t="e">
        <f t="shared" si="167"/>
        <v>#DIV/0!</v>
      </c>
      <c r="FK29" s="353">
        <f t="shared" si="73"/>
        <v>0</v>
      </c>
      <c r="FL29" s="353">
        <f t="shared" si="183"/>
        <v>0</v>
      </c>
      <c r="FM29" s="353"/>
      <c r="FN29" s="388" t="e">
        <f t="shared" si="168"/>
        <v>#DIV/0!</v>
      </c>
      <c r="FO29" s="388" t="e">
        <f t="shared" si="169"/>
        <v>#DIV/0!</v>
      </c>
      <c r="FP29" s="353">
        <f t="shared" si="75"/>
        <v>0</v>
      </c>
      <c r="FQ29" s="353">
        <f t="shared" si="170"/>
        <v>0</v>
      </c>
      <c r="FR29" s="353">
        <f t="shared" si="171"/>
        <v>0</v>
      </c>
      <c r="FS29" s="388" t="e">
        <f t="shared" si="172"/>
        <v>#DIV/0!</v>
      </c>
      <c r="FT29" s="388" t="e">
        <f t="shared" si="173"/>
        <v>#DIV/0!</v>
      </c>
      <c r="FU29" s="388"/>
      <c r="FV29" s="353" t="e">
        <f t="shared" si="113"/>
        <v>#DIV/0!</v>
      </c>
      <c r="FW29" s="353" t="e">
        <f t="shared" si="77"/>
        <v>#DIV/0!</v>
      </c>
      <c r="FX29" s="310"/>
      <c r="FY29" s="310"/>
      <c r="FZ29" s="310"/>
      <c r="GA29" s="396"/>
      <c r="GB29" s="396"/>
      <c r="GC29" s="310"/>
      <c r="GD29" s="310"/>
      <c r="GE29" s="310"/>
      <c r="GF29" s="396"/>
      <c r="GG29" s="396"/>
      <c r="GH29" s="396"/>
      <c r="GI29" s="311"/>
      <c r="GJ29" s="344"/>
      <c r="GK29" s="303" t="e">
        <f t="shared" si="30"/>
        <v>#DIV/0!</v>
      </c>
    </row>
    <row r="30" spans="2:193" s="37" customFormat="1" ht="15.6" hidden="1" customHeight="1" x14ac:dyDescent="0.25">
      <c r="B30" s="29"/>
      <c r="C30" s="30"/>
      <c r="D30" s="30">
        <v>1</v>
      </c>
      <c r="E30" s="493">
        <v>18</v>
      </c>
      <c r="F30" s="29"/>
      <c r="G30" s="30"/>
      <c r="H30" s="30">
        <v>1</v>
      </c>
      <c r="M30" s="493">
        <v>18</v>
      </c>
      <c r="N30" s="494" t="s">
        <v>77</v>
      </c>
      <c r="O30" s="494"/>
      <c r="P30" s="494">
        <f t="shared" si="49"/>
        <v>0</v>
      </c>
      <c r="Q30" s="494"/>
      <c r="R30" s="494"/>
      <c r="S30" s="494"/>
      <c r="T30" s="156"/>
      <c r="U30" s="493"/>
      <c r="V30" s="2">
        <f t="shared" si="31"/>
        <v>0</v>
      </c>
      <c r="W30" s="2"/>
      <c r="X30" s="198">
        <f t="shared" si="105"/>
        <v>0</v>
      </c>
      <c r="Y30" s="198"/>
      <c r="Z30" s="42"/>
      <c r="AA30" s="2"/>
      <c r="AB30" s="567">
        <f t="shared" si="149"/>
        <v>0</v>
      </c>
      <c r="AC30" s="567"/>
      <c r="AD30" s="568">
        <f t="shared" si="106"/>
        <v>0</v>
      </c>
      <c r="AE30" s="568"/>
      <c r="AF30" s="569"/>
      <c r="AG30" s="567"/>
      <c r="AH30" s="570"/>
      <c r="AI30" s="567"/>
      <c r="AJ30" s="567"/>
      <c r="AK30" s="568"/>
      <c r="AL30" s="567"/>
      <c r="AM30" s="570"/>
      <c r="AN30" s="567"/>
      <c r="AO30" s="567"/>
      <c r="AP30" s="568"/>
      <c r="AQ30" s="567"/>
      <c r="AR30" s="570"/>
      <c r="AS30" s="567"/>
      <c r="AT30" s="567"/>
      <c r="AU30" s="568"/>
      <c r="AV30" s="567"/>
      <c r="AW30" s="570"/>
      <c r="AX30" s="425"/>
      <c r="AY30" s="567">
        <f t="shared" si="150"/>
        <v>0</v>
      </c>
      <c r="AZ30" s="567"/>
      <c r="BA30" s="568">
        <f t="shared" si="151"/>
        <v>0</v>
      </c>
      <c r="BB30" s="568"/>
      <c r="BC30" s="569"/>
      <c r="BD30" s="567"/>
      <c r="BE30" s="570"/>
      <c r="BF30" s="567">
        <f t="shared" si="32"/>
        <v>0</v>
      </c>
      <c r="BG30" s="567">
        <f t="shared" si="33"/>
        <v>0</v>
      </c>
      <c r="BH30" s="567">
        <f t="shared" si="34"/>
        <v>0</v>
      </c>
      <c r="BI30" s="567">
        <f t="shared" si="35"/>
        <v>0</v>
      </c>
      <c r="BJ30" s="567">
        <f t="shared" si="36"/>
        <v>0</v>
      </c>
      <c r="BK30" s="567">
        <f t="shared" si="37"/>
        <v>0</v>
      </c>
      <c r="BL30" s="567" t="e">
        <f>#REF!-BE30</f>
        <v>#REF!</v>
      </c>
      <c r="BM30" s="567">
        <f t="shared" si="152"/>
        <v>0</v>
      </c>
      <c r="BN30" s="567"/>
      <c r="BO30" s="568"/>
      <c r="BP30" s="567"/>
      <c r="BQ30" s="570"/>
      <c r="BR30" s="567">
        <f t="shared" si="153"/>
        <v>0</v>
      </c>
      <c r="BS30" s="567"/>
      <c r="BT30" s="568"/>
      <c r="BU30" s="567"/>
      <c r="BV30" s="570"/>
      <c r="BW30" s="567">
        <f t="shared" si="154"/>
        <v>0</v>
      </c>
      <c r="BX30" s="567"/>
      <c r="BY30" s="578">
        <f t="shared" si="38"/>
        <v>0</v>
      </c>
      <c r="BZ30" s="571"/>
      <c r="CA30" s="571"/>
      <c r="CB30" s="567"/>
      <c r="CC30" s="577"/>
      <c r="CD30" s="567">
        <f t="shared" si="155"/>
        <v>0</v>
      </c>
      <c r="CE30" s="567"/>
      <c r="CF30" s="578">
        <f t="shared" si="39"/>
        <v>0</v>
      </c>
      <c r="CG30" s="571"/>
      <c r="CH30" s="571"/>
      <c r="CI30" s="567"/>
      <c r="CJ30" s="577"/>
      <c r="CK30" s="567">
        <f t="shared" si="156"/>
        <v>0</v>
      </c>
      <c r="CL30" s="567"/>
      <c r="CM30" s="567">
        <f t="shared" si="102"/>
        <v>0</v>
      </c>
      <c r="CN30" s="567"/>
      <c r="CO30" s="567"/>
      <c r="CP30" s="567"/>
      <c r="CQ30" s="567"/>
      <c r="CR30" s="573">
        <f t="shared" si="157"/>
        <v>0</v>
      </c>
      <c r="CS30" s="567">
        <f t="shared" si="40"/>
        <v>0</v>
      </c>
      <c r="CT30" s="567">
        <f t="shared" si="41"/>
        <v>0</v>
      </c>
      <c r="CU30" s="567">
        <f t="shared" si="42"/>
        <v>0</v>
      </c>
      <c r="CV30" s="567">
        <f t="shared" si="43"/>
        <v>0</v>
      </c>
      <c r="CW30" s="567">
        <f t="shared" si="158"/>
        <v>0</v>
      </c>
      <c r="CX30" s="567">
        <f t="shared" ca="1" si="182"/>
        <v>0</v>
      </c>
      <c r="CY30" s="567">
        <f t="shared" si="44"/>
        <v>0</v>
      </c>
      <c r="CZ30" s="567">
        <f t="shared" si="45"/>
        <v>0</v>
      </c>
      <c r="DA30" s="567">
        <f t="shared" si="46"/>
        <v>0</v>
      </c>
      <c r="DB30" s="2">
        <f t="shared" si="159"/>
        <v>0</v>
      </c>
      <c r="DC30" s="76"/>
      <c r="DD30" s="253"/>
      <c r="DE30" s="253"/>
      <c r="DF30" s="2">
        <f t="shared" si="160"/>
        <v>0</v>
      </c>
      <c r="DG30" s="2"/>
      <c r="DH30" s="198"/>
      <c r="DI30" s="2"/>
      <c r="DJ30" s="234"/>
      <c r="DK30" s="2">
        <f t="shared" si="161"/>
        <v>0</v>
      </c>
      <c r="DL30" s="2"/>
      <c r="DM30" s="198"/>
      <c r="DN30" s="2"/>
      <c r="DO30" s="234"/>
      <c r="DP30" s="2">
        <f t="shared" si="162"/>
        <v>0</v>
      </c>
      <c r="DQ30" s="2">
        <f t="shared" si="163"/>
        <v>0</v>
      </c>
      <c r="DR30" s="2">
        <f t="shared" si="163"/>
        <v>0</v>
      </c>
      <c r="DS30" s="2">
        <f t="shared" si="163"/>
        <v>0</v>
      </c>
      <c r="DT30" s="2">
        <f t="shared" si="163"/>
        <v>0</v>
      </c>
      <c r="DU30" s="2"/>
      <c r="DV30" s="2"/>
      <c r="DW30" s="2"/>
      <c r="DX30" s="2">
        <f t="shared" ca="1" si="164"/>
        <v>0</v>
      </c>
      <c r="DY30" s="46"/>
      <c r="DZ30" s="2">
        <f t="shared" si="165"/>
        <v>0</v>
      </c>
      <c r="EA30" s="2">
        <f t="shared" si="166"/>
        <v>0</v>
      </c>
      <c r="EB30" s="46"/>
      <c r="EC30" s="2"/>
      <c r="ED30" s="2"/>
      <c r="EE30" s="46"/>
      <c r="EF30" s="2"/>
      <c r="EG30" s="46"/>
      <c r="EH30" s="46"/>
      <c r="EI30" s="2">
        <f t="shared" si="10"/>
        <v>0</v>
      </c>
      <c r="EJ30" s="2"/>
      <c r="EK30" s="433">
        <f t="shared" si="48"/>
        <v>0</v>
      </c>
      <c r="EL30" s="446"/>
      <c r="EM30" s="446"/>
      <c r="EN30" s="2"/>
      <c r="EO30" s="236"/>
      <c r="EP30" s="2">
        <f t="shared" si="14"/>
        <v>0</v>
      </c>
      <c r="EQ30" s="2"/>
      <c r="ER30" s="2">
        <f t="shared" si="104"/>
        <v>0</v>
      </c>
      <c r="ES30" s="2"/>
      <c r="ET30" s="2"/>
      <c r="EU30" s="2"/>
      <c r="EV30" s="141"/>
      <c r="EW30" s="310"/>
      <c r="EX30" s="310"/>
      <c r="EY30" s="310"/>
      <c r="EZ30" s="396"/>
      <c r="FA30" s="396"/>
      <c r="FB30" s="310"/>
      <c r="FC30" s="310"/>
      <c r="FD30" s="310"/>
      <c r="FE30" s="396"/>
      <c r="FF30" s="396"/>
      <c r="FG30" s="396"/>
      <c r="FH30" s="311"/>
      <c r="FI30" s="310"/>
      <c r="FJ30" s="296" t="e">
        <f t="shared" si="167"/>
        <v>#DIV/0!</v>
      </c>
      <c r="FK30" s="353">
        <f t="shared" si="73"/>
        <v>0</v>
      </c>
      <c r="FL30" s="353">
        <f t="shared" si="183"/>
        <v>0</v>
      </c>
      <c r="FM30" s="353"/>
      <c r="FN30" s="388" t="e">
        <f t="shared" si="168"/>
        <v>#DIV/0!</v>
      </c>
      <c r="FO30" s="388" t="e">
        <f t="shared" si="169"/>
        <v>#DIV/0!</v>
      </c>
      <c r="FP30" s="353">
        <f t="shared" si="75"/>
        <v>0</v>
      </c>
      <c r="FQ30" s="353">
        <f t="shared" si="170"/>
        <v>0</v>
      </c>
      <c r="FR30" s="353">
        <f t="shared" si="171"/>
        <v>0</v>
      </c>
      <c r="FS30" s="388" t="e">
        <f t="shared" si="172"/>
        <v>#DIV/0!</v>
      </c>
      <c r="FT30" s="388" t="e">
        <f t="shared" si="173"/>
        <v>#DIV/0!</v>
      </c>
      <c r="FU30" s="388"/>
      <c r="FV30" s="353" t="e">
        <f t="shared" si="113"/>
        <v>#DIV/0!</v>
      </c>
      <c r="FW30" s="353" t="e">
        <f t="shared" si="77"/>
        <v>#DIV/0!</v>
      </c>
      <c r="FX30" s="310"/>
      <c r="FY30" s="310"/>
      <c r="FZ30" s="310"/>
      <c r="GA30" s="396"/>
      <c r="GB30" s="396"/>
      <c r="GC30" s="310"/>
      <c r="GD30" s="310"/>
      <c r="GE30" s="310"/>
      <c r="GF30" s="396"/>
      <c r="GG30" s="396"/>
      <c r="GH30" s="396"/>
      <c r="GI30" s="311"/>
      <c r="GJ30" s="344"/>
      <c r="GK30" s="303" t="e">
        <f t="shared" si="30"/>
        <v>#DIV/0!</v>
      </c>
    </row>
    <row r="31" spans="2:193" s="37" customFormat="1" ht="15.75" hidden="1" customHeight="1" x14ac:dyDescent="0.25">
      <c r="B31" s="29"/>
      <c r="C31" s="30"/>
      <c r="D31" s="30">
        <v>1</v>
      </c>
      <c r="E31" s="493">
        <v>19</v>
      </c>
      <c r="F31" s="29"/>
      <c r="G31" s="30"/>
      <c r="H31" s="30">
        <v>1</v>
      </c>
      <c r="M31" s="493">
        <v>15</v>
      </c>
      <c r="N31" s="494" t="s">
        <v>78</v>
      </c>
      <c r="O31" s="494"/>
      <c r="P31" s="494">
        <f t="shared" si="49"/>
        <v>0</v>
      </c>
      <c r="Q31" s="494"/>
      <c r="R31" s="494"/>
      <c r="S31" s="494"/>
      <c r="T31" s="156"/>
      <c r="U31" s="493"/>
      <c r="V31" s="2">
        <f t="shared" si="31"/>
        <v>0</v>
      </c>
      <c r="W31" s="2"/>
      <c r="X31" s="198">
        <f t="shared" si="105"/>
        <v>0</v>
      </c>
      <c r="Y31" s="198"/>
      <c r="Z31" s="42"/>
      <c r="AA31" s="2"/>
      <c r="AB31" s="567">
        <f t="shared" si="149"/>
        <v>0</v>
      </c>
      <c r="AC31" s="567"/>
      <c r="AD31" s="568">
        <f t="shared" si="106"/>
        <v>0</v>
      </c>
      <c r="AE31" s="568"/>
      <c r="AF31" s="569"/>
      <c r="AG31" s="567"/>
      <c r="AH31" s="580"/>
      <c r="AI31" s="567"/>
      <c r="AJ31" s="567"/>
      <c r="AK31" s="568"/>
      <c r="AL31" s="567"/>
      <c r="AM31" s="580"/>
      <c r="AN31" s="567"/>
      <c r="AO31" s="567"/>
      <c r="AP31" s="568"/>
      <c r="AQ31" s="567"/>
      <c r="AR31" s="580"/>
      <c r="AS31" s="567"/>
      <c r="AT31" s="567"/>
      <c r="AU31" s="568"/>
      <c r="AV31" s="567"/>
      <c r="AW31" s="580"/>
      <c r="AX31" s="425"/>
      <c r="AY31" s="567">
        <f t="shared" si="150"/>
        <v>0</v>
      </c>
      <c r="AZ31" s="567"/>
      <c r="BA31" s="568">
        <f t="shared" si="151"/>
        <v>0</v>
      </c>
      <c r="BB31" s="568"/>
      <c r="BC31" s="569"/>
      <c r="BD31" s="567"/>
      <c r="BE31" s="567"/>
      <c r="BF31" s="567">
        <f t="shared" si="32"/>
        <v>0</v>
      </c>
      <c r="BG31" s="567">
        <f t="shared" si="33"/>
        <v>0</v>
      </c>
      <c r="BH31" s="567">
        <f t="shared" si="34"/>
        <v>0</v>
      </c>
      <c r="BI31" s="567">
        <f t="shared" si="35"/>
        <v>0</v>
      </c>
      <c r="BJ31" s="567">
        <f t="shared" si="36"/>
        <v>0</v>
      </c>
      <c r="BK31" s="567">
        <f t="shared" si="37"/>
        <v>0</v>
      </c>
      <c r="BL31" s="567" t="e">
        <f>#REF!-BE31</f>
        <v>#REF!</v>
      </c>
      <c r="BM31" s="567">
        <f t="shared" si="152"/>
        <v>598</v>
      </c>
      <c r="BN31" s="567"/>
      <c r="BO31" s="568">
        <f>260+338</f>
        <v>598</v>
      </c>
      <c r="BP31" s="567"/>
      <c r="BQ31" s="567"/>
      <c r="BR31" s="567">
        <f t="shared" si="153"/>
        <v>0</v>
      </c>
      <c r="BS31" s="567"/>
      <c r="BT31" s="568"/>
      <c r="BU31" s="567"/>
      <c r="BV31" s="567"/>
      <c r="BW31" s="567">
        <f t="shared" si="154"/>
        <v>0</v>
      </c>
      <c r="BX31" s="567"/>
      <c r="BY31" s="568">
        <f t="shared" si="38"/>
        <v>0</v>
      </c>
      <c r="BZ31" s="571"/>
      <c r="CA31" s="571"/>
      <c r="CB31" s="567"/>
      <c r="CC31" s="567"/>
      <c r="CD31" s="567">
        <f t="shared" si="155"/>
        <v>0</v>
      </c>
      <c r="CE31" s="567"/>
      <c r="CF31" s="568">
        <f t="shared" si="39"/>
        <v>0</v>
      </c>
      <c r="CG31" s="571"/>
      <c r="CH31" s="571"/>
      <c r="CI31" s="567"/>
      <c r="CJ31" s="567"/>
      <c r="CK31" s="567">
        <f t="shared" si="156"/>
        <v>0</v>
      </c>
      <c r="CL31" s="567"/>
      <c r="CM31" s="567">
        <f t="shared" si="102"/>
        <v>0</v>
      </c>
      <c r="CN31" s="567"/>
      <c r="CO31" s="567"/>
      <c r="CP31" s="567"/>
      <c r="CQ31" s="567"/>
      <c r="CR31" s="573">
        <f t="shared" si="157"/>
        <v>0</v>
      </c>
      <c r="CS31" s="567">
        <f t="shared" si="40"/>
        <v>0</v>
      </c>
      <c r="CT31" s="567">
        <f t="shared" si="41"/>
        <v>0</v>
      </c>
      <c r="CU31" s="567">
        <f t="shared" si="42"/>
        <v>0</v>
      </c>
      <c r="CV31" s="567">
        <f t="shared" si="43"/>
        <v>0</v>
      </c>
      <c r="CW31" s="567">
        <f t="shared" si="158"/>
        <v>0</v>
      </c>
      <c r="CX31" s="567">
        <f t="shared" ca="1" si="182"/>
        <v>0</v>
      </c>
      <c r="CY31" s="567">
        <f t="shared" si="44"/>
        <v>0</v>
      </c>
      <c r="CZ31" s="567">
        <f t="shared" si="45"/>
        <v>0</v>
      </c>
      <c r="DA31" s="567">
        <f t="shared" si="46"/>
        <v>0</v>
      </c>
      <c r="DB31" s="2">
        <f t="shared" si="159"/>
        <v>0</v>
      </c>
      <c r="DC31" s="76"/>
      <c r="DD31" s="253"/>
      <c r="DE31" s="253"/>
      <c r="DF31" s="2">
        <f t="shared" si="160"/>
        <v>0</v>
      </c>
      <c r="DG31" s="2"/>
      <c r="DH31" s="198"/>
      <c r="DI31" s="2"/>
      <c r="DJ31" s="2"/>
      <c r="DK31" s="2">
        <f t="shared" si="161"/>
        <v>0</v>
      </c>
      <c r="DL31" s="2"/>
      <c r="DM31" s="198"/>
      <c r="DN31" s="2"/>
      <c r="DO31" s="2"/>
      <c r="DP31" s="2">
        <f t="shared" si="162"/>
        <v>0</v>
      </c>
      <c r="DQ31" s="2">
        <f t="shared" si="163"/>
        <v>0</v>
      </c>
      <c r="DR31" s="2">
        <f t="shared" si="163"/>
        <v>0</v>
      </c>
      <c r="DS31" s="2">
        <f t="shared" si="163"/>
        <v>0</v>
      </c>
      <c r="DT31" s="2">
        <f t="shared" si="163"/>
        <v>0</v>
      </c>
      <c r="DU31" s="2"/>
      <c r="DV31" s="2"/>
      <c r="DW31" s="2"/>
      <c r="DX31" s="2">
        <f t="shared" ca="1" si="164"/>
        <v>0</v>
      </c>
      <c r="DY31" s="46"/>
      <c r="DZ31" s="2">
        <f t="shared" si="165"/>
        <v>0</v>
      </c>
      <c r="EA31" s="2">
        <f t="shared" si="166"/>
        <v>0</v>
      </c>
      <c r="EB31" s="46"/>
      <c r="EC31" s="2"/>
      <c r="ED31" s="2"/>
      <c r="EE31" s="46"/>
      <c r="EF31" s="2"/>
      <c r="EG31" s="46"/>
      <c r="EH31" s="46"/>
      <c r="EI31" s="2">
        <f t="shared" si="10"/>
        <v>0</v>
      </c>
      <c r="EJ31" s="2"/>
      <c r="EK31" s="198">
        <f t="shared" si="48"/>
        <v>0</v>
      </c>
      <c r="EL31" s="446"/>
      <c r="EM31" s="446"/>
      <c r="EN31" s="2"/>
      <c r="EO31" s="2"/>
      <c r="EP31" s="2">
        <f t="shared" si="14"/>
        <v>0</v>
      </c>
      <c r="EQ31" s="2"/>
      <c r="ER31" s="2">
        <f t="shared" si="104"/>
        <v>0</v>
      </c>
      <c r="ES31" s="2"/>
      <c r="ET31" s="2"/>
      <c r="EU31" s="2"/>
      <c r="EV31" s="141"/>
      <c r="EW31" s="310"/>
      <c r="EX31" s="310"/>
      <c r="EY31" s="310"/>
      <c r="EZ31" s="396"/>
      <c r="FA31" s="396"/>
      <c r="FB31" s="310"/>
      <c r="FC31" s="310"/>
      <c r="FD31" s="310"/>
      <c r="FE31" s="396"/>
      <c r="FF31" s="396"/>
      <c r="FG31" s="396"/>
      <c r="FH31" s="311"/>
      <c r="FI31" s="310"/>
      <c r="FJ31" s="296" t="e">
        <f t="shared" si="167"/>
        <v>#DIV/0!</v>
      </c>
      <c r="FK31" s="353">
        <f t="shared" si="73"/>
        <v>0</v>
      </c>
      <c r="FL31" s="353">
        <f t="shared" si="183"/>
        <v>0</v>
      </c>
      <c r="FM31" s="353"/>
      <c r="FN31" s="388" t="e">
        <f t="shared" si="168"/>
        <v>#DIV/0!</v>
      </c>
      <c r="FO31" s="388" t="e">
        <f t="shared" si="169"/>
        <v>#DIV/0!</v>
      </c>
      <c r="FP31" s="353">
        <f t="shared" si="75"/>
        <v>0</v>
      </c>
      <c r="FQ31" s="353">
        <f t="shared" si="170"/>
        <v>0</v>
      </c>
      <c r="FR31" s="353">
        <f t="shared" si="171"/>
        <v>0</v>
      </c>
      <c r="FS31" s="388" t="e">
        <f t="shared" si="172"/>
        <v>#DIV/0!</v>
      </c>
      <c r="FT31" s="388" t="e">
        <f t="shared" si="173"/>
        <v>#DIV/0!</v>
      </c>
      <c r="FU31" s="388"/>
      <c r="FV31" s="353" t="e">
        <f t="shared" si="113"/>
        <v>#DIV/0!</v>
      </c>
      <c r="FW31" s="353" t="e">
        <f t="shared" si="77"/>
        <v>#DIV/0!</v>
      </c>
      <c r="FX31" s="310"/>
      <c r="FY31" s="310"/>
      <c r="FZ31" s="310"/>
      <c r="GA31" s="396"/>
      <c r="GB31" s="396"/>
      <c r="GC31" s="310"/>
      <c r="GD31" s="310"/>
      <c r="GE31" s="310"/>
      <c r="GF31" s="396"/>
      <c r="GG31" s="396"/>
      <c r="GH31" s="396"/>
      <c r="GI31" s="311"/>
      <c r="GJ31" s="344"/>
      <c r="GK31" s="303" t="e">
        <f t="shared" si="30"/>
        <v>#DIV/0!</v>
      </c>
    </row>
    <row r="32" spans="2:193" s="37" customFormat="1" ht="15.6" customHeight="1" x14ac:dyDescent="0.25">
      <c r="B32" s="29"/>
      <c r="C32" s="30"/>
      <c r="D32" s="30">
        <v>1</v>
      </c>
      <c r="E32" s="493">
        <v>20</v>
      </c>
      <c r="F32" s="29"/>
      <c r="G32" s="30"/>
      <c r="H32" s="30">
        <v>1</v>
      </c>
      <c r="M32" s="493">
        <v>13</v>
      </c>
      <c r="N32" s="494" t="s">
        <v>79</v>
      </c>
      <c r="O32" s="494"/>
      <c r="P32" s="494">
        <f t="shared" si="49"/>
        <v>0</v>
      </c>
      <c r="Q32" s="494" t="s">
        <v>701</v>
      </c>
      <c r="R32" s="494"/>
      <c r="S32" s="494" t="s">
        <v>530</v>
      </c>
      <c r="T32" s="156">
        <v>2</v>
      </c>
      <c r="U32" s="493"/>
      <c r="V32" s="2">
        <f t="shared" si="31"/>
        <v>3142.7</v>
      </c>
      <c r="W32" s="2"/>
      <c r="X32" s="198">
        <f t="shared" si="105"/>
        <v>3142.7</v>
      </c>
      <c r="Y32" s="198">
        <v>990.2</v>
      </c>
      <c r="Z32" s="42">
        <v>2152.5</v>
      </c>
      <c r="AA32" s="2"/>
      <c r="AB32" s="567">
        <f t="shared" si="149"/>
        <v>3142.7</v>
      </c>
      <c r="AC32" s="567"/>
      <c r="AD32" s="568">
        <f t="shared" si="106"/>
        <v>3142.7</v>
      </c>
      <c r="AE32" s="568">
        <v>990.2</v>
      </c>
      <c r="AF32" s="569">
        <v>2152.5</v>
      </c>
      <c r="AG32" s="567"/>
      <c r="AH32" s="580"/>
      <c r="AI32" s="567"/>
      <c r="AJ32" s="567"/>
      <c r="AK32" s="568"/>
      <c r="AL32" s="567"/>
      <c r="AM32" s="580"/>
      <c r="AN32" s="567"/>
      <c r="AO32" s="567"/>
      <c r="AP32" s="568"/>
      <c r="AQ32" s="567"/>
      <c r="AR32" s="580"/>
      <c r="AS32" s="567"/>
      <c r="AT32" s="567"/>
      <c r="AU32" s="568"/>
      <c r="AV32" s="567"/>
      <c r="AW32" s="580"/>
      <c r="AX32" s="425" t="s">
        <v>402</v>
      </c>
      <c r="AY32" s="567">
        <f t="shared" si="150"/>
        <v>3142.7</v>
      </c>
      <c r="AZ32" s="567"/>
      <c r="BA32" s="568">
        <f t="shared" si="151"/>
        <v>3142.7</v>
      </c>
      <c r="BB32" s="568">
        <v>990.2</v>
      </c>
      <c r="BC32" s="569">
        <v>2152.5</v>
      </c>
      <c r="BD32" s="567"/>
      <c r="BE32" s="567"/>
      <c r="BF32" s="567">
        <f t="shared" si="32"/>
        <v>0</v>
      </c>
      <c r="BG32" s="567">
        <f t="shared" si="33"/>
        <v>0</v>
      </c>
      <c r="BH32" s="567">
        <f t="shared" si="34"/>
        <v>0</v>
      </c>
      <c r="BI32" s="567">
        <f t="shared" si="35"/>
        <v>0</v>
      </c>
      <c r="BJ32" s="567">
        <f t="shared" si="36"/>
        <v>0</v>
      </c>
      <c r="BK32" s="567">
        <f t="shared" si="37"/>
        <v>0</v>
      </c>
      <c r="BL32" s="567" t="e">
        <f>#REF!-BE32</f>
        <v>#REF!</v>
      </c>
      <c r="BM32" s="567">
        <f t="shared" si="152"/>
        <v>501.4</v>
      </c>
      <c r="BN32" s="567"/>
      <c r="BO32" s="568">
        <v>501.4</v>
      </c>
      <c r="BP32" s="567"/>
      <c r="BQ32" s="567"/>
      <c r="BR32" s="567">
        <f t="shared" si="153"/>
        <v>0</v>
      </c>
      <c r="BS32" s="567"/>
      <c r="BT32" s="568"/>
      <c r="BU32" s="567"/>
      <c r="BV32" s="567"/>
      <c r="BW32" s="567">
        <f t="shared" si="154"/>
        <v>3051.1143900000002</v>
      </c>
      <c r="BX32" s="567"/>
      <c r="BY32" s="568">
        <f t="shared" si="38"/>
        <v>3051.1143900000002</v>
      </c>
      <c r="BZ32" s="571">
        <v>945.64099999999996</v>
      </c>
      <c r="CA32" s="571">
        <v>2105.4733900000001</v>
      </c>
      <c r="CB32" s="567"/>
      <c r="CC32" s="567"/>
      <c r="CD32" s="567">
        <f t="shared" si="155"/>
        <v>3051.1143900000002</v>
      </c>
      <c r="CE32" s="567"/>
      <c r="CF32" s="568">
        <f t="shared" si="39"/>
        <v>3051.1143900000002</v>
      </c>
      <c r="CG32" s="571">
        <v>945.64099999999996</v>
      </c>
      <c r="CH32" s="571">
        <v>2105.4733900000001</v>
      </c>
      <c r="CI32" s="567"/>
      <c r="CJ32" s="567"/>
      <c r="CK32" s="567">
        <f t="shared" si="156"/>
        <v>429.29738000000003</v>
      </c>
      <c r="CL32" s="567"/>
      <c r="CM32" s="567">
        <f t="shared" si="102"/>
        <v>429.29738000000003</v>
      </c>
      <c r="CN32" s="567">
        <v>95.179119999999998</v>
      </c>
      <c r="CO32" s="567">
        <v>334.11826000000002</v>
      </c>
      <c r="CP32" s="567"/>
      <c r="CQ32" s="567"/>
      <c r="CR32" s="573">
        <f t="shared" si="157"/>
        <v>3480.4117700000002</v>
      </c>
      <c r="CS32" s="567">
        <f t="shared" si="40"/>
        <v>3480.4117700000002</v>
      </c>
      <c r="CT32" s="567">
        <f t="shared" si="41"/>
        <v>0</v>
      </c>
      <c r="CU32" s="567">
        <f t="shared" si="42"/>
        <v>3480.4117700000002</v>
      </c>
      <c r="CV32" s="567">
        <f t="shared" si="43"/>
        <v>0</v>
      </c>
      <c r="CW32" s="567">
        <f t="shared" si="158"/>
        <v>0</v>
      </c>
      <c r="CX32" s="567">
        <f t="shared" ca="1" si="182"/>
        <v>0</v>
      </c>
      <c r="CY32" s="567">
        <f t="shared" si="44"/>
        <v>0</v>
      </c>
      <c r="CZ32" s="567">
        <f t="shared" si="45"/>
        <v>0</v>
      </c>
      <c r="DA32" s="567">
        <f t="shared" si="46"/>
        <v>0</v>
      </c>
      <c r="DB32" s="2">
        <f t="shared" si="159"/>
        <v>0</v>
      </c>
      <c r="DC32" s="76"/>
      <c r="DD32" s="253"/>
      <c r="DE32" s="253"/>
      <c r="DF32" s="2">
        <f t="shared" si="160"/>
        <v>0</v>
      </c>
      <c r="DG32" s="2"/>
      <c r="DH32" s="198"/>
      <c r="DI32" s="2"/>
      <c r="DJ32" s="2"/>
      <c r="DK32" s="2">
        <f t="shared" si="161"/>
        <v>0</v>
      </c>
      <c r="DL32" s="2"/>
      <c r="DM32" s="198"/>
      <c r="DN32" s="2"/>
      <c r="DO32" s="2"/>
      <c r="DP32" s="2">
        <f t="shared" si="162"/>
        <v>0</v>
      </c>
      <c r="DQ32" s="2">
        <f t="shared" si="163"/>
        <v>0</v>
      </c>
      <c r="DR32" s="2">
        <f t="shared" si="163"/>
        <v>0</v>
      </c>
      <c r="DS32" s="2">
        <f t="shared" si="163"/>
        <v>0</v>
      </c>
      <c r="DT32" s="2">
        <f t="shared" si="163"/>
        <v>0</v>
      </c>
      <c r="DU32" s="2"/>
      <c r="DV32" s="2"/>
      <c r="DW32" s="2"/>
      <c r="DX32" s="2">
        <f t="shared" ca="1" si="164"/>
        <v>0</v>
      </c>
      <c r="DY32" s="46"/>
      <c r="DZ32" s="2">
        <f t="shared" si="165"/>
        <v>3051.1143900000002</v>
      </c>
      <c r="EA32" s="2">
        <f t="shared" si="166"/>
        <v>3051.1143900000002</v>
      </c>
      <c r="EB32" s="46"/>
      <c r="EC32" s="2"/>
      <c r="ED32" s="2"/>
      <c r="EE32" s="46"/>
      <c r="EF32" s="2"/>
      <c r="EG32" s="46"/>
      <c r="EH32" s="46"/>
      <c r="EI32" s="2">
        <f t="shared" si="10"/>
        <v>3051.1143900000002</v>
      </c>
      <c r="EJ32" s="2"/>
      <c r="EK32" s="198">
        <f t="shared" si="48"/>
        <v>3051.1143900000002</v>
      </c>
      <c r="EL32" s="446">
        <v>945.64099999999996</v>
      </c>
      <c r="EM32" s="446">
        <v>2105.4733900000001</v>
      </c>
      <c r="EN32" s="2"/>
      <c r="EO32" s="2"/>
      <c r="EP32" s="2">
        <f t="shared" si="14"/>
        <v>429.29738000000003</v>
      </c>
      <c r="EQ32" s="2"/>
      <c r="ER32" s="2">
        <f t="shared" si="104"/>
        <v>429.29738000000003</v>
      </c>
      <c r="ES32" s="2">
        <v>95.179119999999998</v>
      </c>
      <c r="ET32" s="2">
        <v>334.11826000000002</v>
      </c>
      <c r="EU32" s="2"/>
      <c r="EV32" s="141"/>
      <c r="EW32" s="310"/>
      <c r="EX32" s="310"/>
      <c r="EY32" s="310"/>
      <c r="EZ32" s="396"/>
      <c r="FA32" s="396"/>
      <c r="FB32" s="310"/>
      <c r="FC32" s="310"/>
      <c r="FD32" s="310"/>
      <c r="FE32" s="396"/>
      <c r="FF32" s="396"/>
      <c r="FG32" s="396"/>
      <c r="FH32" s="311"/>
      <c r="FI32" s="310"/>
      <c r="FJ32" s="296" t="e">
        <f t="shared" si="167"/>
        <v>#DIV/0!</v>
      </c>
      <c r="FK32" s="353">
        <f t="shared" si="73"/>
        <v>3142.7</v>
      </c>
      <c r="FL32" s="353">
        <f t="shared" si="183"/>
        <v>3142.7</v>
      </c>
      <c r="FM32" s="353"/>
      <c r="FN32" s="388">
        <f t="shared" si="168"/>
        <v>1</v>
      </c>
      <c r="FO32" s="388">
        <f t="shared" si="169"/>
        <v>0</v>
      </c>
      <c r="FP32" s="353">
        <f t="shared" si="75"/>
        <v>3480.4117700000002</v>
      </c>
      <c r="FQ32" s="353">
        <f t="shared" si="170"/>
        <v>3051.1143900000002</v>
      </c>
      <c r="FR32" s="353">
        <f t="shared" si="171"/>
        <v>429.29738000000003</v>
      </c>
      <c r="FS32" s="388">
        <f t="shared" si="172"/>
        <v>0.87665327887337885</v>
      </c>
      <c r="FT32" s="388">
        <f t="shared" si="173"/>
        <v>0.12334672112662118</v>
      </c>
      <c r="FU32" s="388"/>
      <c r="FV32" s="353">
        <f t="shared" si="113"/>
        <v>3480.4117700000002</v>
      </c>
      <c r="FW32" s="353">
        <f t="shared" si="77"/>
        <v>-429.29737999999998</v>
      </c>
      <c r="FX32" s="310"/>
      <c r="FY32" s="310"/>
      <c r="FZ32" s="310"/>
      <c r="GA32" s="396"/>
      <c r="GB32" s="396"/>
      <c r="GC32" s="310"/>
      <c r="GD32" s="310"/>
      <c r="GE32" s="310"/>
      <c r="GF32" s="396"/>
      <c r="GG32" s="396"/>
      <c r="GH32" s="396"/>
      <c r="GI32" s="311"/>
      <c r="GJ32" s="344"/>
      <c r="GK32" s="303">
        <f t="shared" si="30"/>
        <v>0.9708576669742579</v>
      </c>
    </row>
    <row r="33" spans="2:193" s="37" customFormat="1" ht="15.75" hidden="1" customHeight="1" x14ac:dyDescent="0.25">
      <c r="B33" s="29"/>
      <c r="C33" s="30"/>
      <c r="D33" s="30">
        <v>1</v>
      </c>
      <c r="E33" s="493">
        <v>21</v>
      </c>
      <c r="F33" s="29"/>
      <c r="G33" s="30"/>
      <c r="H33" s="30">
        <v>1</v>
      </c>
      <c r="M33" s="493">
        <v>21</v>
      </c>
      <c r="N33" s="494" t="s">
        <v>80</v>
      </c>
      <c r="O33" s="494"/>
      <c r="P33" s="494">
        <f t="shared" si="49"/>
        <v>0</v>
      </c>
      <c r="Q33" s="494"/>
      <c r="R33" s="494"/>
      <c r="S33" s="494"/>
      <c r="T33" s="156"/>
      <c r="U33" s="493"/>
      <c r="V33" s="2">
        <f t="shared" si="31"/>
        <v>0</v>
      </c>
      <c r="W33" s="2"/>
      <c r="X33" s="198">
        <f t="shared" si="105"/>
        <v>0</v>
      </c>
      <c r="Y33" s="198"/>
      <c r="Z33" s="42"/>
      <c r="AA33" s="2"/>
      <c r="AB33" s="567">
        <f t="shared" si="149"/>
        <v>0</v>
      </c>
      <c r="AC33" s="567"/>
      <c r="AD33" s="568">
        <f t="shared" si="106"/>
        <v>0</v>
      </c>
      <c r="AE33" s="568"/>
      <c r="AF33" s="569"/>
      <c r="AG33" s="567"/>
      <c r="AH33" s="570"/>
      <c r="AI33" s="567"/>
      <c r="AJ33" s="567"/>
      <c r="AK33" s="568"/>
      <c r="AL33" s="567"/>
      <c r="AM33" s="570"/>
      <c r="AN33" s="567"/>
      <c r="AO33" s="567"/>
      <c r="AP33" s="568"/>
      <c r="AQ33" s="567"/>
      <c r="AR33" s="570"/>
      <c r="AS33" s="567"/>
      <c r="AT33" s="567"/>
      <c r="AU33" s="568"/>
      <c r="AV33" s="567"/>
      <c r="AW33" s="570"/>
      <c r="AX33" s="425"/>
      <c r="AY33" s="567">
        <f t="shared" si="150"/>
        <v>0</v>
      </c>
      <c r="AZ33" s="567"/>
      <c r="BA33" s="568">
        <f t="shared" si="151"/>
        <v>0</v>
      </c>
      <c r="BB33" s="568"/>
      <c r="BC33" s="569"/>
      <c r="BD33" s="567"/>
      <c r="BE33" s="570"/>
      <c r="BF33" s="567">
        <f t="shared" si="32"/>
        <v>0</v>
      </c>
      <c r="BG33" s="567">
        <f t="shared" si="33"/>
        <v>0</v>
      </c>
      <c r="BH33" s="567">
        <f t="shared" si="34"/>
        <v>0</v>
      </c>
      <c r="BI33" s="567">
        <f t="shared" si="35"/>
        <v>0</v>
      </c>
      <c r="BJ33" s="567">
        <f t="shared" si="36"/>
        <v>0</v>
      </c>
      <c r="BK33" s="567">
        <f t="shared" si="37"/>
        <v>0</v>
      </c>
      <c r="BL33" s="567" t="e">
        <f>#REF!-BE33</f>
        <v>#REF!</v>
      </c>
      <c r="BM33" s="567">
        <f t="shared" si="152"/>
        <v>315.10000000000002</v>
      </c>
      <c r="BN33" s="567"/>
      <c r="BO33" s="568">
        <f>137+178.1</f>
        <v>315.10000000000002</v>
      </c>
      <c r="BP33" s="567"/>
      <c r="BQ33" s="570"/>
      <c r="BR33" s="567">
        <f t="shared" si="153"/>
        <v>0</v>
      </c>
      <c r="BS33" s="567"/>
      <c r="BT33" s="568"/>
      <c r="BU33" s="567"/>
      <c r="BV33" s="570"/>
      <c r="BW33" s="567">
        <f t="shared" si="154"/>
        <v>0</v>
      </c>
      <c r="BX33" s="567"/>
      <c r="BY33" s="578">
        <f t="shared" si="38"/>
        <v>0</v>
      </c>
      <c r="BZ33" s="571"/>
      <c r="CA33" s="571"/>
      <c r="CB33" s="567"/>
      <c r="CC33" s="577"/>
      <c r="CD33" s="567">
        <f t="shared" si="155"/>
        <v>0</v>
      </c>
      <c r="CE33" s="567"/>
      <c r="CF33" s="578">
        <f t="shared" si="39"/>
        <v>0</v>
      </c>
      <c r="CG33" s="571"/>
      <c r="CH33" s="571"/>
      <c r="CI33" s="567"/>
      <c r="CJ33" s="577"/>
      <c r="CK33" s="567">
        <f t="shared" si="156"/>
        <v>0</v>
      </c>
      <c r="CL33" s="567"/>
      <c r="CM33" s="567">
        <f t="shared" si="102"/>
        <v>0</v>
      </c>
      <c r="CN33" s="567"/>
      <c r="CO33" s="567"/>
      <c r="CP33" s="567"/>
      <c r="CQ33" s="567"/>
      <c r="CR33" s="573">
        <f t="shared" si="157"/>
        <v>0</v>
      </c>
      <c r="CS33" s="567">
        <f t="shared" si="40"/>
        <v>0</v>
      </c>
      <c r="CT33" s="567">
        <f t="shared" si="41"/>
        <v>0</v>
      </c>
      <c r="CU33" s="567">
        <f t="shared" si="42"/>
        <v>0</v>
      </c>
      <c r="CV33" s="567">
        <f t="shared" si="43"/>
        <v>0</v>
      </c>
      <c r="CW33" s="567">
        <f t="shared" si="158"/>
        <v>0</v>
      </c>
      <c r="CX33" s="567">
        <f t="shared" ca="1" si="182"/>
        <v>0</v>
      </c>
      <c r="CY33" s="567">
        <f t="shared" si="44"/>
        <v>0</v>
      </c>
      <c r="CZ33" s="567">
        <f t="shared" si="45"/>
        <v>0</v>
      </c>
      <c r="DA33" s="567">
        <f t="shared" si="46"/>
        <v>0</v>
      </c>
      <c r="DB33" s="2">
        <f t="shared" si="159"/>
        <v>0</v>
      </c>
      <c r="DC33" s="76"/>
      <c r="DD33" s="253"/>
      <c r="DE33" s="253"/>
      <c r="DF33" s="2">
        <f t="shared" si="160"/>
        <v>0</v>
      </c>
      <c r="DG33" s="2"/>
      <c r="DH33" s="198"/>
      <c r="DI33" s="2"/>
      <c r="DJ33" s="234"/>
      <c r="DK33" s="2">
        <f t="shared" si="161"/>
        <v>0</v>
      </c>
      <c r="DL33" s="2"/>
      <c r="DM33" s="198"/>
      <c r="DN33" s="2"/>
      <c r="DO33" s="234"/>
      <c r="DP33" s="2">
        <f t="shared" si="162"/>
        <v>0</v>
      </c>
      <c r="DQ33" s="2">
        <f t="shared" si="163"/>
        <v>0</v>
      </c>
      <c r="DR33" s="2">
        <f t="shared" si="163"/>
        <v>0</v>
      </c>
      <c r="DS33" s="2">
        <f t="shared" si="163"/>
        <v>0</v>
      </c>
      <c r="DT33" s="2">
        <f t="shared" si="163"/>
        <v>0</v>
      </c>
      <c r="DU33" s="2"/>
      <c r="DV33" s="2"/>
      <c r="DW33" s="2"/>
      <c r="DX33" s="2">
        <f t="shared" ca="1" si="164"/>
        <v>0</v>
      </c>
      <c r="DY33" s="46"/>
      <c r="DZ33" s="2">
        <f t="shared" si="165"/>
        <v>0</v>
      </c>
      <c r="EA33" s="2">
        <f t="shared" si="166"/>
        <v>0</v>
      </c>
      <c r="EB33" s="46"/>
      <c r="EC33" s="2"/>
      <c r="ED33" s="2"/>
      <c r="EE33" s="46"/>
      <c r="EF33" s="2"/>
      <c r="EG33" s="46"/>
      <c r="EH33" s="46"/>
      <c r="EI33" s="2">
        <f t="shared" si="10"/>
        <v>0</v>
      </c>
      <c r="EJ33" s="2"/>
      <c r="EK33" s="433">
        <f t="shared" si="48"/>
        <v>0</v>
      </c>
      <c r="EL33" s="446"/>
      <c r="EM33" s="446"/>
      <c r="EN33" s="2"/>
      <c r="EO33" s="236"/>
      <c r="EP33" s="2">
        <f t="shared" si="14"/>
        <v>0</v>
      </c>
      <c r="EQ33" s="2"/>
      <c r="ER33" s="2">
        <f t="shared" si="104"/>
        <v>0</v>
      </c>
      <c r="ES33" s="2"/>
      <c r="ET33" s="2"/>
      <c r="EU33" s="2"/>
      <c r="EV33" s="141"/>
      <c r="EW33" s="310"/>
      <c r="EX33" s="310"/>
      <c r="EY33" s="310"/>
      <c r="EZ33" s="396"/>
      <c r="FA33" s="396"/>
      <c r="FB33" s="310"/>
      <c r="FC33" s="310"/>
      <c r="FD33" s="310"/>
      <c r="FE33" s="396"/>
      <c r="FF33" s="396"/>
      <c r="FG33" s="396"/>
      <c r="FH33" s="311"/>
      <c r="FI33" s="310"/>
      <c r="FJ33" s="296" t="e">
        <f t="shared" si="167"/>
        <v>#DIV/0!</v>
      </c>
      <c r="FK33" s="353">
        <f t="shared" si="73"/>
        <v>0</v>
      </c>
      <c r="FL33" s="353">
        <f t="shared" si="183"/>
        <v>0</v>
      </c>
      <c r="FM33" s="353"/>
      <c r="FN33" s="388" t="e">
        <f t="shared" si="168"/>
        <v>#DIV/0!</v>
      </c>
      <c r="FO33" s="388" t="e">
        <f t="shared" si="169"/>
        <v>#DIV/0!</v>
      </c>
      <c r="FP33" s="353">
        <f t="shared" si="75"/>
        <v>0</v>
      </c>
      <c r="FQ33" s="353">
        <f t="shared" si="170"/>
        <v>0</v>
      </c>
      <c r="FR33" s="353">
        <f t="shared" si="171"/>
        <v>0</v>
      </c>
      <c r="FS33" s="388" t="e">
        <f t="shared" si="172"/>
        <v>#DIV/0!</v>
      </c>
      <c r="FT33" s="388" t="e">
        <f t="shared" si="173"/>
        <v>#DIV/0!</v>
      </c>
      <c r="FU33" s="388"/>
      <c r="FV33" s="353" t="e">
        <f t="shared" si="113"/>
        <v>#DIV/0!</v>
      </c>
      <c r="FW33" s="353" t="e">
        <f t="shared" si="77"/>
        <v>#DIV/0!</v>
      </c>
      <c r="FX33" s="310"/>
      <c r="FY33" s="310"/>
      <c r="FZ33" s="310"/>
      <c r="GA33" s="396"/>
      <c r="GB33" s="396"/>
      <c r="GC33" s="310"/>
      <c r="GD33" s="310"/>
      <c r="GE33" s="310"/>
      <c r="GF33" s="396"/>
      <c r="GG33" s="396"/>
      <c r="GH33" s="396"/>
      <c r="GI33" s="311"/>
      <c r="GJ33" s="344"/>
      <c r="GK33" s="303" t="e">
        <f t="shared" si="30"/>
        <v>#DIV/0!</v>
      </c>
    </row>
    <row r="34" spans="2:193" s="37" customFormat="1" ht="15.75" hidden="1" customHeight="1" x14ac:dyDescent="0.25">
      <c r="B34" s="29"/>
      <c r="C34" s="30"/>
      <c r="D34" s="30">
        <v>1</v>
      </c>
      <c r="E34" s="493">
        <v>22</v>
      </c>
      <c r="F34" s="29"/>
      <c r="G34" s="30"/>
      <c r="H34" s="30">
        <v>1</v>
      </c>
      <c r="M34" s="493">
        <v>17</v>
      </c>
      <c r="N34" s="494" t="s">
        <v>81</v>
      </c>
      <c r="O34" s="494"/>
      <c r="P34" s="494">
        <f t="shared" si="49"/>
        <v>0</v>
      </c>
      <c r="Q34" s="494"/>
      <c r="R34" s="494"/>
      <c r="S34" s="494"/>
      <c r="T34" s="156"/>
      <c r="U34" s="493"/>
      <c r="V34" s="2">
        <f t="shared" si="31"/>
        <v>0</v>
      </c>
      <c r="W34" s="2"/>
      <c r="X34" s="198">
        <f t="shared" si="105"/>
        <v>0</v>
      </c>
      <c r="Y34" s="198"/>
      <c r="Z34" s="42"/>
      <c r="AA34" s="2"/>
      <c r="AB34" s="567">
        <f t="shared" si="149"/>
        <v>0</v>
      </c>
      <c r="AC34" s="567"/>
      <c r="AD34" s="568">
        <f t="shared" si="106"/>
        <v>0</v>
      </c>
      <c r="AE34" s="568"/>
      <c r="AF34" s="569"/>
      <c r="AG34" s="567"/>
      <c r="AH34" s="580"/>
      <c r="AI34" s="567"/>
      <c r="AJ34" s="567"/>
      <c r="AK34" s="568"/>
      <c r="AL34" s="567"/>
      <c r="AM34" s="580"/>
      <c r="AN34" s="567"/>
      <c r="AO34" s="567"/>
      <c r="AP34" s="568"/>
      <c r="AQ34" s="567"/>
      <c r="AR34" s="580"/>
      <c r="AS34" s="567"/>
      <c r="AT34" s="567"/>
      <c r="AU34" s="568"/>
      <c r="AV34" s="567"/>
      <c r="AW34" s="580"/>
      <c r="AX34" s="425"/>
      <c r="AY34" s="567">
        <f t="shared" si="150"/>
        <v>0</v>
      </c>
      <c r="AZ34" s="567"/>
      <c r="BA34" s="568">
        <f t="shared" si="151"/>
        <v>0</v>
      </c>
      <c r="BB34" s="568"/>
      <c r="BC34" s="569"/>
      <c r="BD34" s="567"/>
      <c r="BE34" s="567"/>
      <c r="BF34" s="567">
        <f t="shared" si="32"/>
        <v>0</v>
      </c>
      <c r="BG34" s="567">
        <f t="shared" si="33"/>
        <v>0</v>
      </c>
      <c r="BH34" s="567">
        <f t="shared" si="34"/>
        <v>0</v>
      </c>
      <c r="BI34" s="567">
        <f t="shared" si="35"/>
        <v>0</v>
      </c>
      <c r="BJ34" s="567">
        <f t="shared" si="36"/>
        <v>0</v>
      </c>
      <c r="BK34" s="567">
        <f t="shared" si="37"/>
        <v>0</v>
      </c>
      <c r="BL34" s="567" t="e">
        <f>#REF!-BE34</f>
        <v>#REF!</v>
      </c>
      <c r="BM34" s="567">
        <f t="shared" si="152"/>
        <v>483</v>
      </c>
      <c r="BN34" s="567"/>
      <c r="BO34" s="568">
        <f>210+273</f>
        <v>483</v>
      </c>
      <c r="BP34" s="567"/>
      <c r="BQ34" s="567"/>
      <c r="BR34" s="567">
        <f t="shared" si="153"/>
        <v>0</v>
      </c>
      <c r="BS34" s="567"/>
      <c r="BT34" s="567"/>
      <c r="BU34" s="567"/>
      <c r="BV34" s="567"/>
      <c r="BW34" s="567">
        <f t="shared" si="154"/>
        <v>0</v>
      </c>
      <c r="BX34" s="567"/>
      <c r="BY34" s="568">
        <f t="shared" si="38"/>
        <v>0</v>
      </c>
      <c r="BZ34" s="571"/>
      <c r="CA34" s="571"/>
      <c r="CB34" s="567"/>
      <c r="CC34" s="567"/>
      <c r="CD34" s="567">
        <f t="shared" si="155"/>
        <v>0</v>
      </c>
      <c r="CE34" s="567"/>
      <c r="CF34" s="568">
        <f t="shared" si="39"/>
        <v>0</v>
      </c>
      <c r="CG34" s="571"/>
      <c r="CH34" s="571"/>
      <c r="CI34" s="567"/>
      <c r="CJ34" s="567"/>
      <c r="CK34" s="567">
        <f t="shared" si="156"/>
        <v>0</v>
      </c>
      <c r="CL34" s="567"/>
      <c r="CM34" s="567">
        <f t="shared" si="102"/>
        <v>0</v>
      </c>
      <c r="CN34" s="567"/>
      <c r="CO34" s="567"/>
      <c r="CP34" s="567"/>
      <c r="CQ34" s="567"/>
      <c r="CR34" s="573">
        <f t="shared" si="157"/>
        <v>0</v>
      </c>
      <c r="CS34" s="567">
        <f t="shared" si="40"/>
        <v>0</v>
      </c>
      <c r="CT34" s="567">
        <f t="shared" si="41"/>
        <v>0</v>
      </c>
      <c r="CU34" s="567">
        <f t="shared" si="42"/>
        <v>0</v>
      </c>
      <c r="CV34" s="567">
        <f t="shared" si="43"/>
        <v>0</v>
      </c>
      <c r="CW34" s="567">
        <f t="shared" si="158"/>
        <v>0</v>
      </c>
      <c r="CX34" s="567">
        <f t="shared" ca="1" si="182"/>
        <v>0</v>
      </c>
      <c r="CY34" s="567">
        <f t="shared" si="44"/>
        <v>0</v>
      </c>
      <c r="CZ34" s="567">
        <f t="shared" si="45"/>
        <v>0</v>
      </c>
      <c r="DA34" s="567">
        <f t="shared" si="46"/>
        <v>0</v>
      </c>
      <c r="DB34" s="2">
        <f t="shared" si="159"/>
        <v>0</v>
      </c>
      <c r="DC34" s="76"/>
      <c r="DD34" s="253"/>
      <c r="DE34" s="253"/>
      <c r="DF34" s="2">
        <f t="shared" si="160"/>
        <v>0</v>
      </c>
      <c r="DG34" s="2"/>
      <c r="DH34" s="2"/>
      <c r="DI34" s="2"/>
      <c r="DJ34" s="2"/>
      <c r="DK34" s="2">
        <f t="shared" si="161"/>
        <v>0</v>
      </c>
      <c r="DL34" s="2"/>
      <c r="DM34" s="2"/>
      <c r="DN34" s="2"/>
      <c r="DO34" s="2"/>
      <c r="DP34" s="2">
        <f t="shared" si="162"/>
        <v>0</v>
      </c>
      <c r="DQ34" s="2">
        <f t="shared" si="163"/>
        <v>0</v>
      </c>
      <c r="DR34" s="2">
        <f t="shared" si="163"/>
        <v>0</v>
      </c>
      <c r="DS34" s="2">
        <f t="shared" si="163"/>
        <v>0</v>
      </c>
      <c r="DT34" s="2">
        <f t="shared" si="163"/>
        <v>0</v>
      </c>
      <c r="DU34" s="2"/>
      <c r="DV34" s="2"/>
      <c r="DW34" s="2"/>
      <c r="DX34" s="2">
        <f t="shared" ca="1" si="164"/>
        <v>0</v>
      </c>
      <c r="DY34" s="46"/>
      <c r="DZ34" s="2">
        <f t="shared" si="165"/>
        <v>0</v>
      </c>
      <c r="EA34" s="2">
        <f t="shared" si="166"/>
        <v>0</v>
      </c>
      <c r="EB34" s="46"/>
      <c r="EC34" s="2"/>
      <c r="ED34" s="2"/>
      <c r="EE34" s="46"/>
      <c r="EF34" s="2"/>
      <c r="EG34" s="46"/>
      <c r="EH34" s="46"/>
      <c r="EI34" s="2">
        <f t="shared" si="10"/>
        <v>0</v>
      </c>
      <c r="EJ34" s="2"/>
      <c r="EK34" s="198">
        <f t="shared" si="48"/>
        <v>0</v>
      </c>
      <c r="EL34" s="446"/>
      <c r="EM34" s="446"/>
      <c r="EN34" s="2"/>
      <c r="EO34" s="2"/>
      <c r="EP34" s="2">
        <f t="shared" si="14"/>
        <v>0</v>
      </c>
      <c r="EQ34" s="2"/>
      <c r="ER34" s="2">
        <f t="shared" si="104"/>
        <v>0</v>
      </c>
      <c r="ES34" s="2"/>
      <c r="ET34" s="2"/>
      <c r="EU34" s="2"/>
      <c r="EV34" s="141"/>
      <c r="EW34" s="310"/>
      <c r="EX34" s="310"/>
      <c r="EY34" s="310"/>
      <c r="EZ34" s="396"/>
      <c r="FA34" s="396"/>
      <c r="FB34" s="310"/>
      <c r="FC34" s="310"/>
      <c r="FD34" s="310"/>
      <c r="FE34" s="396"/>
      <c r="FF34" s="396"/>
      <c r="FG34" s="396"/>
      <c r="FH34" s="311"/>
      <c r="FI34" s="310"/>
      <c r="FJ34" s="296" t="e">
        <f t="shared" si="167"/>
        <v>#DIV/0!</v>
      </c>
      <c r="FK34" s="353">
        <f t="shared" si="73"/>
        <v>0</v>
      </c>
      <c r="FL34" s="353">
        <f t="shared" si="183"/>
        <v>0</v>
      </c>
      <c r="FM34" s="353"/>
      <c r="FN34" s="388" t="e">
        <f t="shared" si="168"/>
        <v>#DIV/0!</v>
      </c>
      <c r="FO34" s="388" t="e">
        <f t="shared" si="169"/>
        <v>#DIV/0!</v>
      </c>
      <c r="FP34" s="353">
        <f t="shared" si="75"/>
        <v>0</v>
      </c>
      <c r="FQ34" s="353">
        <f t="shared" si="170"/>
        <v>0</v>
      </c>
      <c r="FR34" s="353">
        <f t="shared" si="171"/>
        <v>0</v>
      </c>
      <c r="FS34" s="388" t="e">
        <f t="shared" si="172"/>
        <v>#DIV/0!</v>
      </c>
      <c r="FT34" s="388" t="e">
        <f t="shared" si="173"/>
        <v>#DIV/0!</v>
      </c>
      <c r="FU34" s="388"/>
      <c r="FV34" s="353" t="e">
        <f t="shared" si="113"/>
        <v>#DIV/0!</v>
      </c>
      <c r="FW34" s="353" t="e">
        <f t="shared" si="77"/>
        <v>#DIV/0!</v>
      </c>
      <c r="FX34" s="310"/>
      <c r="FY34" s="310"/>
      <c r="FZ34" s="310"/>
      <c r="GA34" s="396"/>
      <c r="GB34" s="396"/>
      <c r="GC34" s="310"/>
      <c r="GD34" s="310"/>
      <c r="GE34" s="310"/>
      <c r="GF34" s="396"/>
      <c r="GG34" s="396"/>
      <c r="GH34" s="396"/>
      <c r="GI34" s="311"/>
      <c r="GJ34" s="344"/>
      <c r="GK34" s="303" t="e">
        <f t="shared" si="30"/>
        <v>#DIV/0!</v>
      </c>
    </row>
    <row r="35" spans="2:193" s="37" customFormat="1" ht="15.6" customHeight="1" x14ac:dyDescent="0.25">
      <c r="B35" s="29"/>
      <c r="C35" s="30"/>
      <c r="D35" s="30">
        <v>1</v>
      </c>
      <c r="E35" s="493">
        <v>23</v>
      </c>
      <c r="F35" s="29"/>
      <c r="G35" s="30"/>
      <c r="H35" s="30">
        <v>1</v>
      </c>
      <c r="M35" s="493">
        <v>14</v>
      </c>
      <c r="N35" s="494" t="s">
        <v>82</v>
      </c>
      <c r="O35" s="494"/>
      <c r="P35" s="494">
        <f t="shared" si="49"/>
        <v>0</v>
      </c>
      <c r="Q35" s="494" t="s">
        <v>701</v>
      </c>
      <c r="R35" s="494"/>
      <c r="S35" s="494" t="s">
        <v>580</v>
      </c>
      <c r="T35" s="156">
        <v>2</v>
      </c>
      <c r="U35" s="493"/>
      <c r="V35" s="2">
        <f t="shared" si="31"/>
        <v>2937.8</v>
      </c>
      <c r="W35" s="2"/>
      <c r="X35" s="198">
        <f t="shared" si="105"/>
        <v>2937.8</v>
      </c>
      <c r="Y35" s="198">
        <v>925.6</v>
      </c>
      <c r="Z35" s="42">
        <v>2012.2</v>
      </c>
      <c r="AA35" s="2"/>
      <c r="AB35" s="567">
        <f t="shared" si="149"/>
        <v>2937.8</v>
      </c>
      <c r="AC35" s="567"/>
      <c r="AD35" s="568">
        <f t="shared" si="106"/>
        <v>2937.8</v>
      </c>
      <c r="AE35" s="568">
        <v>925.6</v>
      </c>
      <c r="AF35" s="569">
        <v>2012.2</v>
      </c>
      <c r="AG35" s="567"/>
      <c r="AH35" s="580"/>
      <c r="AI35" s="567"/>
      <c r="AJ35" s="567"/>
      <c r="AK35" s="568"/>
      <c r="AL35" s="567"/>
      <c r="AM35" s="580"/>
      <c r="AN35" s="567"/>
      <c r="AO35" s="567"/>
      <c r="AP35" s="568"/>
      <c r="AQ35" s="567"/>
      <c r="AR35" s="580"/>
      <c r="AS35" s="567"/>
      <c r="AT35" s="567"/>
      <c r="AU35" s="568"/>
      <c r="AV35" s="567"/>
      <c r="AW35" s="580"/>
      <c r="AX35" s="425" t="s">
        <v>438</v>
      </c>
      <c r="AY35" s="567">
        <f t="shared" si="150"/>
        <v>2937.8</v>
      </c>
      <c r="AZ35" s="567"/>
      <c r="BA35" s="568">
        <f t="shared" si="151"/>
        <v>2937.8</v>
      </c>
      <c r="BB35" s="568">
        <v>925.6</v>
      </c>
      <c r="BC35" s="569">
        <v>2012.2</v>
      </c>
      <c r="BD35" s="567"/>
      <c r="BE35" s="567"/>
      <c r="BF35" s="567">
        <f t="shared" si="32"/>
        <v>0</v>
      </c>
      <c r="BG35" s="567">
        <f t="shared" si="33"/>
        <v>0</v>
      </c>
      <c r="BH35" s="567">
        <f t="shared" si="34"/>
        <v>0</v>
      </c>
      <c r="BI35" s="567">
        <f t="shared" si="35"/>
        <v>0</v>
      </c>
      <c r="BJ35" s="567">
        <f t="shared" si="36"/>
        <v>0</v>
      </c>
      <c r="BK35" s="567">
        <f t="shared" si="37"/>
        <v>0</v>
      </c>
      <c r="BL35" s="567" t="e">
        <f>#REF!-BE35</f>
        <v>#REF!</v>
      </c>
      <c r="BM35" s="567">
        <f t="shared" si="152"/>
        <v>216.2</v>
      </c>
      <c r="BN35" s="567"/>
      <c r="BO35" s="568">
        <f>94+122.2</f>
        <v>216.2</v>
      </c>
      <c r="BP35" s="567"/>
      <c r="BQ35" s="567"/>
      <c r="BR35" s="567">
        <f t="shared" si="153"/>
        <v>0</v>
      </c>
      <c r="BS35" s="567"/>
      <c r="BT35" s="568"/>
      <c r="BU35" s="567"/>
      <c r="BV35" s="567"/>
      <c r="BW35" s="567">
        <f t="shared" si="154"/>
        <v>2908.422</v>
      </c>
      <c r="BX35" s="567"/>
      <c r="BY35" s="568">
        <f t="shared" si="38"/>
        <v>2908.422</v>
      </c>
      <c r="BZ35" s="571">
        <v>916.34400000000005</v>
      </c>
      <c r="CA35" s="571">
        <v>1992.078</v>
      </c>
      <c r="CB35" s="567"/>
      <c r="CC35" s="567"/>
      <c r="CD35" s="567">
        <f t="shared" si="155"/>
        <v>2908.422</v>
      </c>
      <c r="CE35" s="567"/>
      <c r="CF35" s="568">
        <f t="shared" si="39"/>
        <v>2908.422</v>
      </c>
      <c r="CG35" s="571">
        <v>916.34400000000005</v>
      </c>
      <c r="CH35" s="571">
        <v>1992.078</v>
      </c>
      <c r="CI35" s="567"/>
      <c r="CJ35" s="567"/>
      <c r="CK35" s="567">
        <f t="shared" si="156"/>
        <v>555.56260999999995</v>
      </c>
      <c r="CL35" s="567"/>
      <c r="CM35" s="567">
        <f t="shared" si="102"/>
        <v>555.56260999999995</v>
      </c>
      <c r="CN35" s="567">
        <v>198</v>
      </c>
      <c r="CO35" s="567">
        <v>357.56261000000001</v>
      </c>
      <c r="CP35" s="567"/>
      <c r="CQ35" s="567"/>
      <c r="CR35" s="573">
        <f t="shared" si="157"/>
        <v>3463.98461</v>
      </c>
      <c r="CS35" s="567">
        <f t="shared" si="40"/>
        <v>3463.98461</v>
      </c>
      <c r="CT35" s="567">
        <f t="shared" si="41"/>
        <v>0</v>
      </c>
      <c r="CU35" s="567">
        <f t="shared" si="42"/>
        <v>3463.98461</v>
      </c>
      <c r="CV35" s="567">
        <f t="shared" si="43"/>
        <v>0</v>
      </c>
      <c r="CW35" s="567">
        <f t="shared" si="158"/>
        <v>0</v>
      </c>
      <c r="CX35" s="567">
        <f t="shared" ca="1" si="182"/>
        <v>0</v>
      </c>
      <c r="CY35" s="567">
        <f t="shared" si="44"/>
        <v>0</v>
      </c>
      <c r="CZ35" s="567">
        <f t="shared" si="45"/>
        <v>0</v>
      </c>
      <c r="DA35" s="567">
        <f t="shared" si="46"/>
        <v>0</v>
      </c>
      <c r="DB35" s="2">
        <f t="shared" si="159"/>
        <v>0</v>
      </c>
      <c r="DC35" s="76"/>
      <c r="DD35" s="253"/>
      <c r="DE35" s="253"/>
      <c r="DF35" s="2">
        <f t="shared" si="160"/>
        <v>0</v>
      </c>
      <c r="DG35" s="2"/>
      <c r="DH35" s="198"/>
      <c r="DI35" s="2"/>
      <c r="DJ35" s="2"/>
      <c r="DK35" s="2">
        <f t="shared" si="161"/>
        <v>0</v>
      </c>
      <c r="DL35" s="2"/>
      <c r="DM35" s="198"/>
      <c r="DN35" s="2"/>
      <c r="DO35" s="2"/>
      <c r="DP35" s="2">
        <f t="shared" si="162"/>
        <v>0</v>
      </c>
      <c r="DQ35" s="2">
        <f t="shared" si="163"/>
        <v>0</v>
      </c>
      <c r="DR35" s="2">
        <f t="shared" si="163"/>
        <v>0</v>
      </c>
      <c r="DS35" s="2">
        <f t="shared" si="163"/>
        <v>0</v>
      </c>
      <c r="DT35" s="2">
        <f t="shared" si="163"/>
        <v>0</v>
      </c>
      <c r="DU35" s="2"/>
      <c r="DV35" s="2"/>
      <c r="DW35" s="2"/>
      <c r="DX35" s="2">
        <f t="shared" ca="1" si="164"/>
        <v>0</v>
      </c>
      <c r="DY35" s="46"/>
      <c r="DZ35" s="2">
        <f t="shared" si="165"/>
        <v>2908.422</v>
      </c>
      <c r="EA35" s="2">
        <f t="shared" si="166"/>
        <v>2908.422</v>
      </c>
      <c r="EB35" s="46"/>
      <c r="EC35" s="2"/>
      <c r="ED35" s="2"/>
      <c r="EE35" s="46"/>
      <c r="EF35" s="2"/>
      <c r="EG35" s="46"/>
      <c r="EH35" s="46"/>
      <c r="EI35" s="2">
        <f t="shared" si="10"/>
        <v>2908.422</v>
      </c>
      <c r="EJ35" s="2"/>
      <c r="EK35" s="198">
        <f t="shared" si="48"/>
        <v>2908.422</v>
      </c>
      <c r="EL35" s="446">
        <v>916.34400000000005</v>
      </c>
      <c r="EM35" s="446">
        <v>1992.078</v>
      </c>
      <c r="EN35" s="2"/>
      <c r="EO35" s="2"/>
      <c r="EP35" s="2">
        <f t="shared" si="14"/>
        <v>555.56260999999995</v>
      </c>
      <c r="EQ35" s="2"/>
      <c r="ER35" s="2">
        <f t="shared" si="104"/>
        <v>555.56260999999995</v>
      </c>
      <c r="ES35" s="2">
        <v>198</v>
      </c>
      <c r="ET35" s="2">
        <v>357.56261000000001</v>
      </c>
      <c r="EU35" s="2"/>
      <c r="EV35" s="141"/>
      <c r="EW35" s="310"/>
      <c r="EX35" s="310"/>
      <c r="EY35" s="310"/>
      <c r="EZ35" s="396"/>
      <c r="FA35" s="396"/>
      <c r="FB35" s="310"/>
      <c r="FC35" s="310"/>
      <c r="FD35" s="310"/>
      <c r="FE35" s="396"/>
      <c r="FF35" s="396"/>
      <c r="FG35" s="396"/>
      <c r="FH35" s="311"/>
      <c r="FI35" s="310"/>
      <c r="FJ35" s="296" t="e">
        <f t="shared" si="167"/>
        <v>#DIV/0!</v>
      </c>
      <c r="FK35" s="353">
        <f t="shared" si="73"/>
        <v>2937.8</v>
      </c>
      <c r="FL35" s="353">
        <f t="shared" si="183"/>
        <v>2937.8</v>
      </c>
      <c r="FM35" s="353"/>
      <c r="FN35" s="388">
        <f t="shared" si="168"/>
        <v>1</v>
      </c>
      <c r="FO35" s="388">
        <f t="shared" si="169"/>
        <v>0</v>
      </c>
      <c r="FP35" s="353">
        <f t="shared" si="75"/>
        <v>3463.98461</v>
      </c>
      <c r="FQ35" s="353">
        <f t="shared" si="170"/>
        <v>2908.422</v>
      </c>
      <c r="FR35" s="353">
        <f t="shared" si="171"/>
        <v>555.56260999999995</v>
      </c>
      <c r="FS35" s="388">
        <f t="shared" si="172"/>
        <v>0.83961747162612255</v>
      </c>
      <c r="FT35" s="388">
        <f t="shared" si="173"/>
        <v>0.16038252837387748</v>
      </c>
      <c r="FU35" s="388"/>
      <c r="FV35" s="353">
        <f t="shared" si="113"/>
        <v>3463.98461</v>
      </c>
      <c r="FW35" s="353">
        <f t="shared" si="77"/>
        <v>-555.56260999999995</v>
      </c>
      <c r="FX35" s="310">
        <f t="shared" ref="FX35" si="184">FY35+FZ35</f>
        <v>0</v>
      </c>
      <c r="FY35" s="310">
        <f>BD35</f>
        <v>0</v>
      </c>
      <c r="FZ35" s="310"/>
      <c r="GA35" s="396" t="e">
        <f t="shared" ref="GA35" si="185">FY35/FX35</f>
        <v>#DIV/0!</v>
      </c>
      <c r="GB35" s="396" t="e">
        <f t="shared" ref="GB35" si="186">FZ35/FX35</f>
        <v>#DIV/0!</v>
      </c>
      <c r="GC35" s="310">
        <f t="shared" ref="GC35" si="187">GD35+GE35</f>
        <v>0</v>
      </c>
      <c r="GD35" s="310">
        <f t="shared" ref="GD35" si="188">EN35</f>
        <v>0</v>
      </c>
      <c r="GE35" s="310">
        <f t="shared" ref="GE35" si="189">EU35</f>
        <v>0</v>
      </c>
      <c r="GF35" s="396" t="e">
        <f t="shared" ref="GF35" si="190">GD35/GC35</f>
        <v>#DIV/0!</v>
      </c>
      <c r="GG35" s="396" t="e">
        <f t="shared" ref="GG35" si="191">GE35/GC35</f>
        <v>#DIV/0!</v>
      </c>
      <c r="GH35" s="396"/>
      <c r="GI35" s="311" t="e">
        <f t="shared" ref="GI35" si="192">GC35*GA35</f>
        <v>#DIV/0!</v>
      </c>
      <c r="GJ35" s="344" t="e">
        <f t="shared" ref="GJ35" si="193">GD35-GI35</f>
        <v>#DIV/0!</v>
      </c>
      <c r="GK35" s="303">
        <f t="shared" si="30"/>
        <v>0.99</v>
      </c>
    </row>
    <row r="36" spans="2:193" s="37" customFormat="1" ht="15.75" hidden="1" customHeight="1" x14ac:dyDescent="0.25">
      <c r="B36" s="29"/>
      <c r="C36" s="30"/>
      <c r="D36" s="30">
        <v>1</v>
      </c>
      <c r="E36" s="493">
        <v>24</v>
      </c>
      <c r="F36" s="29"/>
      <c r="G36" s="30"/>
      <c r="H36" s="30">
        <v>1</v>
      </c>
      <c r="M36" s="493">
        <v>24</v>
      </c>
      <c r="N36" s="494" t="s">
        <v>83</v>
      </c>
      <c r="O36" s="494"/>
      <c r="P36" s="494">
        <f t="shared" si="49"/>
        <v>0</v>
      </c>
      <c r="Q36" s="494"/>
      <c r="R36" s="494"/>
      <c r="S36" s="494"/>
      <c r="T36" s="156"/>
      <c r="U36" s="493"/>
      <c r="V36" s="2">
        <f t="shared" si="31"/>
        <v>0</v>
      </c>
      <c r="W36" s="2"/>
      <c r="X36" s="198">
        <f t="shared" si="105"/>
        <v>0</v>
      </c>
      <c r="Y36" s="198"/>
      <c r="Z36" s="42"/>
      <c r="AA36" s="2"/>
      <c r="AB36" s="567">
        <f t="shared" si="149"/>
        <v>0</v>
      </c>
      <c r="AC36" s="567"/>
      <c r="AD36" s="568">
        <f t="shared" si="106"/>
        <v>0</v>
      </c>
      <c r="AE36" s="568"/>
      <c r="AF36" s="569"/>
      <c r="AG36" s="567"/>
      <c r="AH36" s="570"/>
      <c r="AI36" s="567"/>
      <c r="AJ36" s="567"/>
      <c r="AK36" s="568"/>
      <c r="AL36" s="567"/>
      <c r="AM36" s="570"/>
      <c r="AN36" s="567"/>
      <c r="AO36" s="567"/>
      <c r="AP36" s="568"/>
      <c r="AQ36" s="567"/>
      <c r="AR36" s="570"/>
      <c r="AS36" s="567"/>
      <c r="AT36" s="567"/>
      <c r="AU36" s="568"/>
      <c r="AV36" s="567"/>
      <c r="AW36" s="570"/>
      <c r="AX36" s="409"/>
      <c r="AY36" s="567">
        <f t="shared" si="150"/>
        <v>0</v>
      </c>
      <c r="AZ36" s="567"/>
      <c r="BA36" s="568">
        <f t="shared" si="151"/>
        <v>0</v>
      </c>
      <c r="BB36" s="568"/>
      <c r="BC36" s="569"/>
      <c r="BD36" s="567"/>
      <c r="BE36" s="567"/>
      <c r="BF36" s="567">
        <f t="shared" si="32"/>
        <v>0</v>
      </c>
      <c r="BG36" s="567">
        <f t="shared" si="33"/>
        <v>0</v>
      </c>
      <c r="BH36" s="567">
        <f t="shared" si="34"/>
        <v>0</v>
      </c>
      <c r="BI36" s="567">
        <f t="shared" si="35"/>
        <v>0</v>
      </c>
      <c r="BJ36" s="567">
        <f t="shared" si="36"/>
        <v>0</v>
      </c>
      <c r="BK36" s="567">
        <f t="shared" si="37"/>
        <v>0</v>
      </c>
      <c r="BL36" s="567" t="e">
        <f>#REF!-BE36</f>
        <v>#REF!</v>
      </c>
      <c r="BM36" s="567">
        <f t="shared" si="152"/>
        <v>547.4</v>
      </c>
      <c r="BN36" s="567"/>
      <c r="BO36" s="568">
        <f>238+309.4</f>
        <v>547.4</v>
      </c>
      <c r="BP36" s="567"/>
      <c r="BQ36" s="567"/>
      <c r="BR36" s="567">
        <f t="shared" si="153"/>
        <v>0</v>
      </c>
      <c r="BS36" s="567"/>
      <c r="BT36" s="568"/>
      <c r="BU36" s="567"/>
      <c r="BV36" s="567"/>
      <c r="BW36" s="567">
        <f t="shared" si="154"/>
        <v>0</v>
      </c>
      <c r="BX36" s="567"/>
      <c r="BY36" s="568">
        <f t="shared" si="38"/>
        <v>0</v>
      </c>
      <c r="BZ36" s="571"/>
      <c r="CA36" s="571"/>
      <c r="CB36" s="567"/>
      <c r="CC36" s="567"/>
      <c r="CD36" s="567">
        <f t="shared" si="155"/>
        <v>0</v>
      </c>
      <c r="CE36" s="567"/>
      <c r="CF36" s="568">
        <f t="shared" si="39"/>
        <v>0</v>
      </c>
      <c r="CG36" s="571"/>
      <c r="CH36" s="571"/>
      <c r="CI36" s="567"/>
      <c r="CJ36" s="567"/>
      <c r="CK36" s="567">
        <f t="shared" si="156"/>
        <v>0</v>
      </c>
      <c r="CL36" s="567"/>
      <c r="CM36" s="567">
        <f t="shared" si="102"/>
        <v>0</v>
      </c>
      <c r="CN36" s="567"/>
      <c r="CO36" s="567"/>
      <c r="CP36" s="567"/>
      <c r="CQ36" s="567"/>
      <c r="CR36" s="573">
        <f t="shared" si="157"/>
        <v>0</v>
      </c>
      <c r="CS36" s="567">
        <f t="shared" si="40"/>
        <v>0</v>
      </c>
      <c r="CT36" s="567">
        <f t="shared" si="41"/>
        <v>0</v>
      </c>
      <c r="CU36" s="567">
        <f t="shared" si="42"/>
        <v>0</v>
      </c>
      <c r="CV36" s="567">
        <f t="shared" si="43"/>
        <v>0</v>
      </c>
      <c r="CW36" s="567">
        <f t="shared" si="158"/>
        <v>0</v>
      </c>
      <c r="CX36" s="567">
        <f t="shared" ca="1" si="182"/>
        <v>0</v>
      </c>
      <c r="CY36" s="567">
        <f t="shared" si="44"/>
        <v>0</v>
      </c>
      <c r="CZ36" s="567">
        <f t="shared" si="45"/>
        <v>0</v>
      </c>
      <c r="DA36" s="567">
        <f t="shared" si="46"/>
        <v>0</v>
      </c>
      <c r="DB36" s="2">
        <f t="shared" si="159"/>
        <v>0</v>
      </c>
      <c r="DC36" s="76"/>
      <c r="DD36" s="253"/>
      <c r="DE36" s="253"/>
      <c r="DF36" s="2">
        <f t="shared" si="160"/>
        <v>0</v>
      </c>
      <c r="DG36" s="2"/>
      <c r="DH36" s="198"/>
      <c r="DI36" s="2"/>
      <c r="DJ36" s="2"/>
      <c r="DK36" s="2">
        <f t="shared" si="161"/>
        <v>0</v>
      </c>
      <c r="DL36" s="2"/>
      <c r="DM36" s="198"/>
      <c r="DN36" s="2"/>
      <c r="DO36" s="2"/>
      <c r="DP36" s="2">
        <f t="shared" si="162"/>
        <v>0</v>
      </c>
      <c r="DQ36" s="2">
        <f t="shared" si="163"/>
        <v>0</v>
      </c>
      <c r="DR36" s="2">
        <f t="shared" si="163"/>
        <v>0</v>
      </c>
      <c r="DS36" s="2">
        <f t="shared" si="163"/>
        <v>0</v>
      </c>
      <c r="DT36" s="2">
        <f t="shared" si="163"/>
        <v>0</v>
      </c>
      <c r="DU36" s="2"/>
      <c r="DV36" s="2"/>
      <c r="DW36" s="2"/>
      <c r="DX36" s="2">
        <f t="shared" ca="1" si="164"/>
        <v>0</v>
      </c>
      <c r="DY36" s="46"/>
      <c r="DZ36" s="2">
        <f t="shared" si="165"/>
        <v>0</v>
      </c>
      <c r="EA36" s="2">
        <f t="shared" si="166"/>
        <v>0</v>
      </c>
      <c r="EB36" s="46"/>
      <c r="EC36" s="2"/>
      <c r="ED36" s="2"/>
      <c r="EE36" s="46"/>
      <c r="EF36" s="2"/>
      <c r="EG36" s="46"/>
      <c r="EH36" s="46"/>
      <c r="EI36" s="2">
        <f t="shared" si="10"/>
        <v>0</v>
      </c>
      <c r="EJ36" s="2"/>
      <c r="EK36" s="198">
        <f t="shared" si="48"/>
        <v>0</v>
      </c>
      <c r="EL36" s="446"/>
      <c r="EM36" s="446"/>
      <c r="EN36" s="2"/>
      <c r="EO36" s="2"/>
      <c r="EP36" s="2">
        <f t="shared" si="14"/>
        <v>0</v>
      </c>
      <c r="EQ36" s="2"/>
      <c r="ER36" s="2">
        <f t="shared" si="104"/>
        <v>0</v>
      </c>
      <c r="ES36" s="2"/>
      <c r="ET36" s="2"/>
      <c r="EU36" s="2"/>
      <c r="EV36" s="141"/>
      <c r="EW36" s="310"/>
      <c r="EX36" s="310"/>
      <c r="EY36" s="310"/>
      <c r="EZ36" s="396"/>
      <c r="FA36" s="396"/>
      <c r="FB36" s="310"/>
      <c r="FC36" s="310"/>
      <c r="FD36" s="310"/>
      <c r="FE36" s="396"/>
      <c r="FF36" s="396"/>
      <c r="FG36" s="396"/>
      <c r="FH36" s="311"/>
      <c r="FI36" s="310"/>
      <c r="FJ36" s="296" t="e">
        <f t="shared" si="167"/>
        <v>#DIV/0!</v>
      </c>
      <c r="FK36" s="353">
        <f t="shared" si="73"/>
        <v>0</v>
      </c>
      <c r="FL36" s="353">
        <f t="shared" si="183"/>
        <v>0</v>
      </c>
      <c r="FM36" s="353"/>
      <c r="FN36" s="388" t="e">
        <f t="shared" si="168"/>
        <v>#DIV/0!</v>
      </c>
      <c r="FO36" s="388" t="e">
        <f t="shared" si="169"/>
        <v>#DIV/0!</v>
      </c>
      <c r="FP36" s="353">
        <f t="shared" si="75"/>
        <v>0</v>
      </c>
      <c r="FQ36" s="353">
        <f t="shared" si="170"/>
        <v>0</v>
      </c>
      <c r="FR36" s="353">
        <f t="shared" si="171"/>
        <v>0</v>
      </c>
      <c r="FS36" s="388" t="e">
        <f t="shared" si="172"/>
        <v>#DIV/0!</v>
      </c>
      <c r="FT36" s="388" t="e">
        <f t="shared" si="173"/>
        <v>#DIV/0!</v>
      </c>
      <c r="FU36" s="388"/>
      <c r="FV36" s="353" t="e">
        <f t="shared" si="113"/>
        <v>#DIV/0!</v>
      </c>
      <c r="FW36" s="353" t="e">
        <f t="shared" si="77"/>
        <v>#DIV/0!</v>
      </c>
      <c r="FX36" s="310"/>
      <c r="FY36" s="310"/>
      <c r="FZ36" s="310"/>
      <c r="GA36" s="396"/>
      <c r="GB36" s="396"/>
      <c r="GC36" s="310"/>
      <c r="GD36" s="310"/>
      <c r="GE36" s="310"/>
      <c r="GF36" s="396"/>
      <c r="GG36" s="396"/>
      <c r="GH36" s="396"/>
      <c r="GI36" s="311"/>
      <c r="GJ36" s="344"/>
      <c r="GK36" s="303" t="e">
        <f t="shared" si="30"/>
        <v>#DIV/0!</v>
      </c>
    </row>
    <row r="37" spans="2:193" s="37" customFormat="1" ht="15.6" customHeight="1" x14ac:dyDescent="0.25">
      <c r="B37" s="29"/>
      <c r="C37" s="30"/>
      <c r="D37" s="30">
        <v>1</v>
      </c>
      <c r="E37" s="493">
        <v>25</v>
      </c>
      <c r="F37" s="29"/>
      <c r="G37" s="30"/>
      <c r="H37" s="30">
        <v>1</v>
      </c>
      <c r="M37" s="493">
        <v>15</v>
      </c>
      <c r="N37" s="494" t="s">
        <v>84</v>
      </c>
      <c r="O37" s="494"/>
      <c r="P37" s="469">
        <f t="shared" si="49"/>
        <v>0</v>
      </c>
      <c r="Q37" s="494" t="s">
        <v>701</v>
      </c>
      <c r="R37" s="469" t="s">
        <v>699</v>
      </c>
      <c r="S37" s="494" t="s">
        <v>549</v>
      </c>
      <c r="T37" s="156">
        <v>2</v>
      </c>
      <c r="U37" s="493">
        <v>2</v>
      </c>
      <c r="V37" s="2">
        <f t="shared" si="31"/>
        <v>2393.8000000000002</v>
      </c>
      <c r="W37" s="2"/>
      <c r="X37" s="198">
        <f t="shared" si="105"/>
        <v>2393.8000000000002</v>
      </c>
      <c r="Y37" s="198">
        <v>754.2</v>
      </c>
      <c r="Z37" s="42">
        <v>1639.6</v>
      </c>
      <c r="AA37" s="2"/>
      <c r="AB37" s="567">
        <f t="shared" si="149"/>
        <v>2393.8000000000002</v>
      </c>
      <c r="AC37" s="567"/>
      <c r="AD37" s="568">
        <f t="shared" si="106"/>
        <v>2393.8000000000002</v>
      </c>
      <c r="AE37" s="568">
        <v>754.2</v>
      </c>
      <c r="AF37" s="569">
        <v>1639.6</v>
      </c>
      <c r="AG37" s="567"/>
      <c r="AH37" s="570"/>
      <c r="AI37" s="567"/>
      <c r="AJ37" s="567"/>
      <c r="AK37" s="568"/>
      <c r="AL37" s="567"/>
      <c r="AM37" s="570"/>
      <c r="AN37" s="567"/>
      <c r="AO37" s="567"/>
      <c r="AP37" s="568"/>
      <c r="AQ37" s="567"/>
      <c r="AR37" s="570"/>
      <c r="AS37" s="567"/>
      <c r="AT37" s="567"/>
      <c r="AU37" s="568"/>
      <c r="AV37" s="567"/>
      <c r="AW37" s="570"/>
      <c r="AX37" s="425" t="s">
        <v>674</v>
      </c>
      <c r="AY37" s="567">
        <f t="shared" si="150"/>
        <v>2393.8000000000002</v>
      </c>
      <c r="AZ37" s="567"/>
      <c r="BA37" s="568">
        <f t="shared" si="151"/>
        <v>2393.8000000000002</v>
      </c>
      <c r="BB37" s="568">
        <v>754.2</v>
      </c>
      <c r="BC37" s="569">
        <v>1639.6</v>
      </c>
      <c r="BD37" s="567"/>
      <c r="BE37" s="570"/>
      <c r="BF37" s="567">
        <f t="shared" si="32"/>
        <v>0</v>
      </c>
      <c r="BG37" s="567">
        <f t="shared" si="33"/>
        <v>0</v>
      </c>
      <c r="BH37" s="567">
        <f t="shared" si="34"/>
        <v>0</v>
      </c>
      <c r="BI37" s="567">
        <f t="shared" si="35"/>
        <v>0</v>
      </c>
      <c r="BJ37" s="567">
        <f t="shared" si="36"/>
        <v>0</v>
      </c>
      <c r="BK37" s="567">
        <f t="shared" si="37"/>
        <v>0</v>
      </c>
      <c r="BL37" s="567" t="e">
        <f>#REF!-BE37</f>
        <v>#REF!</v>
      </c>
      <c r="BM37" s="567">
        <f t="shared" si="152"/>
        <v>188.6</v>
      </c>
      <c r="BN37" s="567"/>
      <c r="BO37" s="568">
        <f>82+106.6</f>
        <v>188.6</v>
      </c>
      <c r="BP37" s="567"/>
      <c r="BQ37" s="570"/>
      <c r="BR37" s="567">
        <f t="shared" si="153"/>
        <v>0</v>
      </c>
      <c r="BS37" s="567"/>
      <c r="BT37" s="568"/>
      <c r="BU37" s="567"/>
      <c r="BV37" s="570"/>
      <c r="BW37" s="567">
        <f t="shared" si="154"/>
        <v>1984.1596199999999</v>
      </c>
      <c r="BX37" s="567"/>
      <c r="BY37" s="578">
        <f t="shared" si="38"/>
        <v>1984.1596199999999</v>
      </c>
      <c r="BZ37" s="571">
        <f>297.909+360.47003</f>
        <v>658.37903000000006</v>
      </c>
      <c r="CA37" s="571">
        <f>688.63157+637.14902</f>
        <v>1325.7805899999998</v>
      </c>
      <c r="CB37" s="567"/>
      <c r="CC37" s="577"/>
      <c r="CD37" s="567">
        <f t="shared" si="155"/>
        <v>1984.1596199999999</v>
      </c>
      <c r="CE37" s="567"/>
      <c r="CF37" s="578">
        <f t="shared" si="39"/>
        <v>1984.1596199999999</v>
      </c>
      <c r="CG37" s="571">
        <f>297.909+360.47003</f>
        <v>658.37903000000006</v>
      </c>
      <c r="CH37" s="571">
        <f>688.63157+637.14902</f>
        <v>1325.7805899999998</v>
      </c>
      <c r="CI37" s="567"/>
      <c r="CJ37" s="577"/>
      <c r="CK37" s="567">
        <f t="shared" si="156"/>
        <v>664.03945999999996</v>
      </c>
      <c r="CL37" s="567"/>
      <c r="CM37" s="567">
        <v>664.03945999999996</v>
      </c>
      <c r="CN37" s="567">
        <f>99.43809</f>
        <v>99.438090000000003</v>
      </c>
      <c r="CO37" s="567">
        <f>230.76675</f>
        <v>230.76675</v>
      </c>
      <c r="CP37" s="567"/>
      <c r="CQ37" s="567"/>
      <c r="CR37" s="573">
        <f t="shared" si="157"/>
        <v>2648.1990799999999</v>
      </c>
      <c r="CS37" s="567">
        <f t="shared" si="40"/>
        <v>2648.1990799999999</v>
      </c>
      <c r="CT37" s="567">
        <f t="shared" si="41"/>
        <v>0</v>
      </c>
      <c r="CU37" s="567">
        <f t="shared" si="42"/>
        <v>2648.1990799999999</v>
      </c>
      <c r="CV37" s="567">
        <f t="shared" si="43"/>
        <v>0</v>
      </c>
      <c r="CW37" s="567">
        <f t="shared" si="158"/>
        <v>0</v>
      </c>
      <c r="CX37" s="567">
        <f t="shared" ca="1" si="182"/>
        <v>0</v>
      </c>
      <c r="CY37" s="567">
        <f t="shared" si="44"/>
        <v>0</v>
      </c>
      <c r="CZ37" s="567">
        <f t="shared" si="45"/>
        <v>0</v>
      </c>
      <c r="DA37" s="567">
        <f t="shared" si="46"/>
        <v>0</v>
      </c>
      <c r="DB37" s="2">
        <f t="shared" si="159"/>
        <v>0</v>
      </c>
      <c r="DC37" s="76"/>
      <c r="DD37" s="253"/>
      <c r="DE37" s="253"/>
      <c r="DF37" s="2">
        <f t="shared" si="160"/>
        <v>0</v>
      </c>
      <c r="DG37" s="2"/>
      <c r="DH37" s="198"/>
      <c r="DI37" s="2"/>
      <c r="DJ37" s="234"/>
      <c r="DK37" s="2">
        <f t="shared" si="161"/>
        <v>0</v>
      </c>
      <c r="DL37" s="2"/>
      <c r="DM37" s="198"/>
      <c r="DN37" s="2"/>
      <c r="DO37" s="234"/>
      <c r="DP37" s="2">
        <f t="shared" si="162"/>
        <v>0</v>
      </c>
      <c r="DQ37" s="2">
        <f t="shared" si="163"/>
        <v>0</v>
      </c>
      <c r="DR37" s="2">
        <f t="shared" si="163"/>
        <v>0</v>
      </c>
      <c r="DS37" s="2">
        <f t="shared" si="163"/>
        <v>0</v>
      </c>
      <c r="DT37" s="2">
        <f t="shared" si="163"/>
        <v>0</v>
      </c>
      <c r="DU37" s="2"/>
      <c r="DV37" s="2"/>
      <c r="DW37" s="2"/>
      <c r="DX37" s="2">
        <f t="shared" ca="1" si="164"/>
        <v>0</v>
      </c>
      <c r="DY37" s="46"/>
      <c r="DZ37" s="2">
        <f t="shared" si="165"/>
        <v>1984.1596199999999</v>
      </c>
      <c r="EA37" s="2">
        <f t="shared" si="166"/>
        <v>1984.1596199999999</v>
      </c>
      <c r="EB37" s="46"/>
      <c r="EC37" s="2"/>
      <c r="ED37" s="2"/>
      <c r="EE37" s="46"/>
      <c r="EF37" s="2"/>
      <c r="EG37" s="46"/>
      <c r="EH37" s="46"/>
      <c r="EI37" s="2">
        <f t="shared" si="10"/>
        <v>1984.1596199999999</v>
      </c>
      <c r="EJ37" s="2"/>
      <c r="EK37" s="433">
        <f t="shared" si="48"/>
        <v>1984.1596199999999</v>
      </c>
      <c r="EL37" s="446">
        <f>297.909+360.47003</f>
        <v>658.37903000000006</v>
      </c>
      <c r="EM37" s="446">
        <f>688.63157+637.14902</f>
        <v>1325.7805899999998</v>
      </c>
      <c r="EN37" s="2"/>
      <c r="EO37" s="236"/>
      <c r="EP37" s="2">
        <f t="shared" si="14"/>
        <v>664.03945999999996</v>
      </c>
      <c r="EQ37" s="2"/>
      <c r="ER37" s="2">
        <v>664.03945999999996</v>
      </c>
      <c r="ES37" s="2">
        <f>99.43809+120.32014</f>
        <v>219.75823</v>
      </c>
      <c r="ET37" s="2">
        <f>230.76675+213.51448</f>
        <v>444.28122999999999</v>
      </c>
      <c r="EU37" s="2"/>
      <c r="EV37" s="141"/>
      <c r="EW37" s="310"/>
      <c r="EX37" s="310"/>
      <c r="EY37" s="310"/>
      <c r="EZ37" s="396"/>
      <c r="FA37" s="396"/>
      <c r="FB37" s="310"/>
      <c r="FC37" s="310"/>
      <c r="FD37" s="310"/>
      <c r="FE37" s="396"/>
      <c r="FF37" s="396"/>
      <c r="FG37" s="396"/>
      <c r="FH37" s="311"/>
      <c r="FI37" s="310"/>
      <c r="FJ37" s="296" t="e">
        <f t="shared" si="167"/>
        <v>#DIV/0!</v>
      </c>
      <c r="FK37" s="353">
        <f t="shared" si="73"/>
        <v>2393.8000000000002</v>
      </c>
      <c r="FL37" s="353">
        <f t="shared" si="183"/>
        <v>2393.8000000000002</v>
      </c>
      <c r="FM37" s="353"/>
      <c r="FN37" s="388">
        <f t="shared" si="168"/>
        <v>1</v>
      </c>
      <c r="FO37" s="388">
        <f t="shared" si="169"/>
        <v>0</v>
      </c>
      <c r="FP37" s="353">
        <f t="shared" si="75"/>
        <v>2648.1990799999999</v>
      </c>
      <c r="FQ37" s="353">
        <f t="shared" si="170"/>
        <v>1984.1596199999999</v>
      </c>
      <c r="FR37" s="353">
        <f t="shared" si="171"/>
        <v>664.03945999999996</v>
      </c>
      <c r="FS37" s="388">
        <f t="shared" si="172"/>
        <v>0.74924866298193871</v>
      </c>
      <c r="FT37" s="388">
        <f t="shared" si="173"/>
        <v>0.25075133701806135</v>
      </c>
      <c r="FU37" s="388"/>
      <c r="FV37" s="353">
        <f t="shared" si="113"/>
        <v>2648.1990799999999</v>
      </c>
      <c r="FW37" s="353">
        <f t="shared" si="77"/>
        <v>-664.03945999999996</v>
      </c>
      <c r="FX37" s="310"/>
      <c r="FY37" s="310"/>
      <c r="FZ37" s="310"/>
      <c r="GA37" s="396"/>
      <c r="GB37" s="396"/>
      <c r="GC37" s="310"/>
      <c r="GD37" s="310"/>
      <c r="GE37" s="310"/>
      <c r="GF37" s="396"/>
      <c r="GG37" s="396"/>
      <c r="GH37" s="396"/>
      <c r="GI37" s="311"/>
      <c r="GJ37" s="344"/>
      <c r="GK37" s="303">
        <f t="shared" si="30"/>
        <v>0.82887443395438209</v>
      </c>
    </row>
    <row r="38" spans="2:193" s="37" customFormat="1" ht="15.6" customHeight="1" x14ac:dyDescent="0.25">
      <c r="B38" s="29"/>
      <c r="C38" s="30"/>
      <c r="D38" s="30">
        <v>1</v>
      </c>
      <c r="E38" s="493">
        <v>26</v>
      </c>
      <c r="F38" s="29"/>
      <c r="G38" s="30"/>
      <c r="H38" s="30">
        <v>1</v>
      </c>
      <c r="M38" s="493">
        <v>16</v>
      </c>
      <c r="N38" s="494" t="s">
        <v>85</v>
      </c>
      <c r="O38" s="494"/>
      <c r="P38" s="494">
        <f t="shared" si="49"/>
        <v>0</v>
      </c>
      <c r="Q38" s="494" t="s">
        <v>701</v>
      </c>
      <c r="R38" s="494" t="s">
        <v>699</v>
      </c>
      <c r="S38" s="494" t="s">
        <v>545</v>
      </c>
      <c r="T38" s="156">
        <v>2</v>
      </c>
      <c r="U38" s="493"/>
      <c r="V38" s="2">
        <f t="shared" si="31"/>
        <v>1504.1</v>
      </c>
      <c r="W38" s="236"/>
      <c r="X38" s="198">
        <f t="shared" si="105"/>
        <v>1504.1</v>
      </c>
      <c r="Y38" s="198">
        <v>473.9</v>
      </c>
      <c r="Z38" s="42">
        <v>1030.2</v>
      </c>
      <c r="AA38" s="2"/>
      <c r="AB38" s="567">
        <f t="shared" si="149"/>
        <v>1504.1</v>
      </c>
      <c r="AC38" s="577"/>
      <c r="AD38" s="568">
        <f t="shared" si="106"/>
        <v>1504.1</v>
      </c>
      <c r="AE38" s="568">
        <v>473.9</v>
      </c>
      <c r="AF38" s="569">
        <v>1030.2</v>
      </c>
      <c r="AG38" s="567"/>
      <c r="AH38" s="570"/>
      <c r="AI38" s="567"/>
      <c r="AJ38" s="570"/>
      <c r="AK38" s="568"/>
      <c r="AL38" s="567"/>
      <c r="AM38" s="570"/>
      <c r="AN38" s="567"/>
      <c r="AO38" s="570"/>
      <c r="AP38" s="568"/>
      <c r="AQ38" s="567"/>
      <c r="AR38" s="570"/>
      <c r="AS38" s="567"/>
      <c r="AT38" s="570"/>
      <c r="AU38" s="568"/>
      <c r="AV38" s="567"/>
      <c r="AW38" s="570"/>
      <c r="AX38" s="425" t="s">
        <v>414</v>
      </c>
      <c r="AY38" s="567">
        <f t="shared" si="150"/>
        <v>1504.1</v>
      </c>
      <c r="AZ38" s="577"/>
      <c r="BA38" s="568">
        <f t="shared" si="151"/>
        <v>1504.1</v>
      </c>
      <c r="BB38" s="568">
        <v>473.9</v>
      </c>
      <c r="BC38" s="569">
        <v>1030.2</v>
      </c>
      <c r="BD38" s="567"/>
      <c r="BE38" s="567"/>
      <c r="BF38" s="567">
        <f t="shared" si="32"/>
        <v>0</v>
      </c>
      <c r="BG38" s="567">
        <f t="shared" si="33"/>
        <v>0</v>
      </c>
      <c r="BH38" s="567">
        <f t="shared" si="34"/>
        <v>0</v>
      </c>
      <c r="BI38" s="567">
        <f t="shared" si="35"/>
        <v>0</v>
      </c>
      <c r="BJ38" s="567">
        <f t="shared" si="36"/>
        <v>0</v>
      </c>
      <c r="BK38" s="567">
        <f t="shared" si="37"/>
        <v>0</v>
      </c>
      <c r="BL38" s="567" t="e">
        <f>#REF!-BE38</f>
        <v>#REF!</v>
      </c>
      <c r="BM38" s="567">
        <f t="shared" si="152"/>
        <v>485.3</v>
      </c>
      <c r="BN38" s="567"/>
      <c r="BO38" s="568">
        <v>485.3</v>
      </c>
      <c r="BP38" s="567"/>
      <c r="BQ38" s="567"/>
      <c r="BR38" s="567">
        <f t="shared" si="153"/>
        <v>0</v>
      </c>
      <c r="BS38" s="567"/>
      <c r="BT38" s="568"/>
      <c r="BU38" s="567"/>
      <c r="BV38" s="567"/>
      <c r="BW38" s="567">
        <f t="shared" si="154"/>
        <v>1204.09736</v>
      </c>
      <c r="BX38" s="577"/>
      <c r="BY38" s="568">
        <f t="shared" si="38"/>
        <v>1204.09736</v>
      </c>
      <c r="BZ38" s="571">
        <v>173.89735999999999</v>
      </c>
      <c r="CA38" s="571">
        <v>1030.2</v>
      </c>
      <c r="CB38" s="567"/>
      <c r="CC38" s="567"/>
      <c r="CD38" s="567">
        <f t="shared" si="155"/>
        <v>1204.09736</v>
      </c>
      <c r="CE38" s="577"/>
      <c r="CF38" s="568">
        <f t="shared" si="39"/>
        <v>1204.09736</v>
      </c>
      <c r="CG38" s="571">
        <v>173.89735999999999</v>
      </c>
      <c r="CH38" s="571">
        <v>1030.2</v>
      </c>
      <c r="CI38" s="567"/>
      <c r="CJ38" s="567"/>
      <c r="CK38" s="567">
        <f t="shared" si="156"/>
        <v>106.02728</v>
      </c>
      <c r="CL38" s="567"/>
      <c r="CM38" s="567">
        <v>106.02728</v>
      </c>
      <c r="CN38" s="567">
        <v>15.277279999999999</v>
      </c>
      <c r="CO38" s="567"/>
      <c r="CP38" s="567"/>
      <c r="CQ38" s="567"/>
      <c r="CR38" s="573">
        <f t="shared" si="157"/>
        <v>1310.12464</v>
      </c>
      <c r="CS38" s="567">
        <f t="shared" si="40"/>
        <v>1310.12464</v>
      </c>
      <c r="CT38" s="567">
        <f t="shared" si="41"/>
        <v>0</v>
      </c>
      <c r="CU38" s="567">
        <f t="shared" si="42"/>
        <v>1310.12464</v>
      </c>
      <c r="CV38" s="567">
        <f t="shared" si="43"/>
        <v>0</v>
      </c>
      <c r="CW38" s="567">
        <f t="shared" si="158"/>
        <v>0</v>
      </c>
      <c r="CX38" s="567">
        <f t="shared" ca="1" si="182"/>
        <v>0</v>
      </c>
      <c r="CY38" s="567">
        <f t="shared" si="44"/>
        <v>0</v>
      </c>
      <c r="CZ38" s="567">
        <f t="shared" si="45"/>
        <v>0</v>
      </c>
      <c r="DA38" s="567">
        <f t="shared" si="46"/>
        <v>0</v>
      </c>
      <c r="DB38" s="2">
        <f t="shared" si="159"/>
        <v>0</v>
      </c>
      <c r="DC38" s="76"/>
      <c r="DD38" s="253"/>
      <c r="DE38" s="253"/>
      <c r="DF38" s="2">
        <f t="shared" si="160"/>
        <v>0</v>
      </c>
      <c r="DG38" s="2"/>
      <c r="DH38" s="198"/>
      <c r="DI38" s="2"/>
      <c r="DJ38" s="2"/>
      <c r="DK38" s="2">
        <f t="shared" si="161"/>
        <v>0</v>
      </c>
      <c r="DL38" s="2"/>
      <c r="DM38" s="198"/>
      <c r="DN38" s="2"/>
      <c r="DO38" s="2"/>
      <c r="DP38" s="2">
        <f t="shared" si="162"/>
        <v>0</v>
      </c>
      <c r="DQ38" s="2">
        <f t="shared" si="163"/>
        <v>0</v>
      </c>
      <c r="DR38" s="2">
        <f t="shared" si="163"/>
        <v>0</v>
      </c>
      <c r="DS38" s="2">
        <f t="shared" si="163"/>
        <v>0</v>
      </c>
      <c r="DT38" s="2">
        <f t="shared" si="163"/>
        <v>0</v>
      </c>
      <c r="DU38" s="2"/>
      <c r="DV38" s="2"/>
      <c r="DW38" s="2"/>
      <c r="DX38" s="2">
        <f t="shared" ca="1" si="164"/>
        <v>0</v>
      </c>
      <c r="DY38" s="46"/>
      <c r="DZ38" s="2">
        <f t="shared" si="165"/>
        <v>1204.09736</v>
      </c>
      <c r="EA38" s="2">
        <f t="shared" si="166"/>
        <v>1204.09736</v>
      </c>
      <c r="EB38" s="46"/>
      <c r="EC38" s="2"/>
      <c r="ED38" s="2"/>
      <c r="EE38" s="46"/>
      <c r="EF38" s="2"/>
      <c r="EG38" s="46"/>
      <c r="EH38" s="46"/>
      <c r="EI38" s="2">
        <f t="shared" si="10"/>
        <v>1204.09736</v>
      </c>
      <c r="EJ38" s="236"/>
      <c r="EK38" s="198">
        <f t="shared" si="48"/>
        <v>1204.09736</v>
      </c>
      <c r="EL38" s="446">
        <v>173.89735999999999</v>
      </c>
      <c r="EM38" s="446">
        <v>1030.2</v>
      </c>
      <c r="EN38" s="2"/>
      <c r="EO38" s="2"/>
      <c r="EP38" s="2">
        <f t="shared" si="14"/>
        <v>106.02728</v>
      </c>
      <c r="EQ38" s="2"/>
      <c r="ER38" s="2">
        <v>106.02728</v>
      </c>
      <c r="ES38" s="2">
        <v>15.277279999999999</v>
      </c>
      <c r="ET38" s="2">
        <v>90.75</v>
      </c>
      <c r="EU38" s="2"/>
      <c r="EV38" s="141"/>
      <c r="EW38" s="310">
        <f t="shared" ref="EW38" si="194">EX38+EY38</f>
        <v>0</v>
      </c>
      <c r="EX38" s="310">
        <f>AZ38</f>
        <v>0</v>
      </c>
      <c r="EY38" s="310"/>
      <c r="EZ38" s="396" t="e">
        <f t="shared" ref="EZ38" si="195">EX38/EW38</f>
        <v>#DIV/0!</v>
      </c>
      <c r="FA38" s="396" t="e">
        <f t="shared" ref="FA38" si="196">EY38/EW38</f>
        <v>#DIV/0!</v>
      </c>
      <c r="FB38" s="310">
        <f t="shared" si="70"/>
        <v>0</v>
      </c>
      <c r="FC38" s="310">
        <f t="shared" ref="FC38:FC64" si="197">EJ38</f>
        <v>0</v>
      </c>
      <c r="FD38" s="310">
        <f t="shared" ref="FD38:FD64" si="198">EQ38</f>
        <v>0</v>
      </c>
      <c r="FE38" s="396" t="e">
        <f t="shared" ref="FE38" si="199">FC38/FB38</f>
        <v>#DIV/0!</v>
      </c>
      <c r="FF38" s="396" t="e">
        <f t="shared" ref="FF38" si="200">FD38/FB38</f>
        <v>#DIV/0!</v>
      </c>
      <c r="FG38" s="396"/>
      <c r="FH38" s="311" t="e">
        <f>FB38*EZ38</f>
        <v>#DIV/0!</v>
      </c>
      <c r="FI38" s="310" t="e">
        <f>FC38-FH38</f>
        <v>#DIV/0!</v>
      </c>
      <c r="FJ38" s="296" t="e">
        <f t="shared" si="167"/>
        <v>#DIV/0!</v>
      </c>
      <c r="FK38" s="353">
        <f t="shared" si="73"/>
        <v>1504.1</v>
      </c>
      <c r="FL38" s="353">
        <f t="shared" si="183"/>
        <v>1504.1</v>
      </c>
      <c r="FM38" s="353"/>
      <c r="FN38" s="388">
        <f t="shared" si="168"/>
        <v>1</v>
      </c>
      <c r="FO38" s="388">
        <f t="shared" si="169"/>
        <v>0</v>
      </c>
      <c r="FP38" s="353">
        <f t="shared" si="75"/>
        <v>1310.12464</v>
      </c>
      <c r="FQ38" s="353">
        <f t="shared" si="170"/>
        <v>1204.09736</v>
      </c>
      <c r="FR38" s="353">
        <f t="shared" si="171"/>
        <v>106.02728</v>
      </c>
      <c r="FS38" s="388">
        <f t="shared" si="172"/>
        <v>0.91907084504570491</v>
      </c>
      <c r="FT38" s="388">
        <f t="shared" si="173"/>
        <v>8.0929154954295035E-2</v>
      </c>
      <c r="FU38" s="388"/>
      <c r="FV38" s="353">
        <f t="shared" si="113"/>
        <v>1310.12464</v>
      </c>
      <c r="FW38" s="353">
        <f t="shared" si="77"/>
        <v>-106.02728000000002</v>
      </c>
      <c r="FX38" s="310"/>
      <c r="FY38" s="310"/>
      <c r="FZ38" s="310"/>
      <c r="GA38" s="396"/>
      <c r="GB38" s="396"/>
      <c r="GC38" s="310"/>
      <c r="GD38" s="310"/>
      <c r="GE38" s="310"/>
      <c r="GF38" s="396"/>
      <c r="GG38" s="396"/>
      <c r="GH38" s="396"/>
      <c r="GI38" s="311"/>
      <c r="GJ38" s="344"/>
      <c r="GK38" s="303">
        <f t="shared" si="30"/>
        <v>0.80054342131507217</v>
      </c>
    </row>
    <row r="39" spans="2:193" s="37" customFormat="1" ht="15.6" hidden="1" customHeight="1" x14ac:dyDescent="0.25">
      <c r="B39" s="29"/>
      <c r="C39" s="30"/>
      <c r="D39" s="30">
        <v>1</v>
      </c>
      <c r="E39" s="493">
        <v>27</v>
      </c>
      <c r="F39" s="29"/>
      <c r="G39" s="30"/>
      <c r="H39" s="30">
        <v>1</v>
      </c>
      <c r="M39" s="493">
        <v>21</v>
      </c>
      <c r="N39" s="494" t="s">
        <v>86</v>
      </c>
      <c r="O39" s="494"/>
      <c r="P39" s="494">
        <f t="shared" si="49"/>
        <v>0</v>
      </c>
      <c r="Q39" s="494"/>
      <c r="R39" s="494"/>
      <c r="S39" s="494"/>
      <c r="T39" s="156"/>
      <c r="U39" s="493"/>
      <c r="V39" s="2">
        <f t="shared" si="31"/>
        <v>0</v>
      </c>
      <c r="W39" s="2"/>
      <c r="X39" s="198"/>
      <c r="Y39" s="42"/>
      <c r="Z39" s="42"/>
      <c r="AA39" s="2"/>
      <c r="AB39" s="567">
        <f t="shared" si="149"/>
        <v>0</v>
      </c>
      <c r="AC39" s="567"/>
      <c r="AD39" s="568"/>
      <c r="AE39" s="569"/>
      <c r="AF39" s="569"/>
      <c r="AG39" s="567"/>
      <c r="AH39" s="570"/>
      <c r="AI39" s="567"/>
      <c r="AJ39" s="567"/>
      <c r="AK39" s="568"/>
      <c r="AL39" s="567"/>
      <c r="AM39" s="570"/>
      <c r="AN39" s="567"/>
      <c r="AO39" s="567"/>
      <c r="AP39" s="568"/>
      <c r="AQ39" s="567"/>
      <c r="AR39" s="570"/>
      <c r="AS39" s="567"/>
      <c r="AT39" s="567"/>
      <c r="AU39" s="568"/>
      <c r="AV39" s="567"/>
      <c r="AW39" s="570"/>
      <c r="AX39" s="425"/>
      <c r="AY39" s="567">
        <f t="shared" si="150"/>
        <v>0</v>
      </c>
      <c r="AZ39" s="567"/>
      <c r="BA39" s="578"/>
      <c r="BB39" s="578"/>
      <c r="BC39" s="571"/>
      <c r="BD39" s="567"/>
      <c r="BE39" s="567"/>
      <c r="BF39" s="567">
        <f t="shared" si="32"/>
        <v>0</v>
      </c>
      <c r="BG39" s="567">
        <f t="shared" si="33"/>
        <v>0</v>
      </c>
      <c r="BH39" s="567">
        <f t="shared" si="34"/>
        <v>0</v>
      </c>
      <c r="BI39" s="567">
        <f t="shared" si="35"/>
        <v>0</v>
      </c>
      <c r="BJ39" s="567">
        <f t="shared" si="36"/>
        <v>0</v>
      </c>
      <c r="BK39" s="567">
        <f t="shared" si="37"/>
        <v>0</v>
      </c>
      <c r="BL39" s="567" t="e">
        <f>#REF!-BE39</f>
        <v>#REF!</v>
      </c>
      <c r="BM39" s="567">
        <f t="shared" si="152"/>
        <v>273.7</v>
      </c>
      <c r="BN39" s="567"/>
      <c r="BO39" s="568">
        <v>273.7</v>
      </c>
      <c r="BP39" s="567"/>
      <c r="BQ39" s="567"/>
      <c r="BR39" s="567">
        <f t="shared" si="153"/>
        <v>0</v>
      </c>
      <c r="BS39" s="567"/>
      <c r="BT39" s="568"/>
      <c r="BU39" s="567"/>
      <c r="BV39" s="567"/>
      <c r="BW39" s="567">
        <f t="shared" si="154"/>
        <v>0</v>
      </c>
      <c r="BX39" s="567"/>
      <c r="BY39" s="578">
        <f t="shared" si="38"/>
        <v>0</v>
      </c>
      <c r="BZ39" s="571"/>
      <c r="CA39" s="571"/>
      <c r="CB39" s="567"/>
      <c r="CC39" s="567"/>
      <c r="CD39" s="567">
        <f t="shared" si="155"/>
        <v>0</v>
      </c>
      <c r="CE39" s="567"/>
      <c r="CF39" s="578">
        <f t="shared" si="39"/>
        <v>0</v>
      </c>
      <c r="CG39" s="571"/>
      <c r="CH39" s="571"/>
      <c r="CI39" s="567"/>
      <c r="CJ39" s="567"/>
      <c r="CK39" s="567">
        <f t="shared" si="156"/>
        <v>0</v>
      </c>
      <c r="CL39" s="567"/>
      <c r="CM39" s="577">
        <f t="shared" si="102"/>
        <v>0</v>
      </c>
      <c r="CN39" s="582"/>
      <c r="CO39" s="582"/>
      <c r="CP39" s="567"/>
      <c r="CQ39" s="567"/>
      <c r="CR39" s="573">
        <f t="shared" si="157"/>
        <v>0</v>
      </c>
      <c r="CS39" s="567">
        <f t="shared" si="40"/>
        <v>0</v>
      </c>
      <c r="CT39" s="567">
        <f t="shared" si="41"/>
        <v>0</v>
      </c>
      <c r="CU39" s="567">
        <f t="shared" si="42"/>
        <v>0</v>
      </c>
      <c r="CV39" s="567">
        <f t="shared" si="43"/>
        <v>0</v>
      </c>
      <c r="CW39" s="567">
        <f t="shared" si="158"/>
        <v>0</v>
      </c>
      <c r="CX39" s="567">
        <f t="shared" ca="1" si="182"/>
        <v>0</v>
      </c>
      <c r="CY39" s="567">
        <f t="shared" si="44"/>
        <v>0</v>
      </c>
      <c r="CZ39" s="567">
        <f t="shared" si="45"/>
        <v>0</v>
      </c>
      <c r="DA39" s="567">
        <f t="shared" si="46"/>
        <v>0</v>
      </c>
      <c r="DB39" s="2">
        <f t="shared" si="159"/>
        <v>0</v>
      </c>
      <c r="DC39" s="76"/>
      <c r="DD39" s="253"/>
      <c r="DE39" s="253"/>
      <c r="DF39" s="2">
        <f t="shared" si="160"/>
        <v>0</v>
      </c>
      <c r="DG39" s="2"/>
      <c r="DH39" s="198"/>
      <c r="DI39" s="2"/>
      <c r="DJ39" s="2"/>
      <c r="DK39" s="2">
        <f t="shared" si="161"/>
        <v>0</v>
      </c>
      <c r="DL39" s="2"/>
      <c r="DM39" s="198"/>
      <c r="DN39" s="2"/>
      <c r="DO39" s="2"/>
      <c r="DP39" s="2">
        <f t="shared" si="162"/>
        <v>0</v>
      </c>
      <c r="DQ39" s="2">
        <f t="shared" si="163"/>
        <v>0</v>
      </c>
      <c r="DR39" s="2">
        <f t="shared" si="163"/>
        <v>0</v>
      </c>
      <c r="DS39" s="2">
        <f t="shared" si="163"/>
        <v>0</v>
      </c>
      <c r="DT39" s="2">
        <f t="shared" si="163"/>
        <v>0</v>
      </c>
      <c r="DU39" s="2"/>
      <c r="DV39" s="2"/>
      <c r="DW39" s="2"/>
      <c r="DX39" s="2">
        <f t="shared" ca="1" si="164"/>
        <v>0</v>
      </c>
      <c r="DY39" s="46"/>
      <c r="DZ39" s="2">
        <f t="shared" si="165"/>
        <v>0</v>
      </c>
      <c r="EA39" s="2">
        <f t="shared" si="166"/>
        <v>0</v>
      </c>
      <c r="EB39" s="46"/>
      <c r="EC39" s="2"/>
      <c r="ED39" s="2"/>
      <c r="EE39" s="46"/>
      <c r="EF39" s="2"/>
      <c r="EG39" s="46"/>
      <c r="EH39" s="46"/>
      <c r="EI39" s="2">
        <f t="shared" si="10"/>
        <v>0</v>
      </c>
      <c r="EJ39" s="2"/>
      <c r="EK39" s="433">
        <f t="shared" si="48"/>
        <v>0</v>
      </c>
      <c r="EL39" s="446"/>
      <c r="EM39" s="446"/>
      <c r="EN39" s="2"/>
      <c r="EO39" s="2"/>
      <c r="EP39" s="2">
        <f t="shared" si="14"/>
        <v>0</v>
      </c>
      <c r="EQ39" s="2"/>
      <c r="ER39" s="236">
        <f t="shared" si="104"/>
        <v>0</v>
      </c>
      <c r="ES39" s="235"/>
      <c r="ET39" s="235"/>
      <c r="EU39" s="2"/>
      <c r="EV39" s="141"/>
      <c r="EW39" s="310"/>
      <c r="EX39" s="310"/>
      <c r="EY39" s="312"/>
      <c r="EZ39" s="396"/>
      <c r="FA39" s="396"/>
      <c r="FB39" s="310"/>
      <c r="FC39" s="310"/>
      <c r="FD39" s="312"/>
      <c r="FE39" s="396"/>
      <c r="FF39" s="396"/>
      <c r="FG39" s="396"/>
      <c r="FH39" s="311"/>
      <c r="FI39" s="310"/>
      <c r="FJ39" s="296" t="e">
        <f t="shared" si="167"/>
        <v>#DIV/0!</v>
      </c>
      <c r="FK39" s="353">
        <f t="shared" si="73"/>
        <v>0</v>
      </c>
      <c r="FL39" s="353">
        <f t="shared" si="183"/>
        <v>0</v>
      </c>
      <c r="FM39" s="354"/>
      <c r="FN39" s="388" t="e">
        <f t="shared" si="168"/>
        <v>#DIV/0!</v>
      </c>
      <c r="FO39" s="388" t="e">
        <f t="shared" si="169"/>
        <v>#DIV/0!</v>
      </c>
      <c r="FP39" s="353">
        <f t="shared" si="75"/>
        <v>0</v>
      </c>
      <c r="FQ39" s="353">
        <f t="shared" si="170"/>
        <v>0</v>
      </c>
      <c r="FR39" s="354">
        <f t="shared" si="171"/>
        <v>0</v>
      </c>
      <c r="FS39" s="388" t="e">
        <f t="shared" si="172"/>
        <v>#DIV/0!</v>
      </c>
      <c r="FT39" s="388" t="e">
        <f t="shared" si="173"/>
        <v>#DIV/0!</v>
      </c>
      <c r="FU39" s="388"/>
      <c r="FV39" s="353" t="e">
        <f t="shared" si="113"/>
        <v>#DIV/0!</v>
      </c>
      <c r="FW39" s="353" t="e">
        <f t="shared" si="77"/>
        <v>#DIV/0!</v>
      </c>
      <c r="FX39" s="310"/>
      <c r="FY39" s="310"/>
      <c r="FZ39" s="312"/>
      <c r="GA39" s="396"/>
      <c r="GB39" s="396"/>
      <c r="GC39" s="310"/>
      <c r="GD39" s="310"/>
      <c r="GE39" s="312"/>
      <c r="GF39" s="396"/>
      <c r="GG39" s="396"/>
      <c r="GH39" s="396"/>
      <c r="GI39" s="311"/>
      <c r="GJ39" s="344"/>
      <c r="GK39" s="303" t="e">
        <f t="shared" si="30"/>
        <v>#DIV/0!</v>
      </c>
    </row>
    <row r="40" spans="2:193" s="37" customFormat="1" ht="15.75" hidden="1" customHeight="1" x14ac:dyDescent="0.25">
      <c r="B40" s="29"/>
      <c r="C40" s="30"/>
      <c r="D40" s="30">
        <v>1</v>
      </c>
      <c r="E40" s="493">
        <v>28</v>
      </c>
      <c r="F40" s="29"/>
      <c r="G40" s="30"/>
      <c r="H40" s="30">
        <v>1</v>
      </c>
      <c r="M40" s="493">
        <v>28</v>
      </c>
      <c r="N40" s="494" t="s">
        <v>87</v>
      </c>
      <c r="O40" s="494"/>
      <c r="P40" s="494">
        <f t="shared" si="49"/>
        <v>0</v>
      </c>
      <c r="Q40" s="494"/>
      <c r="R40" s="494"/>
      <c r="S40" s="494"/>
      <c r="T40" s="156"/>
      <c r="U40" s="493"/>
      <c r="V40" s="2">
        <f t="shared" si="31"/>
        <v>0</v>
      </c>
      <c r="W40" s="2"/>
      <c r="X40" s="198"/>
      <c r="Y40" s="42"/>
      <c r="Z40" s="42"/>
      <c r="AA40" s="2"/>
      <c r="AB40" s="567">
        <f t="shared" si="149"/>
        <v>0</v>
      </c>
      <c r="AC40" s="567"/>
      <c r="AD40" s="568"/>
      <c r="AE40" s="569"/>
      <c r="AF40" s="569"/>
      <c r="AG40" s="567"/>
      <c r="AH40" s="570"/>
      <c r="AI40" s="567"/>
      <c r="AJ40" s="567"/>
      <c r="AK40" s="568"/>
      <c r="AL40" s="567"/>
      <c r="AM40" s="570"/>
      <c r="AN40" s="567"/>
      <c r="AO40" s="567"/>
      <c r="AP40" s="568"/>
      <c r="AQ40" s="567"/>
      <c r="AR40" s="570"/>
      <c r="AS40" s="567"/>
      <c r="AT40" s="567"/>
      <c r="AU40" s="568"/>
      <c r="AV40" s="567"/>
      <c r="AW40" s="570"/>
      <c r="AX40" s="409"/>
      <c r="AY40" s="567">
        <f t="shared" si="150"/>
        <v>0</v>
      </c>
      <c r="AZ40" s="567"/>
      <c r="BA40" s="578"/>
      <c r="BB40" s="578"/>
      <c r="BC40" s="571"/>
      <c r="BD40" s="567"/>
      <c r="BE40" s="567"/>
      <c r="BF40" s="567">
        <f t="shared" si="32"/>
        <v>0</v>
      </c>
      <c r="BG40" s="567">
        <f t="shared" si="33"/>
        <v>0</v>
      </c>
      <c r="BH40" s="567">
        <f t="shared" si="34"/>
        <v>0</v>
      </c>
      <c r="BI40" s="567">
        <f t="shared" si="35"/>
        <v>0</v>
      </c>
      <c r="BJ40" s="567">
        <f t="shared" si="36"/>
        <v>0</v>
      </c>
      <c r="BK40" s="567">
        <f t="shared" si="37"/>
        <v>0</v>
      </c>
      <c r="BL40" s="567" t="e">
        <f>#REF!-BE40</f>
        <v>#REF!</v>
      </c>
      <c r="BM40" s="567">
        <f t="shared" si="152"/>
        <v>0</v>
      </c>
      <c r="BN40" s="567"/>
      <c r="BO40" s="568"/>
      <c r="BP40" s="567"/>
      <c r="BQ40" s="567"/>
      <c r="BR40" s="567">
        <f t="shared" si="153"/>
        <v>0</v>
      </c>
      <c r="BS40" s="567"/>
      <c r="BT40" s="568"/>
      <c r="BU40" s="567"/>
      <c r="BV40" s="567"/>
      <c r="BW40" s="567">
        <f t="shared" si="154"/>
        <v>0</v>
      </c>
      <c r="BX40" s="567"/>
      <c r="BY40" s="577">
        <f t="shared" si="38"/>
        <v>0</v>
      </c>
      <c r="BZ40" s="582"/>
      <c r="CA40" s="582"/>
      <c r="CB40" s="567"/>
      <c r="CC40" s="567"/>
      <c r="CD40" s="567">
        <f t="shared" si="155"/>
        <v>0</v>
      </c>
      <c r="CE40" s="567"/>
      <c r="CF40" s="577">
        <f t="shared" si="39"/>
        <v>0</v>
      </c>
      <c r="CG40" s="582"/>
      <c r="CH40" s="582"/>
      <c r="CI40" s="567"/>
      <c r="CJ40" s="567"/>
      <c r="CK40" s="567">
        <f t="shared" si="156"/>
        <v>0</v>
      </c>
      <c r="CL40" s="567"/>
      <c r="CM40" s="577">
        <f t="shared" si="102"/>
        <v>0</v>
      </c>
      <c r="CN40" s="582"/>
      <c r="CO40" s="582"/>
      <c r="CP40" s="567"/>
      <c r="CQ40" s="567"/>
      <c r="CR40" s="573">
        <f t="shared" si="157"/>
        <v>0</v>
      </c>
      <c r="CS40" s="567">
        <f t="shared" si="40"/>
        <v>0</v>
      </c>
      <c r="CT40" s="567">
        <f t="shared" si="41"/>
        <v>0</v>
      </c>
      <c r="CU40" s="567">
        <f t="shared" si="42"/>
        <v>0</v>
      </c>
      <c r="CV40" s="567">
        <f t="shared" si="43"/>
        <v>0</v>
      </c>
      <c r="CW40" s="567">
        <f t="shared" si="158"/>
        <v>0</v>
      </c>
      <c r="CX40" s="567">
        <f t="shared" ca="1" si="182"/>
        <v>0</v>
      </c>
      <c r="CY40" s="567">
        <f t="shared" si="44"/>
        <v>0</v>
      </c>
      <c r="CZ40" s="567">
        <f t="shared" si="45"/>
        <v>0</v>
      </c>
      <c r="DA40" s="567">
        <f t="shared" si="46"/>
        <v>0</v>
      </c>
      <c r="DB40" s="2">
        <f t="shared" si="159"/>
        <v>0</v>
      </c>
      <c r="DC40" s="76"/>
      <c r="DD40" s="253"/>
      <c r="DE40" s="253"/>
      <c r="DF40" s="2">
        <f t="shared" si="160"/>
        <v>0</v>
      </c>
      <c r="DG40" s="2"/>
      <c r="DH40" s="198"/>
      <c r="DI40" s="2"/>
      <c r="DJ40" s="2"/>
      <c r="DK40" s="2">
        <f t="shared" si="161"/>
        <v>0</v>
      </c>
      <c r="DL40" s="2"/>
      <c r="DM40" s="198"/>
      <c r="DN40" s="2"/>
      <c r="DO40" s="2"/>
      <c r="DP40" s="2">
        <f t="shared" si="162"/>
        <v>0</v>
      </c>
      <c r="DQ40" s="2">
        <f t="shared" si="163"/>
        <v>0</v>
      </c>
      <c r="DR40" s="2">
        <f t="shared" si="163"/>
        <v>0</v>
      </c>
      <c r="DS40" s="2">
        <f t="shared" si="163"/>
        <v>0</v>
      </c>
      <c r="DT40" s="2">
        <f t="shared" si="163"/>
        <v>0</v>
      </c>
      <c r="DU40" s="2"/>
      <c r="DV40" s="2"/>
      <c r="DW40" s="2"/>
      <c r="DX40" s="2">
        <f t="shared" ca="1" si="164"/>
        <v>0</v>
      </c>
      <c r="DY40" s="46"/>
      <c r="DZ40" s="2">
        <f t="shared" si="165"/>
        <v>0</v>
      </c>
      <c r="EA40" s="2">
        <f t="shared" si="166"/>
        <v>0</v>
      </c>
      <c r="EB40" s="46"/>
      <c r="EC40" s="2"/>
      <c r="ED40" s="2"/>
      <c r="EE40" s="46"/>
      <c r="EF40" s="2"/>
      <c r="EG40" s="46"/>
      <c r="EH40" s="46"/>
      <c r="EI40" s="2">
        <f t="shared" si="10"/>
        <v>0</v>
      </c>
      <c r="EJ40" s="2"/>
      <c r="EK40" s="236">
        <f t="shared" si="48"/>
        <v>0</v>
      </c>
      <c r="EL40" s="235"/>
      <c r="EM40" s="235"/>
      <c r="EN40" s="2"/>
      <c r="EO40" s="2"/>
      <c r="EP40" s="2">
        <f t="shared" si="14"/>
        <v>0</v>
      </c>
      <c r="EQ40" s="2"/>
      <c r="ER40" s="236">
        <f t="shared" si="104"/>
        <v>0</v>
      </c>
      <c r="ES40" s="235"/>
      <c r="ET40" s="235"/>
      <c r="EU40" s="2"/>
      <c r="EV40" s="141"/>
      <c r="EW40" s="310"/>
      <c r="EX40" s="310"/>
      <c r="EY40" s="312"/>
      <c r="EZ40" s="396"/>
      <c r="FA40" s="396"/>
      <c r="FB40" s="310"/>
      <c r="FC40" s="310"/>
      <c r="FD40" s="312"/>
      <c r="FE40" s="396"/>
      <c r="FF40" s="396"/>
      <c r="FG40" s="396"/>
      <c r="FH40" s="311"/>
      <c r="FI40" s="310"/>
      <c r="FJ40" s="296" t="e">
        <f t="shared" si="167"/>
        <v>#DIV/0!</v>
      </c>
      <c r="FK40" s="353">
        <f t="shared" si="73"/>
        <v>0</v>
      </c>
      <c r="FL40" s="353">
        <f t="shared" si="183"/>
        <v>0</v>
      </c>
      <c r="FM40" s="354"/>
      <c r="FN40" s="388" t="e">
        <f t="shared" si="168"/>
        <v>#DIV/0!</v>
      </c>
      <c r="FO40" s="388" t="e">
        <f t="shared" si="169"/>
        <v>#DIV/0!</v>
      </c>
      <c r="FP40" s="353">
        <f t="shared" si="75"/>
        <v>0</v>
      </c>
      <c r="FQ40" s="353">
        <f t="shared" si="170"/>
        <v>0</v>
      </c>
      <c r="FR40" s="354">
        <f t="shared" si="171"/>
        <v>0</v>
      </c>
      <c r="FS40" s="388" t="e">
        <f t="shared" si="172"/>
        <v>#DIV/0!</v>
      </c>
      <c r="FT40" s="388" t="e">
        <f t="shared" si="173"/>
        <v>#DIV/0!</v>
      </c>
      <c r="FU40" s="388"/>
      <c r="FV40" s="353" t="e">
        <f t="shared" si="113"/>
        <v>#DIV/0!</v>
      </c>
      <c r="FW40" s="353" t="e">
        <f t="shared" si="77"/>
        <v>#DIV/0!</v>
      </c>
      <c r="FX40" s="310">
        <f t="shared" si="174"/>
        <v>0</v>
      </c>
      <c r="FY40" s="310">
        <f>BD40</f>
        <v>0</v>
      </c>
      <c r="FZ40" s="312"/>
      <c r="GA40" s="396" t="e">
        <f t="shared" si="175"/>
        <v>#DIV/0!</v>
      </c>
      <c r="GB40" s="396" t="e">
        <f t="shared" si="176"/>
        <v>#DIV/0!</v>
      </c>
      <c r="GC40" s="310">
        <f t="shared" si="80"/>
        <v>0</v>
      </c>
      <c r="GD40" s="310">
        <f t="shared" si="177"/>
        <v>0</v>
      </c>
      <c r="GE40" s="312">
        <f t="shared" si="178"/>
        <v>0</v>
      </c>
      <c r="GF40" s="396" t="e">
        <f t="shared" si="179"/>
        <v>#DIV/0!</v>
      </c>
      <c r="GG40" s="396" t="e">
        <f t="shared" si="180"/>
        <v>#DIV/0!</v>
      </c>
      <c r="GH40" s="396"/>
      <c r="GI40" s="311" t="e">
        <f t="shared" si="181"/>
        <v>#DIV/0!</v>
      </c>
      <c r="GJ40" s="344" t="e">
        <f t="shared" si="82"/>
        <v>#DIV/0!</v>
      </c>
      <c r="GK40" s="303" t="e">
        <f t="shared" si="30"/>
        <v>#DIV/0!</v>
      </c>
    </row>
    <row r="41" spans="2:193" s="115" customFormat="1" ht="15.75" customHeight="1" x14ac:dyDescent="0.2">
      <c r="B41" s="109"/>
      <c r="C41" s="110"/>
      <c r="D41" s="110"/>
      <c r="E41" s="111"/>
      <c r="F41" s="109"/>
      <c r="G41" s="110"/>
      <c r="H41" s="110"/>
      <c r="I41" s="735" t="s">
        <v>259</v>
      </c>
      <c r="J41" s="736"/>
      <c r="K41" s="736"/>
      <c r="L41" s="736"/>
      <c r="M41" s="111"/>
      <c r="N41" s="114" t="s">
        <v>15</v>
      </c>
      <c r="O41" s="114"/>
      <c r="P41" s="114">
        <f t="shared" si="49"/>
        <v>0</v>
      </c>
      <c r="Q41" s="114"/>
      <c r="R41" s="114"/>
      <c r="S41" s="114"/>
      <c r="T41" s="158">
        <f>T42+T43+T44+T45+T46+T47+T48+T49+T50+T51+T52+T53+T54+T55+T56+T57+T58</f>
        <v>35</v>
      </c>
      <c r="U41" s="158">
        <f>U42+U43+U44+U45+U46+U47+U48+U49+U50+U51+U52+U53+U54+U55+U56+U57+U58</f>
        <v>10</v>
      </c>
      <c r="V41" s="57">
        <f t="shared" si="31"/>
        <v>153869.52731999999</v>
      </c>
      <c r="W41" s="57">
        <f t="shared" ref="W41:AA41" si="201">SUM(W42:W58)-W43</f>
        <v>0</v>
      </c>
      <c r="X41" s="57">
        <f t="shared" si="201"/>
        <v>48062.8</v>
      </c>
      <c r="Y41" s="57">
        <f t="shared" si="201"/>
        <v>15354.300000000001</v>
      </c>
      <c r="Z41" s="57">
        <f t="shared" si="201"/>
        <v>32708.499999999996</v>
      </c>
      <c r="AA41" s="57">
        <f t="shared" si="201"/>
        <v>105806.72731999999</v>
      </c>
      <c r="AB41" s="564">
        <f t="shared" ref="AB41:AH41" si="202">SUM(AB42:AB58)-AB43</f>
        <v>153869.52731999999</v>
      </c>
      <c r="AC41" s="564">
        <f t="shared" si="202"/>
        <v>0</v>
      </c>
      <c r="AD41" s="564">
        <f t="shared" si="202"/>
        <v>48062.8</v>
      </c>
      <c r="AE41" s="564">
        <f t="shared" si="202"/>
        <v>15354.300000000001</v>
      </c>
      <c r="AF41" s="564">
        <f t="shared" si="202"/>
        <v>32708.499999999996</v>
      </c>
      <c r="AG41" s="564">
        <f t="shared" si="202"/>
        <v>105806.72731999999</v>
      </c>
      <c r="AH41" s="564">
        <f t="shared" si="202"/>
        <v>0</v>
      </c>
      <c r="AI41" s="564">
        <f t="shared" ref="AI41:AM41" si="203">SUM(AI42:AI58)-AI43</f>
        <v>0</v>
      </c>
      <c r="AJ41" s="564">
        <f t="shared" si="203"/>
        <v>0</v>
      </c>
      <c r="AK41" s="564">
        <f t="shared" si="203"/>
        <v>0</v>
      </c>
      <c r="AL41" s="564">
        <f t="shared" si="203"/>
        <v>0</v>
      </c>
      <c r="AM41" s="564">
        <f t="shared" si="203"/>
        <v>0</v>
      </c>
      <c r="AN41" s="564">
        <f t="shared" ref="AN41:AR41" si="204">SUM(AN42:AN58)-AN43</f>
        <v>0</v>
      </c>
      <c r="AO41" s="564">
        <f t="shared" si="204"/>
        <v>0</v>
      </c>
      <c r="AP41" s="564">
        <f t="shared" si="204"/>
        <v>0</v>
      </c>
      <c r="AQ41" s="564">
        <f t="shared" si="204"/>
        <v>0</v>
      </c>
      <c r="AR41" s="564">
        <f t="shared" si="204"/>
        <v>0</v>
      </c>
      <c r="AS41" s="566">
        <f t="shared" ref="AS41:AW41" si="205">SUM(AS42:AS58)-AS43</f>
        <v>0</v>
      </c>
      <c r="AT41" s="564">
        <f t="shared" si="205"/>
        <v>0</v>
      </c>
      <c r="AU41" s="564">
        <f t="shared" si="205"/>
        <v>0</v>
      </c>
      <c r="AV41" s="564">
        <f t="shared" si="205"/>
        <v>0</v>
      </c>
      <c r="AW41" s="564">
        <f t="shared" si="205"/>
        <v>0</v>
      </c>
      <c r="AX41" s="565"/>
      <c r="AY41" s="564">
        <f t="shared" ref="AY41:BD41" si="206">SUM(AY42:AY58)-AY43</f>
        <v>152225.84393999996</v>
      </c>
      <c r="AZ41" s="564"/>
      <c r="BA41" s="564">
        <f t="shared" ref="BA41" si="207">SUM(BA42:BA58)-BA43</f>
        <v>47805.054199999999</v>
      </c>
      <c r="BB41" s="564">
        <f t="shared" ref="BB41:BC41" si="208">SUM(BB42:BB58)-BB43</f>
        <v>15096.5542</v>
      </c>
      <c r="BC41" s="564">
        <f t="shared" si="208"/>
        <v>32708.499999999996</v>
      </c>
      <c r="BD41" s="564">
        <f t="shared" si="206"/>
        <v>104420.78973999999</v>
      </c>
      <c r="BE41" s="564">
        <f>SUM(BE42:BE58)-BE43</f>
        <v>0</v>
      </c>
      <c r="BF41" s="564">
        <f t="shared" si="32"/>
        <v>1643.6833799999986</v>
      </c>
      <c r="BG41" s="564">
        <f t="shared" si="33"/>
        <v>0</v>
      </c>
      <c r="BH41" s="564">
        <f t="shared" si="34"/>
        <v>257.7458000000006</v>
      </c>
      <c r="BI41" s="564">
        <f t="shared" si="35"/>
        <v>257.7458000000006</v>
      </c>
      <c r="BJ41" s="564">
        <f t="shared" si="36"/>
        <v>0</v>
      </c>
      <c r="BK41" s="564">
        <f t="shared" si="37"/>
        <v>1385.937579999998</v>
      </c>
      <c r="BL41" s="564" t="e">
        <f t="shared" ref="BL41:BQ41" si="209">SUM(BL42:BL58)-BL43</f>
        <v>#REF!</v>
      </c>
      <c r="BM41" s="564">
        <f t="shared" si="209"/>
        <v>40010.564320000005</v>
      </c>
      <c r="BN41" s="564">
        <f t="shared" si="209"/>
        <v>5729.0403200000001</v>
      </c>
      <c r="BO41" s="564">
        <f t="shared" si="209"/>
        <v>14818.014999999999</v>
      </c>
      <c r="BP41" s="564">
        <f t="shared" si="209"/>
        <v>19463.509000000002</v>
      </c>
      <c r="BQ41" s="564">
        <f t="shared" si="209"/>
        <v>0</v>
      </c>
      <c r="BR41" s="564">
        <f t="shared" ref="BR41:DB41" si="210">SUM(BR42:BR58)-BR43</f>
        <v>0</v>
      </c>
      <c r="BS41" s="564">
        <f t="shared" si="210"/>
        <v>0</v>
      </c>
      <c r="BT41" s="564">
        <f t="shared" si="210"/>
        <v>0</v>
      </c>
      <c r="BU41" s="564">
        <f t="shared" si="210"/>
        <v>0</v>
      </c>
      <c r="BV41" s="564">
        <f t="shared" si="210"/>
        <v>0</v>
      </c>
      <c r="BW41" s="564">
        <f t="shared" si="210"/>
        <v>141888.07433999999</v>
      </c>
      <c r="BX41" s="564">
        <f t="shared" si="210"/>
        <v>0</v>
      </c>
      <c r="BY41" s="564">
        <f t="shared" si="38"/>
        <v>42851.79187999999</v>
      </c>
      <c r="BZ41" s="564">
        <f t="shared" si="210"/>
        <v>13424.71617</v>
      </c>
      <c r="CA41" s="564">
        <f t="shared" si="210"/>
        <v>29427.075709999994</v>
      </c>
      <c r="CB41" s="564">
        <f t="shared" si="210"/>
        <v>99036.282460000002</v>
      </c>
      <c r="CC41" s="564">
        <f t="shared" si="210"/>
        <v>0</v>
      </c>
      <c r="CD41" s="564">
        <f t="shared" si="210"/>
        <v>141888.07433999999</v>
      </c>
      <c r="CE41" s="564">
        <f t="shared" ref="CE41" si="211">SUM(CE42:CE58)-CE43</f>
        <v>0</v>
      </c>
      <c r="CF41" s="564">
        <f t="shared" si="39"/>
        <v>42851.79187999999</v>
      </c>
      <c r="CG41" s="564">
        <f t="shared" ref="CG41:CH41" si="212">SUM(CG42:CG58)-CG43</f>
        <v>13424.71617</v>
      </c>
      <c r="CH41" s="564">
        <f t="shared" si="212"/>
        <v>29427.075709999994</v>
      </c>
      <c r="CI41" s="564">
        <f t="shared" ref="CI41" si="213">SUM(CI42:CI58)-CI43</f>
        <v>99036.282460000002</v>
      </c>
      <c r="CJ41" s="564">
        <f t="shared" si="210"/>
        <v>0</v>
      </c>
      <c r="CK41" s="566">
        <f t="shared" si="210"/>
        <v>23339.04421</v>
      </c>
      <c r="CL41" s="564">
        <f t="shared" si="210"/>
        <v>0</v>
      </c>
      <c r="CM41" s="564">
        <f>SUM(CM42:CM58)</f>
        <v>11665.39645</v>
      </c>
      <c r="CN41" s="564">
        <f t="shared" si="210"/>
        <v>3865.8727800000001</v>
      </c>
      <c r="CO41" s="564">
        <f t="shared" si="210"/>
        <v>4270.6927500000011</v>
      </c>
      <c r="CP41" s="564">
        <f t="shared" si="210"/>
        <v>11673.647760000002</v>
      </c>
      <c r="CQ41" s="564">
        <f t="shared" si="210"/>
        <v>0</v>
      </c>
      <c r="CR41" s="564">
        <f t="shared" si="210"/>
        <v>165227.11854999996</v>
      </c>
      <c r="CS41" s="564">
        <f t="shared" si="40"/>
        <v>165227.11855000001</v>
      </c>
      <c r="CT41" s="564">
        <f t="shared" si="41"/>
        <v>0</v>
      </c>
      <c r="CU41" s="564">
        <f t="shared" si="42"/>
        <v>54517.18832999999</v>
      </c>
      <c r="CV41" s="564">
        <f t="shared" si="43"/>
        <v>110709.93022000001</v>
      </c>
      <c r="CW41" s="564">
        <f t="shared" si="210"/>
        <v>0</v>
      </c>
      <c r="CX41" s="564">
        <f t="shared" ca="1" si="182"/>
        <v>0</v>
      </c>
      <c r="CY41" s="564">
        <f t="shared" si="44"/>
        <v>0</v>
      </c>
      <c r="CZ41" s="564">
        <f t="shared" si="45"/>
        <v>0</v>
      </c>
      <c r="DA41" s="564">
        <f t="shared" si="46"/>
        <v>0</v>
      </c>
      <c r="DB41" s="57">
        <f t="shared" si="210"/>
        <v>0</v>
      </c>
      <c r="DC41" s="225">
        <f>DD41+DF41-BR41</f>
        <v>40010.564319999998</v>
      </c>
      <c r="DD41" s="226">
        <f t="shared" ref="DD41:DX41" si="214">SUM(DD42:DD58)-DD43</f>
        <v>40010.564319999998</v>
      </c>
      <c r="DE41" s="226">
        <f t="shared" si="214"/>
        <v>40010.564319999998</v>
      </c>
      <c r="DF41" s="57">
        <f t="shared" si="214"/>
        <v>0</v>
      </c>
      <c r="DG41" s="57">
        <f t="shared" si="214"/>
        <v>0</v>
      </c>
      <c r="DH41" s="57">
        <f t="shared" si="214"/>
        <v>0</v>
      </c>
      <c r="DI41" s="57">
        <f t="shared" si="214"/>
        <v>0</v>
      </c>
      <c r="DJ41" s="57">
        <f t="shared" si="214"/>
        <v>0</v>
      </c>
      <c r="DK41" s="57">
        <f t="shared" si="214"/>
        <v>0</v>
      </c>
      <c r="DL41" s="57">
        <f t="shared" si="214"/>
        <v>0</v>
      </c>
      <c r="DM41" s="57">
        <f t="shared" si="214"/>
        <v>0</v>
      </c>
      <c r="DN41" s="57">
        <f t="shared" si="214"/>
        <v>0</v>
      </c>
      <c r="DO41" s="57">
        <f t="shared" si="214"/>
        <v>0</v>
      </c>
      <c r="DP41" s="57">
        <f t="shared" si="214"/>
        <v>0</v>
      </c>
      <c r="DQ41" s="57">
        <f t="shared" si="214"/>
        <v>0</v>
      </c>
      <c r="DR41" s="57">
        <f t="shared" si="214"/>
        <v>0</v>
      </c>
      <c r="DS41" s="57">
        <f t="shared" si="214"/>
        <v>0</v>
      </c>
      <c r="DT41" s="57">
        <f t="shared" si="214"/>
        <v>0</v>
      </c>
      <c r="DU41" s="57">
        <f t="shared" si="214"/>
        <v>0</v>
      </c>
      <c r="DV41" s="57">
        <f t="shared" si="214"/>
        <v>0</v>
      </c>
      <c r="DW41" s="57">
        <f t="shared" si="214"/>
        <v>0</v>
      </c>
      <c r="DX41" s="57">
        <f t="shared" ca="1" si="214"/>
        <v>0</v>
      </c>
      <c r="DY41" s="124"/>
      <c r="DZ41" s="57">
        <f>SUM(DZ42:DZ58)-DZ43</f>
        <v>141888.07433999999</v>
      </c>
      <c r="EA41" s="57">
        <f>SUM(EA42:EA58)-EA43</f>
        <v>141888.07433999999</v>
      </c>
      <c r="EB41" s="124"/>
      <c r="EC41" s="57">
        <f>SUM(EC42:EC58)-EC43</f>
        <v>141888.07433999999</v>
      </c>
      <c r="ED41" s="57">
        <f ca="1">SUM(ED42:ED58)-ED43</f>
        <v>0</v>
      </c>
      <c r="EE41" s="124"/>
      <c r="EF41" s="57">
        <f>SUM(EF42:EF58)-EF43</f>
        <v>-101877.51002</v>
      </c>
      <c r="EG41" s="124">
        <f ca="1">DX41-EF41</f>
        <v>101877.51002</v>
      </c>
      <c r="EH41" s="124"/>
      <c r="EI41" s="57">
        <f t="shared" si="10"/>
        <v>141888.07433999999</v>
      </c>
      <c r="EJ41" s="57">
        <f t="shared" ref="EJ41:EN41" si="215">SUM(EJ42:EJ58)-EJ43</f>
        <v>0</v>
      </c>
      <c r="EK41" s="57">
        <f t="shared" si="48"/>
        <v>42851.79187999999</v>
      </c>
      <c r="EL41" s="57">
        <f t="shared" ref="EL41:EM41" si="216">SUM(EL42:EL58)-EL43</f>
        <v>13424.71617</v>
      </c>
      <c r="EM41" s="57">
        <f t="shared" si="216"/>
        <v>29427.075709999994</v>
      </c>
      <c r="EN41" s="57">
        <f t="shared" si="215"/>
        <v>99036.282460000002</v>
      </c>
      <c r="EO41" s="57">
        <f t="shared" ref="EO41" si="217">SUM(EO42:EO58)-EO43</f>
        <v>0</v>
      </c>
      <c r="EP41" s="57">
        <f t="shared" si="14"/>
        <v>23339.04421</v>
      </c>
      <c r="EQ41" s="57">
        <f t="shared" ref="EQ41" si="218">SUM(EQ42:EQ58)-EQ43</f>
        <v>0</v>
      </c>
      <c r="ER41" s="57">
        <f>SUM(ER42:ER58)</f>
        <v>11665.39645</v>
      </c>
      <c r="ES41" s="57">
        <f t="shared" ref="ES41:EU41" si="219">SUM(ES42:ES58)-ES43</f>
        <v>5821.65434</v>
      </c>
      <c r="ET41" s="57">
        <f t="shared" si="219"/>
        <v>5843.7421100000001</v>
      </c>
      <c r="EU41" s="57">
        <f t="shared" si="219"/>
        <v>11673.647760000002</v>
      </c>
      <c r="EV41" s="140">
        <f t="shared" ref="EV41" si="220">SUM(EV42:EV58)-EV43</f>
        <v>0</v>
      </c>
      <c r="EW41" s="57">
        <f t="shared" si="17"/>
        <v>0</v>
      </c>
      <c r="EX41" s="57">
        <f>AZ41</f>
        <v>0</v>
      </c>
      <c r="EY41" s="57">
        <f t="shared" ref="EY41" si="221">SUM(EY42:EY58)-EY43</f>
        <v>0</v>
      </c>
      <c r="EZ41" s="390"/>
      <c r="FA41" s="390"/>
      <c r="FB41" s="57">
        <f t="shared" si="70"/>
        <v>0</v>
      </c>
      <c r="FC41" s="57">
        <f>SUM(FC42:FC58)</f>
        <v>0</v>
      </c>
      <c r="FD41" s="57">
        <f>SUM(FD42:FD58)</f>
        <v>0</v>
      </c>
      <c r="FE41" s="390"/>
      <c r="FF41" s="390"/>
      <c r="FG41" s="390"/>
      <c r="FH41" s="304">
        <f t="shared" ref="FH41" si="222">SUM(FH42:FH58)</f>
        <v>0</v>
      </c>
      <c r="FI41" s="57">
        <f t="shared" si="72"/>
        <v>0</v>
      </c>
      <c r="FJ41" s="295"/>
      <c r="FK41" s="57">
        <f t="shared" si="73"/>
        <v>47805.054199999999</v>
      </c>
      <c r="FL41" s="57">
        <f t="shared" si="183"/>
        <v>47805.054199999999</v>
      </c>
      <c r="FM41" s="57">
        <f t="shared" ref="FM41" si="223">SUM(FM42:FM58)-FM43</f>
        <v>0</v>
      </c>
      <c r="FN41" s="390"/>
      <c r="FO41" s="390"/>
      <c r="FP41" s="57">
        <f t="shared" si="75"/>
        <v>54517.188330000004</v>
      </c>
      <c r="FQ41" s="57">
        <f>SUM(FQ42:FQ58)</f>
        <v>42851.791880000004</v>
      </c>
      <c r="FR41" s="57">
        <f>SUM(FR42:FR58)</f>
        <v>11665.39645</v>
      </c>
      <c r="FS41" s="390"/>
      <c r="FT41" s="390"/>
      <c r="FU41" s="390"/>
      <c r="FV41" s="57">
        <f>SUM(FV42:FV58)</f>
        <v>54517.188330000004</v>
      </c>
      <c r="FW41" s="57">
        <f t="shared" si="77"/>
        <v>-11665.39645</v>
      </c>
      <c r="FX41" s="57">
        <f t="shared" ref="FX41" si="224">FY41+FZ41+GA41</f>
        <v>104420.78973999999</v>
      </c>
      <c r="FY41" s="57">
        <f>BD41</f>
        <v>104420.78973999999</v>
      </c>
      <c r="FZ41" s="57">
        <f t="shared" ref="FZ41" si="225">SUM(FZ42:FZ58)-FZ43</f>
        <v>0</v>
      </c>
      <c r="GA41" s="390"/>
      <c r="GB41" s="390"/>
      <c r="GC41" s="57">
        <f t="shared" si="80"/>
        <v>110709.93022000001</v>
      </c>
      <c r="GD41" s="57">
        <f t="shared" si="177"/>
        <v>99036.282460000002</v>
      </c>
      <c r="GE41" s="57">
        <f t="shared" si="178"/>
        <v>11673.647760000002</v>
      </c>
      <c r="GF41" s="390"/>
      <c r="GG41" s="390"/>
      <c r="GH41" s="390"/>
      <c r="GI41" s="304" t="e">
        <f t="shared" ref="GI41" si="226">SUM(GI42:GI58)</f>
        <v>#REF!</v>
      </c>
      <c r="GJ41" s="77" t="e">
        <f t="shared" si="82"/>
        <v>#REF!</v>
      </c>
      <c r="GK41" s="462">
        <f t="shared" si="30"/>
        <v>0.92213238586817536</v>
      </c>
    </row>
    <row r="42" spans="2:193" s="38" customFormat="1" ht="15.75" hidden="1" customHeight="1" x14ac:dyDescent="0.25">
      <c r="B42" s="31">
        <v>1</v>
      </c>
      <c r="C42" s="30"/>
      <c r="D42" s="30"/>
      <c r="E42" s="493">
        <v>29</v>
      </c>
      <c r="F42" s="31"/>
      <c r="G42" s="30"/>
      <c r="H42" s="30"/>
      <c r="I42" s="493"/>
      <c r="J42" s="494"/>
      <c r="K42" s="199"/>
      <c r="L42" s="53"/>
      <c r="M42" s="493">
        <v>18</v>
      </c>
      <c r="N42" s="478" t="s">
        <v>15</v>
      </c>
      <c r="O42" s="129"/>
      <c r="P42" s="129">
        <f t="shared" si="49"/>
        <v>0</v>
      </c>
      <c r="Q42" s="129"/>
      <c r="R42" s="129"/>
      <c r="S42" s="129"/>
      <c r="T42" s="129"/>
      <c r="U42" s="129"/>
      <c r="V42" s="42">
        <f t="shared" si="31"/>
        <v>0</v>
      </c>
      <c r="W42" s="43"/>
      <c r="X42" s="198">
        <f t="shared" ref="X42:X105" si="227">Y42+Z42</f>
        <v>0</v>
      </c>
      <c r="Y42" s="198"/>
      <c r="Z42" s="42"/>
      <c r="AA42" s="43"/>
      <c r="AB42" s="569">
        <f t="shared" ref="AB42:AB58" si="228">AC42+AD42+AG42+AH42</f>
        <v>0</v>
      </c>
      <c r="AC42" s="576"/>
      <c r="AD42" s="568">
        <f t="shared" ref="AD42:AD105" si="229">AE42+AF42</f>
        <v>0</v>
      </c>
      <c r="AE42" s="568"/>
      <c r="AF42" s="569"/>
      <c r="AG42" s="576"/>
      <c r="AH42" s="575"/>
      <c r="AI42" s="569"/>
      <c r="AJ42" s="576"/>
      <c r="AK42" s="568"/>
      <c r="AL42" s="576"/>
      <c r="AM42" s="575"/>
      <c r="AN42" s="569"/>
      <c r="AO42" s="576"/>
      <c r="AP42" s="568"/>
      <c r="AQ42" s="576"/>
      <c r="AR42" s="575"/>
      <c r="AS42" s="569"/>
      <c r="AT42" s="576"/>
      <c r="AU42" s="568"/>
      <c r="AV42" s="576"/>
      <c r="AW42" s="576"/>
      <c r="AX42" s="588"/>
      <c r="AY42" s="567">
        <f t="shared" si="150"/>
        <v>0</v>
      </c>
      <c r="AZ42" s="576"/>
      <c r="BA42" s="576">
        <f t="shared" ref="BA42:BA58" si="230">BB42+BC42</f>
        <v>0</v>
      </c>
      <c r="BB42" s="576"/>
      <c r="BC42" s="576"/>
      <c r="BD42" s="576"/>
      <c r="BE42" s="576"/>
      <c r="BF42" s="567">
        <f t="shared" si="32"/>
        <v>0</v>
      </c>
      <c r="BG42" s="567">
        <f t="shared" si="33"/>
        <v>0</v>
      </c>
      <c r="BH42" s="567">
        <f t="shared" si="34"/>
        <v>0</v>
      </c>
      <c r="BI42" s="567">
        <f t="shared" si="35"/>
        <v>0</v>
      </c>
      <c r="BJ42" s="567">
        <f t="shared" si="36"/>
        <v>0</v>
      </c>
      <c r="BK42" s="567">
        <f t="shared" si="37"/>
        <v>0</v>
      </c>
      <c r="BL42" s="567" t="e">
        <f>#REF!-BE42</f>
        <v>#REF!</v>
      </c>
      <c r="BM42" s="567">
        <f t="shared" ref="BM42:BM58" si="231">BN42+BO42+BP42+BQ42</f>
        <v>0</v>
      </c>
      <c r="BN42" s="576"/>
      <c r="BO42" s="576"/>
      <c r="BP42" s="576"/>
      <c r="BQ42" s="576"/>
      <c r="BR42" s="567">
        <f t="shared" ref="BR42:BR58" si="232">BS42+BT42+BU42+BV42</f>
        <v>0</v>
      </c>
      <c r="BS42" s="576"/>
      <c r="BT42" s="576"/>
      <c r="BU42" s="576"/>
      <c r="BV42" s="576"/>
      <c r="BW42" s="567">
        <f t="shared" ref="BW42:BW58" si="233">BX42+BY42+CB42+CC42</f>
        <v>0</v>
      </c>
      <c r="BX42" s="576"/>
      <c r="BY42" s="589">
        <f t="shared" si="38"/>
        <v>0</v>
      </c>
      <c r="BZ42" s="589"/>
      <c r="CA42" s="589"/>
      <c r="CB42" s="589"/>
      <c r="CC42" s="589"/>
      <c r="CD42" s="567">
        <f t="shared" ref="CD42:CD58" si="234">CE42+CF42+CI42+CJ42</f>
        <v>0</v>
      </c>
      <c r="CE42" s="576"/>
      <c r="CF42" s="589">
        <f t="shared" si="39"/>
        <v>0</v>
      </c>
      <c r="CG42" s="589"/>
      <c r="CH42" s="589"/>
      <c r="CI42" s="589"/>
      <c r="CJ42" s="589"/>
      <c r="CK42" s="567">
        <f t="shared" ref="CK42:CK58" si="235">CL42+CM42+CP42+CQ42</f>
        <v>0</v>
      </c>
      <c r="CL42" s="576"/>
      <c r="CM42" s="576">
        <f t="shared" si="102"/>
        <v>0</v>
      </c>
      <c r="CN42" s="576"/>
      <c r="CO42" s="576"/>
      <c r="CP42" s="576"/>
      <c r="CQ42" s="576"/>
      <c r="CR42" s="573">
        <f t="shared" ref="CR42:CR58" si="236">CS42</f>
        <v>0</v>
      </c>
      <c r="CS42" s="567">
        <f t="shared" si="40"/>
        <v>0</v>
      </c>
      <c r="CT42" s="567">
        <f t="shared" si="41"/>
        <v>0</v>
      </c>
      <c r="CU42" s="567">
        <f t="shared" si="42"/>
        <v>0</v>
      </c>
      <c r="CV42" s="567">
        <f t="shared" si="43"/>
        <v>0</v>
      </c>
      <c r="CW42" s="567">
        <f t="shared" ref="CW42:CW58" si="237">CJ42+CQ42</f>
        <v>0</v>
      </c>
      <c r="CX42" s="567">
        <f t="shared" ca="1" si="182"/>
        <v>0</v>
      </c>
      <c r="CY42" s="567">
        <f t="shared" si="44"/>
        <v>0</v>
      </c>
      <c r="CZ42" s="567">
        <f t="shared" si="45"/>
        <v>0</v>
      </c>
      <c r="DA42" s="567">
        <f t="shared" si="46"/>
        <v>0</v>
      </c>
      <c r="DB42" s="2">
        <f t="shared" ref="DB42:DB58" si="238">CC42-CJ42</f>
        <v>0</v>
      </c>
      <c r="DC42" s="257"/>
      <c r="DD42" s="258">
        <f>DC42</f>
        <v>0</v>
      </c>
      <c r="DE42" s="258">
        <f>DD42</f>
        <v>0</v>
      </c>
      <c r="DF42" s="2">
        <f t="shared" ref="DF42:DF58" si="239">DG42+DH42+DI42+DJ42</f>
        <v>0</v>
      </c>
      <c r="DG42" s="43"/>
      <c r="DH42" s="43"/>
      <c r="DI42" s="43"/>
      <c r="DJ42" s="43"/>
      <c r="DK42" s="2">
        <f t="shared" ref="DK42:DK58" si="240">DL42+DM42+DN42+DO42</f>
        <v>0</v>
      </c>
      <c r="DL42" s="43"/>
      <c r="DM42" s="43"/>
      <c r="DN42" s="43"/>
      <c r="DO42" s="43"/>
      <c r="DP42" s="2">
        <f t="shared" ref="DP42:DP58" si="241">DQ42+DR42+DS42+DT42</f>
        <v>0</v>
      </c>
      <c r="DQ42" s="2">
        <f t="shared" ref="DQ42:DT58" si="242">DG42-DL42</f>
        <v>0</v>
      </c>
      <c r="DR42" s="2">
        <f t="shared" si="242"/>
        <v>0</v>
      </c>
      <c r="DS42" s="2">
        <f t="shared" si="242"/>
        <v>0</v>
      </c>
      <c r="DT42" s="2">
        <f t="shared" si="242"/>
        <v>0</v>
      </c>
      <c r="DU42" s="43"/>
      <c r="DV42" s="43"/>
      <c r="DW42" s="43"/>
      <c r="DX42" s="2">
        <f t="shared" ref="DX42:DX58" ca="1" si="243">CX42+DP42+DW42</f>
        <v>0</v>
      </c>
      <c r="DY42" s="46"/>
      <c r="DZ42" s="2">
        <f t="shared" ref="DZ42:DZ58" si="244">BW42+DF42+DU42</f>
        <v>0</v>
      </c>
      <c r="EA42" s="2">
        <f t="shared" ref="EA42:EA58" si="245">CD42+DK42+DV42</f>
        <v>0</v>
      </c>
      <c r="EB42" s="259"/>
      <c r="EC42" s="2">
        <f t="shared" ref="EC42:EC43" si="246">EA42</f>
        <v>0</v>
      </c>
      <c r="ED42" s="2">
        <f t="shared" ref="ED42:ED43" ca="1" si="247">DX42</f>
        <v>0</v>
      </c>
      <c r="EE42" s="259"/>
      <c r="EF42" s="2">
        <f>DE42-EC42</f>
        <v>0</v>
      </c>
      <c r="EG42" s="259"/>
      <c r="EH42" s="259"/>
      <c r="EI42" s="2">
        <f t="shared" si="10"/>
        <v>0</v>
      </c>
      <c r="EJ42" s="260"/>
      <c r="EK42" s="260">
        <f t="shared" si="48"/>
        <v>0</v>
      </c>
      <c r="EL42" s="260"/>
      <c r="EM42" s="260"/>
      <c r="EN42" s="260"/>
      <c r="EO42" s="260"/>
      <c r="EP42" s="2">
        <f t="shared" si="14"/>
        <v>0</v>
      </c>
      <c r="EQ42" s="43"/>
      <c r="ER42" s="43">
        <f t="shared" si="104"/>
        <v>0</v>
      </c>
      <c r="ES42" s="43"/>
      <c r="ET42" s="43"/>
      <c r="EU42" s="43"/>
      <c r="EV42" s="147"/>
      <c r="EW42" s="310"/>
      <c r="EX42" s="315"/>
      <c r="EY42" s="315"/>
      <c r="EZ42" s="398"/>
      <c r="FA42" s="398"/>
      <c r="FB42" s="310"/>
      <c r="FC42" s="315"/>
      <c r="FD42" s="315"/>
      <c r="FE42" s="398"/>
      <c r="FF42" s="398"/>
      <c r="FG42" s="397"/>
      <c r="FH42" s="316"/>
      <c r="FI42" s="439"/>
      <c r="FJ42" s="299" t="e">
        <f t="shared" ref="FJ42:FJ58" si="248">FH42/FE42</f>
        <v>#DIV/0!</v>
      </c>
      <c r="FK42" s="353"/>
      <c r="FL42" s="357"/>
      <c r="FM42" s="357"/>
      <c r="FN42" s="392"/>
      <c r="FO42" s="392"/>
      <c r="FP42" s="353"/>
      <c r="FQ42" s="357"/>
      <c r="FR42" s="357"/>
      <c r="FS42" s="392"/>
      <c r="FT42" s="392"/>
      <c r="FU42" s="391"/>
      <c r="FV42" s="387"/>
      <c r="FW42" s="387"/>
      <c r="FX42" s="310"/>
      <c r="FY42" s="315"/>
      <c r="FZ42" s="315"/>
      <c r="GA42" s="398"/>
      <c r="GB42" s="398"/>
      <c r="GC42" s="310"/>
      <c r="GD42" s="315"/>
      <c r="GE42" s="315"/>
      <c r="GF42" s="398"/>
      <c r="GG42" s="398"/>
      <c r="GH42" s="397"/>
      <c r="GI42" s="316"/>
      <c r="GJ42" s="453"/>
      <c r="GK42" s="463" t="e">
        <f t="shared" si="30"/>
        <v>#DIV/0!</v>
      </c>
    </row>
    <row r="43" spans="2:193" s="38" customFormat="1" ht="15.75" hidden="1" customHeight="1" x14ac:dyDescent="0.25">
      <c r="B43" s="31"/>
      <c r="C43" s="30"/>
      <c r="D43" s="30"/>
      <c r="E43" s="493"/>
      <c r="F43" s="31"/>
      <c r="G43" s="30"/>
      <c r="H43" s="30"/>
      <c r="I43" s="729"/>
      <c r="J43" s="730"/>
      <c r="K43" s="730"/>
      <c r="L43" s="154"/>
      <c r="M43" s="493"/>
      <c r="N43" s="18" t="s">
        <v>246</v>
      </c>
      <c r="O43" s="128"/>
      <c r="P43" s="128">
        <f t="shared" si="49"/>
        <v>0</v>
      </c>
      <c r="Q43" s="128"/>
      <c r="R43" s="128"/>
      <c r="S43" s="128"/>
      <c r="T43" s="128"/>
      <c r="U43" s="128"/>
      <c r="V43" s="42">
        <f t="shared" si="31"/>
        <v>0</v>
      </c>
      <c r="W43" s="43"/>
      <c r="X43" s="198">
        <f t="shared" si="227"/>
        <v>0</v>
      </c>
      <c r="Y43" s="198"/>
      <c r="Z43" s="42"/>
      <c r="AA43" s="43"/>
      <c r="AB43" s="569">
        <f t="shared" si="228"/>
        <v>0</v>
      </c>
      <c r="AC43" s="576"/>
      <c r="AD43" s="568">
        <f t="shared" si="229"/>
        <v>0</v>
      </c>
      <c r="AE43" s="568"/>
      <c r="AF43" s="569"/>
      <c r="AG43" s="576"/>
      <c r="AH43" s="575"/>
      <c r="AI43" s="569"/>
      <c r="AJ43" s="576"/>
      <c r="AK43" s="568"/>
      <c r="AL43" s="576"/>
      <c r="AM43" s="575"/>
      <c r="AN43" s="569"/>
      <c r="AO43" s="576"/>
      <c r="AP43" s="568"/>
      <c r="AQ43" s="576"/>
      <c r="AR43" s="575"/>
      <c r="AS43" s="569"/>
      <c r="AT43" s="576"/>
      <c r="AU43" s="568"/>
      <c r="AV43" s="576"/>
      <c r="AW43" s="576"/>
      <c r="AX43" s="588"/>
      <c r="AY43" s="567">
        <f t="shared" si="150"/>
        <v>0</v>
      </c>
      <c r="AZ43" s="576"/>
      <c r="BA43" s="576">
        <f t="shared" si="230"/>
        <v>0</v>
      </c>
      <c r="BB43" s="576"/>
      <c r="BC43" s="576"/>
      <c r="BD43" s="590"/>
      <c r="BE43" s="576"/>
      <c r="BF43" s="567">
        <f t="shared" si="32"/>
        <v>0</v>
      </c>
      <c r="BG43" s="567">
        <f t="shared" si="33"/>
        <v>0</v>
      </c>
      <c r="BH43" s="567">
        <f t="shared" si="34"/>
        <v>0</v>
      </c>
      <c r="BI43" s="567">
        <f t="shared" si="35"/>
        <v>0</v>
      </c>
      <c r="BJ43" s="567">
        <f t="shared" si="36"/>
        <v>0</v>
      </c>
      <c r="BK43" s="567">
        <f t="shared" si="37"/>
        <v>0</v>
      </c>
      <c r="BL43" s="567" t="e">
        <f>#REF!-BE43</f>
        <v>#REF!</v>
      </c>
      <c r="BM43" s="567">
        <f t="shared" si="231"/>
        <v>0</v>
      </c>
      <c r="BN43" s="576"/>
      <c r="BO43" s="576"/>
      <c r="BP43" s="576"/>
      <c r="BQ43" s="576"/>
      <c r="BR43" s="567">
        <f t="shared" si="232"/>
        <v>0</v>
      </c>
      <c r="BS43" s="576"/>
      <c r="BT43" s="576"/>
      <c r="BU43" s="576"/>
      <c r="BV43" s="576"/>
      <c r="BW43" s="567">
        <f t="shared" si="233"/>
        <v>0</v>
      </c>
      <c r="BX43" s="576"/>
      <c r="BY43" s="589">
        <f t="shared" si="38"/>
        <v>0</v>
      </c>
      <c r="BZ43" s="589"/>
      <c r="CA43" s="589"/>
      <c r="CB43" s="589"/>
      <c r="CC43" s="589"/>
      <c r="CD43" s="567">
        <f t="shared" si="234"/>
        <v>0</v>
      </c>
      <c r="CE43" s="576"/>
      <c r="CF43" s="589">
        <f t="shared" si="39"/>
        <v>0</v>
      </c>
      <c r="CG43" s="589"/>
      <c r="CH43" s="589"/>
      <c r="CI43" s="589"/>
      <c r="CJ43" s="589"/>
      <c r="CK43" s="567">
        <f t="shared" si="235"/>
        <v>0</v>
      </c>
      <c r="CL43" s="576"/>
      <c r="CM43" s="576">
        <f t="shared" si="102"/>
        <v>0</v>
      </c>
      <c r="CN43" s="576"/>
      <c r="CO43" s="576"/>
      <c r="CP43" s="576"/>
      <c r="CQ43" s="576"/>
      <c r="CR43" s="573">
        <f t="shared" si="236"/>
        <v>0</v>
      </c>
      <c r="CS43" s="567">
        <f t="shared" si="40"/>
        <v>0</v>
      </c>
      <c r="CT43" s="567">
        <f t="shared" si="41"/>
        <v>0</v>
      </c>
      <c r="CU43" s="567">
        <f t="shared" si="42"/>
        <v>0</v>
      </c>
      <c r="CV43" s="567">
        <f t="shared" si="43"/>
        <v>0</v>
      </c>
      <c r="CW43" s="567">
        <f t="shared" si="237"/>
        <v>0</v>
      </c>
      <c r="CX43" s="567">
        <f t="shared" ca="1" si="182"/>
        <v>0</v>
      </c>
      <c r="CY43" s="567">
        <f t="shared" si="44"/>
        <v>0</v>
      </c>
      <c r="CZ43" s="567">
        <f t="shared" si="45"/>
        <v>0</v>
      </c>
      <c r="DA43" s="567">
        <f t="shared" si="46"/>
        <v>0</v>
      </c>
      <c r="DB43" s="2">
        <f t="shared" si="238"/>
        <v>0</v>
      </c>
      <c r="DC43" s="257"/>
      <c r="DD43" s="258"/>
      <c r="DE43" s="258"/>
      <c r="DF43" s="2">
        <f t="shared" si="239"/>
        <v>0</v>
      </c>
      <c r="DG43" s="43"/>
      <c r="DH43" s="43"/>
      <c r="DI43" s="43"/>
      <c r="DJ43" s="43"/>
      <c r="DK43" s="2">
        <f t="shared" si="240"/>
        <v>0</v>
      </c>
      <c r="DL43" s="43"/>
      <c r="DM43" s="43"/>
      <c r="DN43" s="43"/>
      <c r="DO43" s="43"/>
      <c r="DP43" s="2">
        <f t="shared" si="241"/>
        <v>0</v>
      </c>
      <c r="DQ43" s="2">
        <f t="shared" si="242"/>
        <v>0</v>
      </c>
      <c r="DR43" s="2">
        <f t="shared" si="242"/>
        <v>0</v>
      </c>
      <c r="DS43" s="2">
        <f t="shared" si="242"/>
        <v>0</v>
      </c>
      <c r="DT43" s="2">
        <f t="shared" si="242"/>
        <v>0</v>
      </c>
      <c r="DU43" s="43"/>
      <c r="DV43" s="43"/>
      <c r="DW43" s="43"/>
      <c r="DX43" s="2">
        <f t="shared" ca="1" si="243"/>
        <v>0</v>
      </c>
      <c r="DY43" s="46"/>
      <c r="DZ43" s="2">
        <f t="shared" si="244"/>
        <v>0</v>
      </c>
      <c r="EA43" s="2">
        <f t="shared" si="245"/>
        <v>0</v>
      </c>
      <c r="EB43" s="259"/>
      <c r="EC43" s="2">
        <f t="shared" si="246"/>
        <v>0</v>
      </c>
      <c r="ED43" s="2">
        <f t="shared" ca="1" si="247"/>
        <v>0</v>
      </c>
      <c r="EE43" s="259"/>
      <c r="EF43" s="43"/>
      <c r="EG43" s="259"/>
      <c r="EH43" s="259"/>
      <c r="EI43" s="2">
        <f t="shared" si="10"/>
        <v>0</v>
      </c>
      <c r="EJ43" s="260"/>
      <c r="EK43" s="260">
        <f t="shared" si="48"/>
        <v>0</v>
      </c>
      <c r="EL43" s="260"/>
      <c r="EM43" s="260"/>
      <c r="EN43" s="260"/>
      <c r="EO43" s="260"/>
      <c r="EP43" s="2">
        <f t="shared" si="14"/>
        <v>0</v>
      </c>
      <c r="EQ43" s="43"/>
      <c r="ER43" s="43">
        <f t="shared" si="104"/>
        <v>0</v>
      </c>
      <c r="ES43" s="43"/>
      <c r="ET43" s="43"/>
      <c r="EU43" s="43"/>
      <c r="EV43" s="147"/>
      <c r="EW43" s="310"/>
      <c r="EX43" s="315"/>
      <c r="EY43" s="315"/>
      <c r="EZ43" s="398"/>
      <c r="FA43" s="398"/>
      <c r="FB43" s="310"/>
      <c r="FC43" s="315"/>
      <c r="FD43" s="315"/>
      <c r="FE43" s="398"/>
      <c r="FF43" s="398"/>
      <c r="FG43" s="398"/>
      <c r="FH43" s="316"/>
      <c r="FI43" s="439"/>
      <c r="FJ43" s="299" t="e">
        <f t="shared" si="248"/>
        <v>#DIV/0!</v>
      </c>
      <c r="FK43" s="353"/>
      <c r="FL43" s="357"/>
      <c r="FM43" s="357"/>
      <c r="FN43" s="392"/>
      <c r="FO43" s="392"/>
      <c r="FP43" s="353"/>
      <c r="FQ43" s="357"/>
      <c r="FR43" s="357"/>
      <c r="FS43" s="392"/>
      <c r="FT43" s="392"/>
      <c r="FU43" s="392"/>
      <c r="FV43" s="387"/>
      <c r="FW43" s="387"/>
      <c r="FX43" s="310"/>
      <c r="FY43" s="315"/>
      <c r="FZ43" s="315"/>
      <c r="GA43" s="398"/>
      <c r="GB43" s="398"/>
      <c r="GC43" s="310"/>
      <c r="GD43" s="315"/>
      <c r="GE43" s="315"/>
      <c r="GF43" s="398"/>
      <c r="GG43" s="398"/>
      <c r="GH43" s="398"/>
      <c r="GI43" s="316"/>
      <c r="GJ43" s="453"/>
      <c r="GK43" s="463" t="e">
        <f t="shared" si="30"/>
        <v>#DIV/0!</v>
      </c>
    </row>
    <row r="44" spans="2:193" s="37" customFormat="1" ht="15.6" customHeight="1" x14ac:dyDescent="0.25">
      <c r="B44" s="29"/>
      <c r="C44" s="30"/>
      <c r="D44" s="30">
        <v>1</v>
      </c>
      <c r="E44" s="493">
        <v>30</v>
      </c>
      <c r="F44" s="29"/>
      <c r="G44" s="30"/>
      <c r="H44" s="30">
        <v>1</v>
      </c>
      <c r="I44" s="733"/>
      <c r="J44" s="734"/>
      <c r="K44" s="734"/>
      <c r="L44" s="734"/>
      <c r="M44" s="493">
        <v>17</v>
      </c>
      <c r="N44" s="494" t="s">
        <v>88</v>
      </c>
      <c r="O44" s="494"/>
      <c r="P44" s="494">
        <f t="shared" si="49"/>
        <v>0</v>
      </c>
      <c r="Q44" s="494" t="s">
        <v>701</v>
      </c>
      <c r="R44" s="494" t="s">
        <v>699</v>
      </c>
      <c r="S44" s="494" t="s">
        <v>583</v>
      </c>
      <c r="T44" s="156">
        <v>2</v>
      </c>
      <c r="U44" s="493">
        <v>2</v>
      </c>
      <c r="V44" s="42">
        <f t="shared" si="31"/>
        <v>1785.6999999999998</v>
      </c>
      <c r="W44" s="2"/>
      <c r="X44" s="198">
        <f t="shared" si="227"/>
        <v>1785.6999999999998</v>
      </c>
      <c r="Y44" s="198">
        <v>562.6</v>
      </c>
      <c r="Z44" s="42">
        <v>1223.0999999999999</v>
      </c>
      <c r="AA44" s="2"/>
      <c r="AB44" s="569">
        <f t="shared" si="228"/>
        <v>1785.6999999999998</v>
      </c>
      <c r="AC44" s="567"/>
      <c r="AD44" s="568">
        <f t="shared" si="229"/>
        <v>1785.6999999999998</v>
      </c>
      <c r="AE44" s="568">
        <v>562.6</v>
      </c>
      <c r="AF44" s="569">
        <v>1223.0999999999999</v>
      </c>
      <c r="AG44" s="567"/>
      <c r="AH44" s="573"/>
      <c r="AI44" s="569"/>
      <c r="AJ44" s="567"/>
      <c r="AK44" s="568"/>
      <c r="AL44" s="567"/>
      <c r="AM44" s="573"/>
      <c r="AN44" s="569"/>
      <c r="AO44" s="567"/>
      <c r="AP44" s="568"/>
      <c r="AQ44" s="567"/>
      <c r="AR44" s="573"/>
      <c r="AS44" s="569"/>
      <c r="AT44" s="567"/>
      <c r="AU44" s="568"/>
      <c r="AV44" s="567"/>
      <c r="AW44" s="567"/>
      <c r="AX44" s="425" t="s">
        <v>681</v>
      </c>
      <c r="AY44" s="567">
        <f t="shared" si="150"/>
        <v>1785.6999999999998</v>
      </c>
      <c r="AZ44" s="567"/>
      <c r="BA44" s="568">
        <f t="shared" si="230"/>
        <v>1785.6999999999998</v>
      </c>
      <c r="BB44" s="568">
        <v>562.6</v>
      </c>
      <c r="BC44" s="569">
        <v>1223.0999999999999</v>
      </c>
      <c r="BD44" s="574"/>
      <c r="BE44" s="567"/>
      <c r="BF44" s="567">
        <f t="shared" si="32"/>
        <v>0</v>
      </c>
      <c r="BG44" s="567">
        <f t="shared" si="33"/>
        <v>0</v>
      </c>
      <c r="BH44" s="567">
        <f t="shared" si="34"/>
        <v>0</v>
      </c>
      <c r="BI44" s="567">
        <f t="shared" si="35"/>
        <v>0</v>
      </c>
      <c r="BJ44" s="567">
        <f t="shared" si="36"/>
        <v>0</v>
      </c>
      <c r="BK44" s="567">
        <f t="shared" si="37"/>
        <v>0</v>
      </c>
      <c r="BL44" s="567" t="e">
        <f>#REF!-BE44</f>
        <v>#REF!</v>
      </c>
      <c r="BM44" s="567">
        <f t="shared" si="231"/>
        <v>577.29999999999995</v>
      </c>
      <c r="BN44" s="567"/>
      <c r="BO44" s="568">
        <f>251+326.3</f>
        <v>577.29999999999995</v>
      </c>
      <c r="BP44" s="567"/>
      <c r="BQ44" s="567"/>
      <c r="BR44" s="567">
        <f t="shared" si="232"/>
        <v>0</v>
      </c>
      <c r="BS44" s="567"/>
      <c r="BT44" s="570"/>
      <c r="BU44" s="567"/>
      <c r="BV44" s="567"/>
      <c r="BW44" s="567">
        <f t="shared" si="233"/>
        <v>1671.1829400000001</v>
      </c>
      <c r="BX44" s="567"/>
      <c r="BY44" s="568">
        <f t="shared" si="38"/>
        <v>1671.1829400000001</v>
      </c>
      <c r="BZ44" s="571">
        <f>235.20983+289.74023</f>
        <v>524.95006000000001</v>
      </c>
      <c r="CA44" s="571">
        <f>655.95077+490.28211</f>
        <v>1146.23288</v>
      </c>
      <c r="CB44" s="567"/>
      <c r="CC44" s="567"/>
      <c r="CD44" s="567">
        <f t="shared" si="234"/>
        <v>1671.1829400000001</v>
      </c>
      <c r="CE44" s="567"/>
      <c r="CF44" s="568">
        <f t="shared" si="39"/>
        <v>1671.1829400000001</v>
      </c>
      <c r="CG44" s="571">
        <f>235.20983+289.74023</f>
        <v>524.95006000000001</v>
      </c>
      <c r="CH44" s="571">
        <f>655.95077+490.28211</f>
        <v>1146.23288</v>
      </c>
      <c r="CI44" s="567"/>
      <c r="CJ44" s="567"/>
      <c r="CK44" s="567">
        <f t="shared" si="235"/>
        <v>328.68007999999998</v>
      </c>
      <c r="CL44" s="567"/>
      <c r="CM44" s="567">
        <v>328.68007999999998</v>
      </c>
      <c r="CN44" s="567">
        <v>83.792190000000005</v>
      </c>
      <c r="CO44" s="567">
        <v>81.072749999999999</v>
      </c>
      <c r="CP44" s="567"/>
      <c r="CQ44" s="567"/>
      <c r="CR44" s="573">
        <f t="shared" si="236"/>
        <v>1999.8630200000002</v>
      </c>
      <c r="CS44" s="567">
        <f t="shared" si="40"/>
        <v>1999.8630200000002</v>
      </c>
      <c r="CT44" s="567">
        <f t="shared" si="41"/>
        <v>0</v>
      </c>
      <c r="CU44" s="567">
        <f t="shared" si="42"/>
        <v>1999.8630200000002</v>
      </c>
      <c r="CV44" s="567">
        <f t="shared" si="43"/>
        <v>0</v>
      </c>
      <c r="CW44" s="567">
        <f t="shared" si="237"/>
        <v>0</v>
      </c>
      <c r="CX44" s="567">
        <f t="shared" ca="1" si="182"/>
        <v>0</v>
      </c>
      <c r="CY44" s="567">
        <f t="shared" si="44"/>
        <v>0</v>
      </c>
      <c r="CZ44" s="567">
        <f t="shared" si="45"/>
        <v>0</v>
      </c>
      <c r="DA44" s="567">
        <f t="shared" si="46"/>
        <v>0</v>
      </c>
      <c r="DB44" s="2">
        <f t="shared" si="238"/>
        <v>0</v>
      </c>
      <c r="DC44" s="76"/>
      <c r="DD44" s="253"/>
      <c r="DE44" s="253"/>
      <c r="DF44" s="2">
        <f t="shared" si="239"/>
        <v>0</v>
      </c>
      <c r="DG44" s="2"/>
      <c r="DH44" s="234"/>
      <c r="DI44" s="2"/>
      <c r="DJ44" s="2"/>
      <c r="DK44" s="2">
        <f t="shared" si="240"/>
        <v>0</v>
      </c>
      <c r="DL44" s="2"/>
      <c r="DM44" s="234"/>
      <c r="DN44" s="2"/>
      <c r="DO44" s="2"/>
      <c r="DP44" s="2">
        <f t="shared" si="241"/>
        <v>0</v>
      </c>
      <c r="DQ44" s="2">
        <f t="shared" si="242"/>
        <v>0</v>
      </c>
      <c r="DR44" s="2">
        <f t="shared" si="242"/>
        <v>0</v>
      </c>
      <c r="DS44" s="2">
        <f t="shared" si="242"/>
        <v>0</v>
      </c>
      <c r="DT44" s="2">
        <f t="shared" si="242"/>
        <v>0</v>
      </c>
      <c r="DU44" s="2"/>
      <c r="DV44" s="2"/>
      <c r="DW44" s="2"/>
      <c r="DX44" s="2">
        <f t="shared" ca="1" si="243"/>
        <v>0</v>
      </c>
      <c r="DY44" s="46"/>
      <c r="DZ44" s="2">
        <f t="shared" si="244"/>
        <v>1671.1829400000001</v>
      </c>
      <c r="EA44" s="2">
        <f t="shared" si="245"/>
        <v>1671.1829400000001</v>
      </c>
      <c r="EB44" s="46"/>
      <c r="EC44" s="2"/>
      <c r="ED44" s="2"/>
      <c r="EE44" s="46"/>
      <c r="EF44" s="2"/>
      <c r="EG44" s="46"/>
      <c r="EH44" s="46"/>
      <c r="EI44" s="2">
        <f t="shared" si="10"/>
        <v>1671.1829400000001</v>
      </c>
      <c r="EJ44" s="2"/>
      <c r="EK44" s="198">
        <f t="shared" si="48"/>
        <v>1671.1829400000001</v>
      </c>
      <c r="EL44" s="446">
        <f>235.20983+289.74023</f>
        <v>524.95006000000001</v>
      </c>
      <c r="EM44" s="446">
        <f>655.95077+490.28211</f>
        <v>1146.23288</v>
      </c>
      <c r="EN44" s="2"/>
      <c r="EO44" s="2"/>
      <c r="EP44" s="2">
        <f t="shared" si="14"/>
        <v>328.68007999999998</v>
      </c>
      <c r="EQ44" s="2"/>
      <c r="ER44" s="2">
        <v>328.68007999999998</v>
      </c>
      <c r="ES44" s="2">
        <f>83.79219+103.21834</f>
        <v>187.01053000000002</v>
      </c>
      <c r="ET44" s="2">
        <f>81.07275+60.5968</f>
        <v>141.66955000000002</v>
      </c>
      <c r="EU44" s="2"/>
      <c r="EV44" s="141"/>
      <c r="EW44" s="310"/>
      <c r="EX44" s="310"/>
      <c r="EY44" s="310"/>
      <c r="EZ44" s="396"/>
      <c r="FA44" s="396"/>
      <c r="FB44" s="310"/>
      <c r="FC44" s="310"/>
      <c r="FD44" s="310"/>
      <c r="FE44" s="396"/>
      <c r="FF44" s="396"/>
      <c r="FG44" s="396"/>
      <c r="FH44" s="311"/>
      <c r="FI44" s="310"/>
      <c r="FJ44" s="296" t="e">
        <f t="shared" si="248"/>
        <v>#DIV/0!</v>
      </c>
      <c r="FK44" s="353">
        <f t="shared" si="73"/>
        <v>1785.6999999999998</v>
      </c>
      <c r="FL44" s="353">
        <f t="shared" ref="FL44:FL59" si="249">BA44</f>
        <v>1785.6999999999998</v>
      </c>
      <c r="FM44" s="353"/>
      <c r="FN44" s="388">
        <f t="shared" ref="FN44:FN58" si="250">FL44/FK44</f>
        <v>1</v>
      </c>
      <c r="FO44" s="388">
        <f t="shared" ref="FO44:FO58" si="251">FM44/FK44</f>
        <v>0</v>
      </c>
      <c r="FP44" s="353">
        <f t="shared" si="75"/>
        <v>1999.8630200000002</v>
      </c>
      <c r="FQ44" s="353">
        <f t="shared" ref="FQ44:FQ58" si="252">EK44</f>
        <v>1671.1829400000001</v>
      </c>
      <c r="FR44" s="353">
        <f t="shared" ref="FR44:FR58" si="253">ER44</f>
        <v>328.68007999999998</v>
      </c>
      <c r="FS44" s="388">
        <f t="shared" ref="FS44:FS58" si="254">FQ44/FP44</f>
        <v>0.83564870357970811</v>
      </c>
      <c r="FT44" s="388">
        <f t="shared" ref="FT44:FT58" si="255">FR44/FP44</f>
        <v>0.16435129642029178</v>
      </c>
      <c r="FU44" s="388"/>
      <c r="FV44" s="353">
        <f t="shared" ref="FV44:FV58" si="256">FP44*FN44</f>
        <v>1999.8630200000002</v>
      </c>
      <c r="FW44" s="353">
        <f t="shared" si="77"/>
        <v>-328.68008000000009</v>
      </c>
      <c r="FX44" s="310"/>
      <c r="FY44" s="310"/>
      <c r="FZ44" s="310"/>
      <c r="GA44" s="396"/>
      <c r="GB44" s="396"/>
      <c r="GC44" s="310"/>
      <c r="GD44" s="310"/>
      <c r="GE44" s="310"/>
      <c r="GF44" s="396"/>
      <c r="GG44" s="396"/>
      <c r="GH44" s="396"/>
      <c r="GI44" s="311"/>
      <c r="GJ44" s="344"/>
      <c r="GK44" s="303">
        <f t="shared" si="30"/>
        <v>0.935869933359467</v>
      </c>
    </row>
    <row r="45" spans="2:193" s="37" customFormat="1" ht="15.6" customHeight="1" x14ac:dyDescent="0.25">
      <c r="B45" s="29"/>
      <c r="C45" s="30">
        <v>1</v>
      </c>
      <c r="D45" s="30"/>
      <c r="E45" s="493">
        <v>31</v>
      </c>
      <c r="F45" s="29"/>
      <c r="G45" s="30">
        <v>1</v>
      </c>
      <c r="H45" s="30">
        <v>1</v>
      </c>
      <c r="I45" s="493"/>
      <c r="J45" s="494"/>
      <c r="K45" s="201"/>
      <c r="L45" s="53"/>
      <c r="M45" s="493">
        <v>18</v>
      </c>
      <c r="N45" s="494" t="s">
        <v>28</v>
      </c>
      <c r="O45" s="494"/>
      <c r="P45" s="494">
        <f t="shared" si="49"/>
        <v>0</v>
      </c>
      <c r="Q45" s="494" t="s">
        <v>711</v>
      </c>
      <c r="R45" s="469" t="s">
        <v>699</v>
      </c>
      <c r="S45" s="494" t="s">
        <v>535</v>
      </c>
      <c r="T45" s="156">
        <v>3</v>
      </c>
      <c r="U45" s="493">
        <v>3</v>
      </c>
      <c r="V45" s="42">
        <f t="shared" si="31"/>
        <v>31204.804319999999</v>
      </c>
      <c r="W45" s="2"/>
      <c r="X45" s="198">
        <f t="shared" si="227"/>
        <v>9293.5</v>
      </c>
      <c r="Y45" s="198">
        <v>2928.1</v>
      </c>
      <c r="Z45" s="42">
        <v>6365.4</v>
      </c>
      <c r="AA45" s="2">
        <f>29834.134-7922.82968</f>
        <v>21911.304319999999</v>
      </c>
      <c r="AB45" s="569">
        <f t="shared" si="228"/>
        <v>31204.804319999999</v>
      </c>
      <c r="AC45" s="567"/>
      <c r="AD45" s="568">
        <f t="shared" si="229"/>
        <v>9293.5</v>
      </c>
      <c r="AE45" s="568">
        <v>2928.1</v>
      </c>
      <c r="AF45" s="569">
        <v>6365.4</v>
      </c>
      <c r="AG45" s="567">
        <f>29834.134-7922.82968</f>
        <v>21911.304319999999</v>
      </c>
      <c r="AH45" s="570"/>
      <c r="AI45" s="569"/>
      <c r="AJ45" s="567"/>
      <c r="AK45" s="568"/>
      <c r="AL45" s="567"/>
      <c r="AM45" s="570"/>
      <c r="AN45" s="569"/>
      <c r="AO45" s="567"/>
      <c r="AP45" s="568"/>
      <c r="AQ45" s="567"/>
      <c r="AR45" s="570"/>
      <c r="AS45" s="569"/>
      <c r="AT45" s="567"/>
      <c r="AU45" s="568"/>
      <c r="AV45" s="567"/>
      <c r="AW45" s="570"/>
      <c r="AX45" s="425" t="s">
        <v>715</v>
      </c>
      <c r="AY45" s="567">
        <f t="shared" si="150"/>
        <v>31204.80384</v>
      </c>
      <c r="AZ45" s="567"/>
      <c r="BA45" s="568">
        <f t="shared" si="230"/>
        <v>9293.5</v>
      </c>
      <c r="BB45" s="568">
        <v>2928.1</v>
      </c>
      <c r="BC45" s="569">
        <v>6365.4</v>
      </c>
      <c r="BD45" s="574">
        <f>29834.13352-7922.82968</f>
        <v>21911.30384</v>
      </c>
      <c r="BE45" s="570"/>
      <c r="BF45" s="567">
        <f t="shared" si="32"/>
        <v>4.799999987881165E-4</v>
      </c>
      <c r="BG45" s="567">
        <f t="shared" si="33"/>
        <v>0</v>
      </c>
      <c r="BH45" s="567">
        <f t="shared" si="34"/>
        <v>0</v>
      </c>
      <c r="BI45" s="567">
        <f t="shared" si="35"/>
        <v>0</v>
      </c>
      <c r="BJ45" s="567">
        <f t="shared" si="36"/>
        <v>0</v>
      </c>
      <c r="BK45" s="567">
        <f t="shared" si="37"/>
        <v>4.799999987881165E-4</v>
      </c>
      <c r="BL45" s="567" t="e">
        <f>#REF!-BE45</f>
        <v>#REF!</v>
      </c>
      <c r="BM45" s="567">
        <f t="shared" si="231"/>
        <v>3155.6</v>
      </c>
      <c r="BN45" s="567"/>
      <c r="BO45" s="568">
        <v>3155.6</v>
      </c>
      <c r="BP45" s="567"/>
      <c r="BQ45" s="570"/>
      <c r="BR45" s="567">
        <f t="shared" si="232"/>
        <v>0</v>
      </c>
      <c r="BS45" s="567"/>
      <c r="BT45" s="568"/>
      <c r="BU45" s="567"/>
      <c r="BV45" s="570"/>
      <c r="BW45" s="567">
        <f t="shared" si="233"/>
        <v>30155.06235</v>
      </c>
      <c r="BX45" s="567"/>
      <c r="BY45" s="568">
        <f t="shared" si="38"/>
        <v>8243.7585100000015</v>
      </c>
      <c r="BZ45" s="571">
        <f>1770.12344+843.02343</f>
        <v>2613.14687</v>
      </c>
      <c r="CA45" s="571">
        <f>4257.20822+1373.40342</f>
        <v>5630.611640000001</v>
      </c>
      <c r="CB45" s="567">
        <v>21911.30384</v>
      </c>
      <c r="CC45" s="577"/>
      <c r="CD45" s="567">
        <f t="shared" si="234"/>
        <v>30155.06235</v>
      </c>
      <c r="CE45" s="567"/>
      <c r="CF45" s="568">
        <f t="shared" si="39"/>
        <v>8243.7585100000015</v>
      </c>
      <c r="CG45" s="571">
        <f>1770.12344+843.02343</f>
        <v>2613.14687</v>
      </c>
      <c r="CH45" s="571">
        <f>4257.20822+1373.40342</f>
        <v>5630.611640000001</v>
      </c>
      <c r="CI45" s="567">
        <v>21911.30384</v>
      </c>
      <c r="CJ45" s="577"/>
      <c r="CK45" s="567">
        <f t="shared" si="235"/>
        <v>6651.2051599999995</v>
      </c>
      <c r="CL45" s="567"/>
      <c r="CM45" s="567">
        <v>4745.8743899999999</v>
      </c>
      <c r="CN45" s="567">
        <f>2005.62464</f>
        <v>2005.62464</v>
      </c>
      <c r="CO45" s="567">
        <f>1349.65954</f>
        <v>1349.6595400000001</v>
      </c>
      <c r="CP45" s="567">
        <v>1905.33077</v>
      </c>
      <c r="CQ45" s="567"/>
      <c r="CR45" s="573">
        <f t="shared" si="236"/>
        <v>36806.267510000005</v>
      </c>
      <c r="CS45" s="567">
        <f t="shared" si="40"/>
        <v>36806.267510000005</v>
      </c>
      <c r="CT45" s="567">
        <f t="shared" si="41"/>
        <v>0</v>
      </c>
      <c r="CU45" s="567">
        <f t="shared" si="42"/>
        <v>12989.632900000001</v>
      </c>
      <c r="CV45" s="567">
        <f t="shared" si="43"/>
        <v>23816.634610000001</v>
      </c>
      <c r="CW45" s="567">
        <f t="shared" si="237"/>
        <v>0</v>
      </c>
      <c r="CX45" s="567">
        <f t="shared" ca="1" si="182"/>
        <v>0</v>
      </c>
      <c r="CY45" s="567">
        <f t="shared" si="44"/>
        <v>0</v>
      </c>
      <c r="CZ45" s="567">
        <f t="shared" si="45"/>
        <v>0</v>
      </c>
      <c r="DA45" s="567">
        <f t="shared" si="46"/>
        <v>0</v>
      </c>
      <c r="DB45" s="2">
        <f t="shared" si="238"/>
        <v>0</v>
      </c>
      <c r="DC45" s="76"/>
      <c r="DD45" s="545">
        <f>BM45+BM50+BM56</f>
        <v>24905.309000000001</v>
      </c>
      <c r="DE45" s="545">
        <f>DD45+DF45-BR56</f>
        <v>24905.309000000001</v>
      </c>
      <c r="DF45" s="2">
        <f t="shared" si="239"/>
        <v>0</v>
      </c>
      <c r="DG45" s="2"/>
      <c r="DH45" s="198"/>
      <c r="DI45" s="2"/>
      <c r="DJ45" s="234"/>
      <c r="DK45" s="2">
        <f t="shared" si="240"/>
        <v>0</v>
      </c>
      <c r="DL45" s="2"/>
      <c r="DM45" s="198"/>
      <c r="DN45" s="2"/>
      <c r="DO45" s="234"/>
      <c r="DP45" s="2">
        <f t="shared" si="241"/>
        <v>0</v>
      </c>
      <c r="DQ45" s="2">
        <f t="shared" si="242"/>
        <v>0</v>
      </c>
      <c r="DR45" s="2">
        <f t="shared" si="242"/>
        <v>0</v>
      </c>
      <c r="DS45" s="2">
        <f t="shared" si="242"/>
        <v>0</v>
      </c>
      <c r="DT45" s="2">
        <f t="shared" si="242"/>
        <v>0</v>
      </c>
      <c r="DU45" s="2"/>
      <c r="DV45" s="2"/>
      <c r="DW45" s="2"/>
      <c r="DX45" s="2">
        <f t="shared" ca="1" si="243"/>
        <v>0</v>
      </c>
      <c r="DY45" s="46"/>
      <c r="DZ45" s="2">
        <f t="shared" si="244"/>
        <v>30155.06235</v>
      </c>
      <c r="EA45" s="2">
        <f t="shared" si="245"/>
        <v>30155.06235</v>
      </c>
      <c r="EB45" s="46"/>
      <c r="EC45" s="546">
        <f>EA45+EA50+EA56</f>
        <v>48951.819500000005</v>
      </c>
      <c r="ED45" s="546">
        <f ca="1">DX45+DX50+DX56</f>
        <v>0</v>
      </c>
      <c r="EE45" s="46"/>
      <c r="EF45" s="2">
        <f>DE45-EC45</f>
        <v>-24046.510500000004</v>
      </c>
      <c r="EG45" s="46"/>
      <c r="EH45" s="46"/>
      <c r="EI45" s="2">
        <f t="shared" si="10"/>
        <v>30155.06235</v>
      </c>
      <c r="EJ45" s="2"/>
      <c r="EK45" s="198">
        <f t="shared" si="48"/>
        <v>8243.7585100000015</v>
      </c>
      <c r="EL45" s="446">
        <f>1770.12344+843.02343</f>
        <v>2613.14687</v>
      </c>
      <c r="EM45" s="446">
        <f>4257.20822+1373.40342</f>
        <v>5630.611640000001</v>
      </c>
      <c r="EN45" s="2">
        <v>21911.30384</v>
      </c>
      <c r="EO45" s="236"/>
      <c r="EP45" s="2">
        <f t="shared" si="14"/>
        <v>6651.2051599999995</v>
      </c>
      <c r="EQ45" s="2"/>
      <c r="ER45" s="2">
        <v>4745.8743899999999</v>
      </c>
      <c r="ES45" s="2">
        <f>2005.62464+955.18115</f>
        <v>2960.8057899999999</v>
      </c>
      <c r="ET45" s="2">
        <f>1349.65954+435.40906</f>
        <v>1785.0686000000001</v>
      </c>
      <c r="EU45" s="2">
        <v>1905.33077</v>
      </c>
      <c r="EV45" s="141"/>
      <c r="EW45" s="310"/>
      <c r="EX45" s="310"/>
      <c r="EY45" s="310"/>
      <c r="EZ45" s="396"/>
      <c r="FA45" s="396"/>
      <c r="FB45" s="310"/>
      <c r="FC45" s="310"/>
      <c r="FD45" s="310"/>
      <c r="FE45" s="396"/>
      <c r="FF45" s="396"/>
      <c r="FG45" s="396"/>
      <c r="FH45" s="311"/>
      <c r="FI45" s="310"/>
      <c r="FJ45" s="296" t="e">
        <f t="shared" si="248"/>
        <v>#DIV/0!</v>
      </c>
      <c r="FK45" s="353">
        <f t="shared" si="73"/>
        <v>9293.5</v>
      </c>
      <c r="FL45" s="353">
        <f t="shared" si="249"/>
        <v>9293.5</v>
      </c>
      <c r="FM45" s="353"/>
      <c r="FN45" s="388">
        <f t="shared" si="250"/>
        <v>1</v>
      </c>
      <c r="FO45" s="388">
        <f t="shared" si="251"/>
        <v>0</v>
      </c>
      <c r="FP45" s="353">
        <f t="shared" si="75"/>
        <v>12989.632900000001</v>
      </c>
      <c r="FQ45" s="353">
        <f t="shared" si="252"/>
        <v>8243.7585100000015</v>
      </c>
      <c r="FR45" s="353">
        <f t="shared" si="253"/>
        <v>4745.8743899999999</v>
      </c>
      <c r="FS45" s="388">
        <f t="shared" si="254"/>
        <v>0.63464137697070722</v>
      </c>
      <c r="FT45" s="388">
        <f t="shared" si="255"/>
        <v>0.36535862302929284</v>
      </c>
      <c r="FU45" s="388"/>
      <c r="FV45" s="353">
        <f t="shared" si="256"/>
        <v>12989.632900000001</v>
      </c>
      <c r="FW45" s="353">
        <f t="shared" si="77"/>
        <v>-4745.874389999999</v>
      </c>
      <c r="FX45" s="310">
        <f t="shared" ref="FX45:FX56" si="257">FY45+FZ45</f>
        <v>21911.30384</v>
      </c>
      <c r="FY45" s="310">
        <f>BD45</f>
        <v>21911.30384</v>
      </c>
      <c r="FZ45" s="310"/>
      <c r="GA45" s="396">
        <f t="shared" ref="GA45:GA56" si="258">FY45/FX45</f>
        <v>1</v>
      </c>
      <c r="GB45" s="396">
        <f t="shared" ref="GB45:GB56" si="259">FZ45/FX45</f>
        <v>0</v>
      </c>
      <c r="GC45" s="310">
        <f t="shared" si="80"/>
        <v>23816.634610000001</v>
      </c>
      <c r="GD45" s="310">
        <f t="shared" si="177"/>
        <v>21911.30384</v>
      </c>
      <c r="GE45" s="310">
        <f t="shared" si="178"/>
        <v>1905.33077</v>
      </c>
      <c r="GF45" s="396">
        <f t="shared" ref="GF45:GF56" si="260">GD45/GC45</f>
        <v>0.91999999994961501</v>
      </c>
      <c r="GG45" s="396">
        <f t="shared" ref="GG45:GG56" si="261">GE45/GC45</f>
        <v>8.0000000050384948E-2</v>
      </c>
      <c r="GH45" s="396"/>
      <c r="GI45" s="311">
        <f t="shared" ref="GI45:GI105" si="262">GC45*GA45</f>
        <v>23816.634610000001</v>
      </c>
      <c r="GJ45" s="344">
        <f t="shared" si="82"/>
        <v>-1905.3307700000005</v>
      </c>
      <c r="GK45" s="303">
        <f t="shared" si="30"/>
        <v>0.96635960414187916</v>
      </c>
    </row>
    <row r="46" spans="2:193" s="37" customFormat="1" ht="15.6" customHeight="1" x14ac:dyDescent="0.25">
      <c r="B46" s="29"/>
      <c r="C46" s="30"/>
      <c r="D46" s="30">
        <v>1</v>
      </c>
      <c r="E46" s="493">
        <v>32</v>
      </c>
      <c r="F46" s="29"/>
      <c r="G46" s="30"/>
      <c r="H46" s="30"/>
      <c r="I46" s="729"/>
      <c r="J46" s="730"/>
      <c r="K46" s="730"/>
      <c r="L46" s="154"/>
      <c r="M46" s="493">
        <v>19</v>
      </c>
      <c r="N46" s="494" t="s">
        <v>89</v>
      </c>
      <c r="O46" s="494"/>
      <c r="P46" s="494">
        <f t="shared" si="49"/>
        <v>0</v>
      </c>
      <c r="Q46" s="494" t="s">
        <v>701</v>
      </c>
      <c r="R46" s="494" t="s">
        <v>699</v>
      </c>
      <c r="S46" s="494" t="s">
        <v>593</v>
      </c>
      <c r="T46" s="156">
        <v>2</v>
      </c>
      <c r="U46" s="493"/>
      <c r="V46" s="42">
        <f t="shared" si="31"/>
        <v>915.3</v>
      </c>
      <c r="W46" s="2"/>
      <c r="X46" s="198">
        <f t="shared" si="227"/>
        <v>915.3</v>
      </c>
      <c r="Y46" s="198">
        <v>288.39999999999998</v>
      </c>
      <c r="Z46" s="42">
        <v>626.9</v>
      </c>
      <c r="AA46" s="2"/>
      <c r="AB46" s="569">
        <f t="shared" si="228"/>
        <v>915.3</v>
      </c>
      <c r="AC46" s="567"/>
      <c r="AD46" s="568">
        <f t="shared" si="229"/>
        <v>915.3</v>
      </c>
      <c r="AE46" s="568">
        <v>288.39999999999998</v>
      </c>
      <c r="AF46" s="569">
        <v>626.9</v>
      </c>
      <c r="AG46" s="567"/>
      <c r="AH46" s="573"/>
      <c r="AI46" s="569"/>
      <c r="AJ46" s="567"/>
      <c r="AK46" s="568"/>
      <c r="AL46" s="567"/>
      <c r="AM46" s="573"/>
      <c r="AN46" s="569"/>
      <c r="AO46" s="567"/>
      <c r="AP46" s="568"/>
      <c r="AQ46" s="567"/>
      <c r="AR46" s="573"/>
      <c r="AS46" s="569"/>
      <c r="AT46" s="567"/>
      <c r="AU46" s="568"/>
      <c r="AV46" s="567"/>
      <c r="AW46" s="567"/>
      <c r="AX46" s="425" t="s">
        <v>449</v>
      </c>
      <c r="AY46" s="567">
        <f t="shared" si="150"/>
        <v>915.3</v>
      </c>
      <c r="AZ46" s="567"/>
      <c r="BA46" s="568">
        <f t="shared" si="230"/>
        <v>915.3</v>
      </c>
      <c r="BB46" s="568">
        <v>288.39999999999998</v>
      </c>
      <c r="BC46" s="569">
        <v>626.9</v>
      </c>
      <c r="BD46" s="574"/>
      <c r="BE46" s="567"/>
      <c r="BF46" s="567">
        <f t="shared" si="32"/>
        <v>0</v>
      </c>
      <c r="BG46" s="567">
        <f t="shared" si="33"/>
        <v>0</v>
      </c>
      <c r="BH46" s="567">
        <f t="shared" si="34"/>
        <v>0</v>
      </c>
      <c r="BI46" s="567">
        <f t="shared" si="35"/>
        <v>0</v>
      </c>
      <c r="BJ46" s="567">
        <f t="shared" si="36"/>
        <v>0</v>
      </c>
      <c r="BK46" s="567">
        <f t="shared" si="37"/>
        <v>0</v>
      </c>
      <c r="BL46" s="567" t="e">
        <f>#REF!-BE46</f>
        <v>#REF!</v>
      </c>
      <c r="BM46" s="567">
        <f t="shared" si="231"/>
        <v>185.06900000000002</v>
      </c>
      <c r="BN46" s="567"/>
      <c r="BO46" s="568">
        <f>124+61.069</f>
        <v>185.06900000000002</v>
      </c>
      <c r="BP46" s="567"/>
      <c r="BQ46" s="567"/>
      <c r="BR46" s="567">
        <f t="shared" si="232"/>
        <v>0</v>
      </c>
      <c r="BS46" s="567"/>
      <c r="BT46" s="568"/>
      <c r="BU46" s="567"/>
      <c r="BV46" s="567"/>
      <c r="BW46" s="567">
        <f t="shared" si="233"/>
        <v>815.94681000000003</v>
      </c>
      <c r="BX46" s="567"/>
      <c r="BY46" s="568">
        <f t="shared" si="38"/>
        <v>815.94681000000003</v>
      </c>
      <c r="BZ46" s="571">
        <v>263.88594000000001</v>
      </c>
      <c r="CA46" s="571">
        <v>552.06087000000002</v>
      </c>
      <c r="CB46" s="567"/>
      <c r="CC46" s="567"/>
      <c r="CD46" s="567">
        <f t="shared" si="234"/>
        <v>815.94681000000003</v>
      </c>
      <c r="CE46" s="567"/>
      <c r="CF46" s="568">
        <f t="shared" si="39"/>
        <v>815.94681000000003</v>
      </c>
      <c r="CG46" s="571">
        <v>263.88594000000001</v>
      </c>
      <c r="CH46" s="571">
        <v>552.06087000000002</v>
      </c>
      <c r="CI46" s="567"/>
      <c r="CJ46" s="567"/>
      <c r="CK46" s="567">
        <f t="shared" si="235"/>
        <v>294.91505000000001</v>
      </c>
      <c r="CL46" s="567"/>
      <c r="CM46" s="568">
        <v>294.91505000000001</v>
      </c>
      <c r="CN46" s="569"/>
      <c r="CO46" s="569">
        <v>264.62380000000002</v>
      </c>
      <c r="CP46" s="567"/>
      <c r="CQ46" s="567"/>
      <c r="CR46" s="573">
        <f t="shared" si="236"/>
        <v>1110.86186</v>
      </c>
      <c r="CS46" s="567">
        <f t="shared" si="40"/>
        <v>1110.86186</v>
      </c>
      <c r="CT46" s="567">
        <f t="shared" si="41"/>
        <v>0</v>
      </c>
      <c r="CU46" s="567">
        <f t="shared" si="42"/>
        <v>1110.86186</v>
      </c>
      <c r="CV46" s="567">
        <f t="shared" si="43"/>
        <v>0</v>
      </c>
      <c r="CW46" s="567">
        <f t="shared" si="237"/>
        <v>0</v>
      </c>
      <c r="CX46" s="567">
        <f t="shared" ca="1" si="182"/>
        <v>0</v>
      </c>
      <c r="CY46" s="567">
        <f t="shared" si="44"/>
        <v>0</v>
      </c>
      <c r="CZ46" s="567">
        <f t="shared" si="45"/>
        <v>0</v>
      </c>
      <c r="DA46" s="567">
        <f t="shared" si="46"/>
        <v>0</v>
      </c>
      <c r="DB46" s="2">
        <f t="shared" si="238"/>
        <v>0</v>
      </c>
      <c r="DC46" s="76"/>
      <c r="DD46" s="253">
        <f>BM44+BM46+BM47+BM48+BM49+BM51+BM52+BM53+BM54+BM55+BM57+BM58</f>
        <v>15105.255319999998</v>
      </c>
      <c r="DE46" s="253">
        <f>DD46+DF48+DF53-BR49-BR51-BR55</f>
        <v>15105.255319999998</v>
      </c>
      <c r="DF46" s="2">
        <f t="shared" si="239"/>
        <v>0</v>
      </c>
      <c r="DG46" s="2"/>
      <c r="DH46" s="198"/>
      <c r="DI46" s="2"/>
      <c r="DJ46" s="2"/>
      <c r="DK46" s="2">
        <f t="shared" si="240"/>
        <v>0</v>
      </c>
      <c r="DL46" s="2"/>
      <c r="DM46" s="198"/>
      <c r="DN46" s="2"/>
      <c r="DO46" s="2"/>
      <c r="DP46" s="2">
        <f t="shared" si="241"/>
        <v>0</v>
      </c>
      <c r="DQ46" s="2">
        <f t="shared" si="242"/>
        <v>0</v>
      </c>
      <c r="DR46" s="2">
        <f t="shared" si="242"/>
        <v>0</v>
      </c>
      <c r="DS46" s="2">
        <f t="shared" si="242"/>
        <v>0</v>
      </c>
      <c r="DT46" s="2">
        <f t="shared" si="242"/>
        <v>0</v>
      </c>
      <c r="DU46" s="2"/>
      <c r="DV46" s="2"/>
      <c r="DW46" s="2"/>
      <c r="DX46" s="2">
        <f t="shared" ca="1" si="243"/>
        <v>0</v>
      </c>
      <c r="DY46" s="46"/>
      <c r="DZ46" s="2">
        <f t="shared" si="244"/>
        <v>815.94681000000003</v>
      </c>
      <c r="EA46" s="2">
        <f t="shared" si="245"/>
        <v>815.94681000000003</v>
      </c>
      <c r="EB46" s="46"/>
      <c r="EC46" s="2">
        <f>EA44+EA46+EA47+EA48+EA49+EA51+EA52+EA53+EA54+EA55+EA57+EA58</f>
        <v>92936.254839999994</v>
      </c>
      <c r="ED46" s="2">
        <f ca="1">DX44+DX46+DX47+DX48+DX49+DX51+DX52+DX53+DX54+DX55+DX57+DX58</f>
        <v>0</v>
      </c>
      <c r="EE46" s="46"/>
      <c r="EF46" s="2">
        <f>DE46-EC46</f>
        <v>-77830.999519999998</v>
      </c>
      <c r="EG46" s="46"/>
      <c r="EH46" s="46"/>
      <c r="EI46" s="2">
        <f t="shared" si="10"/>
        <v>815.94681000000003</v>
      </c>
      <c r="EJ46" s="2"/>
      <c r="EK46" s="198">
        <f t="shared" si="48"/>
        <v>815.94681000000003</v>
      </c>
      <c r="EL46" s="446">
        <v>263.88594000000001</v>
      </c>
      <c r="EM46" s="446">
        <v>552.06087000000002</v>
      </c>
      <c r="EN46" s="2"/>
      <c r="EO46" s="2"/>
      <c r="EP46" s="2">
        <f t="shared" si="14"/>
        <v>294.91505000000001</v>
      </c>
      <c r="EQ46" s="2"/>
      <c r="ER46" s="198">
        <v>294.91505000000001</v>
      </c>
      <c r="ES46" s="42">
        <v>30.291250000000002</v>
      </c>
      <c r="ET46" s="42">
        <v>264.62380000000002</v>
      </c>
      <c r="EU46" s="2"/>
      <c r="EV46" s="141"/>
      <c r="EW46" s="310"/>
      <c r="EX46" s="310"/>
      <c r="EY46" s="310"/>
      <c r="EZ46" s="396"/>
      <c r="FA46" s="396"/>
      <c r="FB46" s="310"/>
      <c r="FC46" s="310"/>
      <c r="FD46" s="310"/>
      <c r="FE46" s="396"/>
      <c r="FF46" s="396"/>
      <c r="FG46" s="396"/>
      <c r="FH46" s="311"/>
      <c r="FI46" s="310"/>
      <c r="FJ46" s="296" t="e">
        <f t="shared" si="248"/>
        <v>#DIV/0!</v>
      </c>
      <c r="FK46" s="353">
        <f t="shared" si="73"/>
        <v>915.3</v>
      </c>
      <c r="FL46" s="353">
        <f t="shared" si="249"/>
        <v>915.3</v>
      </c>
      <c r="FM46" s="353"/>
      <c r="FN46" s="388">
        <f t="shared" si="250"/>
        <v>1</v>
      </c>
      <c r="FO46" s="388">
        <f t="shared" si="251"/>
        <v>0</v>
      </c>
      <c r="FP46" s="353">
        <f t="shared" si="75"/>
        <v>1110.86186</v>
      </c>
      <c r="FQ46" s="353">
        <f t="shared" si="252"/>
        <v>815.94681000000003</v>
      </c>
      <c r="FR46" s="353">
        <f t="shared" si="253"/>
        <v>294.91505000000001</v>
      </c>
      <c r="FS46" s="388">
        <f t="shared" si="254"/>
        <v>0.73451690023816285</v>
      </c>
      <c r="FT46" s="388">
        <f t="shared" si="255"/>
        <v>0.2654830997618372</v>
      </c>
      <c r="FU46" s="388"/>
      <c r="FV46" s="353">
        <f t="shared" si="256"/>
        <v>1110.86186</v>
      </c>
      <c r="FW46" s="353">
        <f t="shared" si="77"/>
        <v>-294.91504999999995</v>
      </c>
      <c r="FX46" s="310"/>
      <c r="FY46" s="310"/>
      <c r="FZ46" s="310"/>
      <c r="GA46" s="396"/>
      <c r="GB46" s="396"/>
      <c r="GC46" s="310"/>
      <c r="GD46" s="310"/>
      <c r="GE46" s="310"/>
      <c r="GF46" s="396"/>
      <c r="GG46" s="396"/>
      <c r="GH46" s="396"/>
      <c r="GI46" s="311"/>
      <c r="GJ46" s="344"/>
      <c r="GK46" s="303">
        <f t="shared" si="30"/>
        <v>0.89145286791216005</v>
      </c>
    </row>
    <row r="47" spans="2:193" s="37" customFormat="1" ht="15.6" customHeight="1" x14ac:dyDescent="0.25">
      <c r="B47" s="29"/>
      <c r="C47" s="30"/>
      <c r="D47" s="30">
        <v>1</v>
      </c>
      <c r="E47" s="493">
        <v>33</v>
      </c>
      <c r="F47" s="29"/>
      <c r="G47" s="30"/>
      <c r="H47" s="30"/>
      <c r="I47" s="733"/>
      <c r="J47" s="734"/>
      <c r="K47" s="734"/>
      <c r="L47" s="734"/>
      <c r="M47" s="493">
        <v>20</v>
      </c>
      <c r="N47" s="494" t="s">
        <v>196</v>
      </c>
      <c r="O47" s="494"/>
      <c r="P47" s="494">
        <f t="shared" si="49"/>
        <v>0</v>
      </c>
      <c r="Q47" s="494" t="s">
        <v>701</v>
      </c>
      <c r="R47" s="494" t="s">
        <v>699</v>
      </c>
      <c r="S47" s="494" t="s">
        <v>603</v>
      </c>
      <c r="T47" s="156">
        <v>2</v>
      </c>
      <c r="U47" s="493"/>
      <c r="V47" s="42">
        <f t="shared" si="31"/>
        <v>2240.1999999999998</v>
      </c>
      <c r="W47" s="2"/>
      <c r="X47" s="198">
        <f t="shared" si="227"/>
        <v>2240.1999999999998</v>
      </c>
      <c r="Y47" s="198">
        <v>705.8</v>
      </c>
      <c r="Z47" s="42">
        <v>1534.4</v>
      </c>
      <c r="AA47" s="2"/>
      <c r="AB47" s="569">
        <f t="shared" si="228"/>
        <v>2240.1999999999998</v>
      </c>
      <c r="AC47" s="567"/>
      <c r="AD47" s="568">
        <f t="shared" si="229"/>
        <v>2240.1999999999998</v>
      </c>
      <c r="AE47" s="568">
        <v>705.8</v>
      </c>
      <c r="AF47" s="569">
        <v>1534.4</v>
      </c>
      <c r="AG47" s="567"/>
      <c r="AH47" s="573"/>
      <c r="AI47" s="569"/>
      <c r="AJ47" s="567"/>
      <c r="AK47" s="568"/>
      <c r="AL47" s="567"/>
      <c r="AM47" s="573"/>
      <c r="AN47" s="569"/>
      <c r="AO47" s="567"/>
      <c r="AP47" s="568"/>
      <c r="AQ47" s="567"/>
      <c r="AR47" s="573"/>
      <c r="AS47" s="569"/>
      <c r="AT47" s="567"/>
      <c r="AU47" s="568"/>
      <c r="AV47" s="567"/>
      <c r="AW47" s="567"/>
      <c r="AX47" s="409" t="s">
        <v>458</v>
      </c>
      <c r="AY47" s="567">
        <f t="shared" si="150"/>
        <v>2240.1999999999998</v>
      </c>
      <c r="AZ47" s="567"/>
      <c r="BA47" s="568">
        <f t="shared" si="230"/>
        <v>2240.1999999999998</v>
      </c>
      <c r="BB47" s="568">
        <v>705.8</v>
      </c>
      <c r="BC47" s="569">
        <v>1534.4</v>
      </c>
      <c r="BD47" s="567"/>
      <c r="BE47" s="567"/>
      <c r="BF47" s="567">
        <f t="shared" si="32"/>
        <v>0</v>
      </c>
      <c r="BG47" s="567">
        <f t="shared" si="33"/>
        <v>0</v>
      </c>
      <c r="BH47" s="567">
        <f t="shared" si="34"/>
        <v>0</v>
      </c>
      <c r="BI47" s="567">
        <f t="shared" si="35"/>
        <v>0</v>
      </c>
      <c r="BJ47" s="567">
        <f t="shared" si="36"/>
        <v>0</v>
      </c>
      <c r="BK47" s="567">
        <f t="shared" si="37"/>
        <v>0</v>
      </c>
      <c r="BL47" s="567" t="e">
        <f>#REF!-BE47</f>
        <v>#REF!</v>
      </c>
      <c r="BM47" s="567">
        <f t="shared" si="231"/>
        <v>662.74600000000009</v>
      </c>
      <c r="BN47" s="567"/>
      <c r="BO47" s="568">
        <f>314.6+348.146</f>
        <v>662.74600000000009</v>
      </c>
      <c r="BP47" s="567"/>
      <c r="BQ47" s="567"/>
      <c r="BR47" s="567">
        <f t="shared" si="232"/>
        <v>0</v>
      </c>
      <c r="BS47" s="567"/>
      <c r="BT47" s="567"/>
      <c r="BU47" s="567"/>
      <c r="BV47" s="567"/>
      <c r="BW47" s="567">
        <f t="shared" si="233"/>
        <v>1850.8409499999998</v>
      </c>
      <c r="BX47" s="567"/>
      <c r="BY47" s="578">
        <f t="shared" si="38"/>
        <v>1850.8409499999998</v>
      </c>
      <c r="BZ47" s="571">
        <v>571.61442</v>
      </c>
      <c r="CA47" s="571">
        <v>1279.2265299999999</v>
      </c>
      <c r="CB47" s="567"/>
      <c r="CC47" s="567"/>
      <c r="CD47" s="567">
        <f t="shared" si="234"/>
        <v>1850.8409499999998</v>
      </c>
      <c r="CE47" s="567"/>
      <c r="CF47" s="578">
        <f t="shared" si="39"/>
        <v>1850.8409499999998</v>
      </c>
      <c r="CG47" s="571">
        <v>571.61442</v>
      </c>
      <c r="CH47" s="571">
        <v>1279.2265299999999</v>
      </c>
      <c r="CI47" s="567"/>
      <c r="CJ47" s="567"/>
      <c r="CK47" s="567">
        <f t="shared" si="235"/>
        <v>548.10969</v>
      </c>
      <c r="CL47" s="567"/>
      <c r="CM47" s="567">
        <f t="shared" si="102"/>
        <v>548.10969</v>
      </c>
      <c r="CN47" s="567">
        <v>63.646329999999999</v>
      </c>
      <c r="CO47" s="567">
        <v>484.46336000000002</v>
      </c>
      <c r="CP47" s="567"/>
      <c r="CQ47" s="567"/>
      <c r="CR47" s="573">
        <f t="shared" si="236"/>
        <v>2398.95064</v>
      </c>
      <c r="CS47" s="567">
        <f t="shared" si="40"/>
        <v>2398.95064</v>
      </c>
      <c r="CT47" s="567">
        <f t="shared" si="41"/>
        <v>0</v>
      </c>
      <c r="CU47" s="567">
        <f t="shared" si="42"/>
        <v>2398.95064</v>
      </c>
      <c r="CV47" s="567">
        <f t="shared" si="43"/>
        <v>0</v>
      </c>
      <c r="CW47" s="567">
        <f t="shared" si="237"/>
        <v>0</v>
      </c>
      <c r="CX47" s="567">
        <f t="shared" ca="1" si="182"/>
        <v>0</v>
      </c>
      <c r="CY47" s="567">
        <f t="shared" si="44"/>
        <v>0</v>
      </c>
      <c r="CZ47" s="567">
        <f t="shared" si="45"/>
        <v>0</v>
      </c>
      <c r="DA47" s="567">
        <f t="shared" si="46"/>
        <v>0</v>
      </c>
      <c r="DB47" s="2">
        <f t="shared" si="238"/>
        <v>0</v>
      </c>
      <c r="DC47" s="76"/>
      <c r="DD47" s="253"/>
      <c r="DE47" s="253"/>
      <c r="DF47" s="2">
        <f t="shared" si="239"/>
        <v>0</v>
      </c>
      <c r="DG47" s="2"/>
      <c r="DH47" s="2"/>
      <c r="DI47" s="2"/>
      <c r="DJ47" s="2"/>
      <c r="DK47" s="2">
        <f t="shared" si="240"/>
        <v>0</v>
      </c>
      <c r="DL47" s="2"/>
      <c r="DM47" s="2"/>
      <c r="DN47" s="2"/>
      <c r="DO47" s="2"/>
      <c r="DP47" s="2">
        <f t="shared" si="241"/>
        <v>0</v>
      </c>
      <c r="DQ47" s="2">
        <f t="shared" si="242"/>
        <v>0</v>
      </c>
      <c r="DR47" s="2">
        <f t="shared" si="242"/>
        <v>0</v>
      </c>
      <c r="DS47" s="2">
        <f t="shared" si="242"/>
        <v>0</v>
      </c>
      <c r="DT47" s="2">
        <f t="shared" si="242"/>
        <v>0</v>
      </c>
      <c r="DU47" s="2"/>
      <c r="DV47" s="2"/>
      <c r="DW47" s="2"/>
      <c r="DX47" s="2">
        <f t="shared" ca="1" si="243"/>
        <v>0</v>
      </c>
      <c r="DY47" s="46"/>
      <c r="DZ47" s="2">
        <f t="shared" si="244"/>
        <v>1850.8409499999998</v>
      </c>
      <c r="EA47" s="2">
        <f t="shared" si="245"/>
        <v>1850.8409499999998</v>
      </c>
      <c r="EB47" s="46"/>
      <c r="EC47" s="2"/>
      <c r="ED47" s="2"/>
      <c r="EE47" s="46"/>
      <c r="EF47" s="2"/>
      <c r="EG47" s="46"/>
      <c r="EH47" s="46"/>
      <c r="EI47" s="2">
        <f t="shared" si="10"/>
        <v>1850.8409499999998</v>
      </c>
      <c r="EJ47" s="2"/>
      <c r="EK47" s="433">
        <f t="shared" si="48"/>
        <v>1850.8409499999998</v>
      </c>
      <c r="EL47" s="446">
        <v>571.61442</v>
      </c>
      <c r="EM47" s="446">
        <v>1279.2265299999999</v>
      </c>
      <c r="EN47" s="2"/>
      <c r="EO47" s="2"/>
      <c r="EP47" s="2">
        <f t="shared" si="14"/>
        <v>548.10969</v>
      </c>
      <c r="EQ47" s="2"/>
      <c r="ER47" s="2">
        <f t="shared" si="104"/>
        <v>548.10969</v>
      </c>
      <c r="ES47" s="2">
        <v>63.646329999999999</v>
      </c>
      <c r="ET47" s="2">
        <v>484.46336000000002</v>
      </c>
      <c r="EU47" s="2"/>
      <c r="EV47" s="141"/>
      <c r="EW47" s="310"/>
      <c r="EX47" s="310"/>
      <c r="EY47" s="310"/>
      <c r="EZ47" s="396"/>
      <c r="FA47" s="396"/>
      <c r="FB47" s="310"/>
      <c r="FC47" s="310"/>
      <c r="FD47" s="310"/>
      <c r="FE47" s="396"/>
      <c r="FF47" s="396"/>
      <c r="FG47" s="396"/>
      <c r="FH47" s="311"/>
      <c r="FI47" s="310"/>
      <c r="FJ47" s="296" t="e">
        <f t="shared" si="248"/>
        <v>#DIV/0!</v>
      </c>
      <c r="FK47" s="353">
        <f t="shared" si="73"/>
        <v>2240.1999999999998</v>
      </c>
      <c r="FL47" s="353">
        <f t="shared" si="249"/>
        <v>2240.1999999999998</v>
      </c>
      <c r="FM47" s="353"/>
      <c r="FN47" s="388">
        <f t="shared" si="250"/>
        <v>1</v>
      </c>
      <c r="FO47" s="388">
        <f t="shared" si="251"/>
        <v>0</v>
      </c>
      <c r="FP47" s="353">
        <f t="shared" si="75"/>
        <v>2398.95064</v>
      </c>
      <c r="FQ47" s="353">
        <f t="shared" si="252"/>
        <v>1850.8409499999998</v>
      </c>
      <c r="FR47" s="353">
        <f t="shared" si="253"/>
        <v>548.10969</v>
      </c>
      <c r="FS47" s="388">
        <f t="shared" si="254"/>
        <v>0.77152106389316943</v>
      </c>
      <c r="FT47" s="388">
        <f t="shared" si="255"/>
        <v>0.22847893610683045</v>
      </c>
      <c r="FU47" s="388"/>
      <c r="FV47" s="353">
        <f t="shared" si="256"/>
        <v>2398.95064</v>
      </c>
      <c r="FW47" s="353">
        <f t="shared" si="77"/>
        <v>-548.10969000000023</v>
      </c>
      <c r="FX47" s="310"/>
      <c r="FY47" s="310"/>
      <c r="FZ47" s="310"/>
      <c r="GA47" s="396"/>
      <c r="GB47" s="396"/>
      <c r="GC47" s="310"/>
      <c r="GD47" s="310"/>
      <c r="GE47" s="310"/>
      <c r="GF47" s="396"/>
      <c r="GG47" s="396"/>
      <c r="GH47" s="396"/>
      <c r="GI47" s="311"/>
      <c r="GJ47" s="344"/>
      <c r="GK47" s="303">
        <f t="shared" si="30"/>
        <v>0.82619451388268905</v>
      </c>
    </row>
    <row r="48" spans="2:193" s="37" customFormat="1" ht="15" customHeight="1" x14ac:dyDescent="0.25">
      <c r="B48" s="29"/>
      <c r="C48" s="30"/>
      <c r="D48" s="30">
        <v>1</v>
      </c>
      <c r="E48" s="493">
        <v>34</v>
      </c>
      <c r="F48" s="29"/>
      <c r="G48" s="30"/>
      <c r="H48" s="30">
        <v>1</v>
      </c>
      <c r="I48" s="493"/>
      <c r="J48" s="494"/>
      <c r="K48" s="199"/>
      <c r="L48" s="53"/>
      <c r="M48" s="493">
        <v>21</v>
      </c>
      <c r="N48" s="494" t="s">
        <v>90</v>
      </c>
      <c r="O48" s="494"/>
      <c r="P48" s="494">
        <f t="shared" si="49"/>
        <v>0</v>
      </c>
      <c r="Q48" s="494" t="s">
        <v>701</v>
      </c>
      <c r="R48" s="494" t="s">
        <v>699</v>
      </c>
      <c r="S48" s="494" t="s">
        <v>615</v>
      </c>
      <c r="T48" s="156">
        <v>2</v>
      </c>
      <c r="U48" s="493"/>
      <c r="V48" s="42">
        <f t="shared" si="31"/>
        <v>3033.9</v>
      </c>
      <c r="W48" s="2"/>
      <c r="X48" s="198">
        <f t="shared" si="227"/>
        <v>3033.9</v>
      </c>
      <c r="Y48" s="198">
        <v>955.9</v>
      </c>
      <c r="Z48" s="42">
        <v>2078</v>
      </c>
      <c r="AA48" s="2"/>
      <c r="AB48" s="569">
        <f t="shared" si="228"/>
        <v>3033.9</v>
      </c>
      <c r="AC48" s="567"/>
      <c r="AD48" s="568">
        <f t="shared" si="229"/>
        <v>3033.9</v>
      </c>
      <c r="AE48" s="568">
        <v>955.9</v>
      </c>
      <c r="AF48" s="569">
        <v>2078</v>
      </c>
      <c r="AG48" s="567"/>
      <c r="AH48" s="570"/>
      <c r="AI48" s="569"/>
      <c r="AJ48" s="567"/>
      <c r="AK48" s="568"/>
      <c r="AL48" s="567"/>
      <c r="AM48" s="570"/>
      <c r="AN48" s="569"/>
      <c r="AO48" s="567"/>
      <c r="AP48" s="568"/>
      <c r="AQ48" s="567"/>
      <c r="AR48" s="570"/>
      <c r="AS48" s="569"/>
      <c r="AT48" s="567"/>
      <c r="AU48" s="568"/>
      <c r="AV48" s="567"/>
      <c r="AW48" s="570"/>
      <c r="AX48" s="409" t="s">
        <v>468</v>
      </c>
      <c r="AY48" s="567">
        <f t="shared" si="150"/>
        <v>3033.9</v>
      </c>
      <c r="AZ48" s="567"/>
      <c r="BA48" s="568">
        <f t="shared" si="230"/>
        <v>3033.9</v>
      </c>
      <c r="BB48" s="568">
        <v>955.9</v>
      </c>
      <c r="BC48" s="569">
        <v>2078</v>
      </c>
      <c r="BD48" s="574"/>
      <c r="BE48" s="570"/>
      <c r="BF48" s="567">
        <f t="shared" si="32"/>
        <v>0</v>
      </c>
      <c r="BG48" s="567">
        <f t="shared" si="33"/>
        <v>0</v>
      </c>
      <c r="BH48" s="567">
        <f t="shared" si="34"/>
        <v>0</v>
      </c>
      <c r="BI48" s="567">
        <f t="shared" si="35"/>
        <v>0</v>
      </c>
      <c r="BJ48" s="567">
        <f t="shared" si="36"/>
        <v>0</v>
      </c>
      <c r="BK48" s="567">
        <f t="shared" si="37"/>
        <v>0</v>
      </c>
      <c r="BL48" s="567" t="e">
        <f>#REF!-BE48</f>
        <v>#REF!</v>
      </c>
      <c r="BM48" s="567">
        <f t="shared" si="231"/>
        <v>381.8</v>
      </c>
      <c r="BN48" s="567"/>
      <c r="BO48" s="568">
        <f>166+215.8</f>
        <v>381.8</v>
      </c>
      <c r="BP48" s="567"/>
      <c r="BQ48" s="570"/>
      <c r="BR48" s="567">
        <f t="shared" si="232"/>
        <v>0</v>
      </c>
      <c r="BS48" s="567"/>
      <c r="BT48" s="568"/>
      <c r="BU48" s="567"/>
      <c r="BV48" s="570"/>
      <c r="BW48" s="567">
        <f t="shared" si="233"/>
        <v>2667.2062500000002</v>
      </c>
      <c r="BX48" s="567"/>
      <c r="BY48" s="568">
        <f t="shared" si="38"/>
        <v>2667.2062500000002</v>
      </c>
      <c r="BZ48" s="571">
        <f>298.10471+298.10471+359.69058</f>
        <v>955.90000000000009</v>
      </c>
      <c r="CA48" s="571">
        <v>1711.3062500000001</v>
      </c>
      <c r="CB48" s="567"/>
      <c r="CC48" s="577"/>
      <c r="CD48" s="567">
        <f t="shared" si="234"/>
        <v>2667.2062500000002</v>
      </c>
      <c r="CE48" s="567"/>
      <c r="CF48" s="568">
        <f t="shared" si="39"/>
        <v>2667.2062500000002</v>
      </c>
      <c r="CG48" s="571">
        <f>298.10471+298.10471+359.69058</f>
        <v>955.90000000000009</v>
      </c>
      <c r="CH48" s="571">
        <v>1711.3062500000001</v>
      </c>
      <c r="CI48" s="567"/>
      <c r="CJ48" s="577"/>
      <c r="CK48" s="567">
        <f t="shared" si="235"/>
        <v>547.06056999999998</v>
      </c>
      <c r="CL48" s="567"/>
      <c r="CM48" s="567">
        <v>547.06056999999998</v>
      </c>
      <c r="CN48" s="567"/>
      <c r="CO48" s="567"/>
      <c r="CP48" s="567"/>
      <c r="CQ48" s="567"/>
      <c r="CR48" s="573">
        <f t="shared" si="236"/>
        <v>3214.2668200000003</v>
      </c>
      <c r="CS48" s="567">
        <f t="shared" si="40"/>
        <v>3214.2668200000003</v>
      </c>
      <c r="CT48" s="567">
        <f t="shared" si="41"/>
        <v>0</v>
      </c>
      <c r="CU48" s="567">
        <f t="shared" si="42"/>
        <v>3214.2668200000003</v>
      </c>
      <c r="CV48" s="567">
        <f t="shared" si="43"/>
        <v>0</v>
      </c>
      <c r="CW48" s="567">
        <f t="shared" si="237"/>
        <v>0</v>
      </c>
      <c r="CX48" s="567">
        <f t="shared" ca="1" si="182"/>
        <v>0</v>
      </c>
      <c r="CY48" s="567">
        <f t="shared" si="44"/>
        <v>0</v>
      </c>
      <c r="CZ48" s="567">
        <f t="shared" si="45"/>
        <v>0</v>
      </c>
      <c r="DA48" s="567">
        <f t="shared" si="46"/>
        <v>0</v>
      </c>
      <c r="DB48" s="2">
        <f t="shared" si="238"/>
        <v>0</v>
      </c>
      <c r="DC48" s="76"/>
      <c r="DD48" s="253"/>
      <c r="DE48" s="253"/>
      <c r="DF48" s="2">
        <f t="shared" si="239"/>
        <v>0</v>
      </c>
      <c r="DG48" s="2"/>
      <c r="DH48" s="198"/>
      <c r="DI48" s="2"/>
      <c r="DJ48" s="234"/>
      <c r="DK48" s="2">
        <f t="shared" si="240"/>
        <v>0</v>
      </c>
      <c r="DL48" s="2"/>
      <c r="DM48" s="198"/>
      <c r="DN48" s="2"/>
      <c r="DO48" s="234"/>
      <c r="DP48" s="2">
        <f t="shared" si="241"/>
        <v>0</v>
      </c>
      <c r="DQ48" s="2">
        <f t="shared" si="242"/>
        <v>0</v>
      </c>
      <c r="DR48" s="2">
        <f t="shared" si="242"/>
        <v>0</v>
      </c>
      <c r="DS48" s="2">
        <f t="shared" si="242"/>
        <v>0</v>
      </c>
      <c r="DT48" s="2">
        <f t="shared" si="242"/>
        <v>0</v>
      </c>
      <c r="DU48" s="2"/>
      <c r="DV48" s="2"/>
      <c r="DW48" s="2"/>
      <c r="DX48" s="2">
        <f t="shared" ca="1" si="243"/>
        <v>0</v>
      </c>
      <c r="DY48" s="46"/>
      <c r="DZ48" s="2">
        <f t="shared" si="244"/>
        <v>2667.2062500000002</v>
      </c>
      <c r="EA48" s="2">
        <f t="shared" si="245"/>
        <v>2667.2062500000002</v>
      </c>
      <c r="EB48" s="46"/>
      <c r="EC48" s="2"/>
      <c r="ED48" s="2"/>
      <c r="EE48" s="46"/>
      <c r="EF48" s="2"/>
      <c r="EG48" s="46"/>
      <c r="EH48" s="46"/>
      <c r="EI48" s="2">
        <f t="shared" si="10"/>
        <v>2667.2062500000002</v>
      </c>
      <c r="EJ48" s="2"/>
      <c r="EK48" s="198">
        <f t="shared" si="48"/>
        <v>2667.2062500000002</v>
      </c>
      <c r="EL48" s="446">
        <f>298.10471+298.10471+359.69058</f>
        <v>955.90000000000009</v>
      </c>
      <c r="EM48" s="446">
        <v>1711.3062500000001</v>
      </c>
      <c r="EN48" s="2"/>
      <c r="EO48" s="236"/>
      <c r="EP48" s="2">
        <f t="shared" si="14"/>
        <v>547.06056999999998</v>
      </c>
      <c r="EQ48" s="2"/>
      <c r="ER48" s="2">
        <v>547.06056999999998</v>
      </c>
      <c r="ES48" s="2">
        <f>93.55729+93.55729+112.88542</f>
        <v>300</v>
      </c>
      <c r="ET48" s="2">
        <v>247.06057000000001</v>
      </c>
      <c r="EU48" s="2"/>
      <c r="EV48" s="141"/>
      <c r="EW48" s="310"/>
      <c r="EX48" s="310"/>
      <c r="EY48" s="310"/>
      <c r="EZ48" s="396"/>
      <c r="FA48" s="396"/>
      <c r="FB48" s="310"/>
      <c r="FC48" s="310"/>
      <c r="FD48" s="310"/>
      <c r="FE48" s="396"/>
      <c r="FF48" s="396"/>
      <c r="FG48" s="396"/>
      <c r="FH48" s="311"/>
      <c r="FI48" s="310"/>
      <c r="FJ48" s="296" t="e">
        <f t="shared" si="248"/>
        <v>#DIV/0!</v>
      </c>
      <c r="FK48" s="353">
        <f t="shared" si="73"/>
        <v>3033.9</v>
      </c>
      <c r="FL48" s="353">
        <f t="shared" si="249"/>
        <v>3033.9</v>
      </c>
      <c r="FM48" s="353"/>
      <c r="FN48" s="388">
        <f t="shared" si="250"/>
        <v>1</v>
      </c>
      <c r="FO48" s="388">
        <f t="shared" si="251"/>
        <v>0</v>
      </c>
      <c r="FP48" s="353">
        <f t="shared" si="75"/>
        <v>3214.2668200000003</v>
      </c>
      <c r="FQ48" s="353">
        <f t="shared" si="252"/>
        <v>2667.2062500000002</v>
      </c>
      <c r="FR48" s="353">
        <f t="shared" si="253"/>
        <v>547.06056999999998</v>
      </c>
      <c r="FS48" s="388">
        <f t="shared" si="254"/>
        <v>0.82980237776277699</v>
      </c>
      <c r="FT48" s="388">
        <f t="shared" si="255"/>
        <v>0.17019762223722296</v>
      </c>
      <c r="FU48" s="388"/>
      <c r="FV48" s="353">
        <f t="shared" si="256"/>
        <v>3214.2668200000003</v>
      </c>
      <c r="FW48" s="353">
        <f t="shared" si="77"/>
        <v>-547.0605700000001</v>
      </c>
      <c r="FX48" s="310"/>
      <c r="FY48" s="310"/>
      <c r="FZ48" s="310"/>
      <c r="GA48" s="396"/>
      <c r="GB48" s="396"/>
      <c r="GC48" s="310"/>
      <c r="GD48" s="310"/>
      <c r="GE48" s="310"/>
      <c r="GF48" s="396"/>
      <c r="GG48" s="396"/>
      <c r="GH48" s="396"/>
      <c r="GI48" s="311"/>
      <c r="GJ48" s="344"/>
      <c r="GK48" s="303">
        <f t="shared" si="30"/>
        <v>0.87913452981311191</v>
      </c>
    </row>
    <row r="49" spans="2:193" s="37" customFormat="1" ht="14.45" customHeight="1" x14ac:dyDescent="0.25">
      <c r="B49" s="29"/>
      <c r="C49" s="30"/>
      <c r="D49" s="30">
        <v>1</v>
      </c>
      <c r="E49" s="493">
        <v>35</v>
      </c>
      <c r="F49" s="29"/>
      <c r="G49" s="30"/>
      <c r="H49" s="30">
        <v>1</v>
      </c>
      <c r="I49" s="729" t="s">
        <v>266</v>
      </c>
      <c r="J49" s="730"/>
      <c r="K49" s="730"/>
      <c r="L49" s="154">
        <f>L48</f>
        <v>0</v>
      </c>
      <c r="M49" s="493">
        <v>22</v>
      </c>
      <c r="N49" s="494" t="s">
        <v>91</v>
      </c>
      <c r="O49" s="494"/>
      <c r="P49" s="494">
        <f t="shared" si="49"/>
        <v>0</v>
      </c>
      <c r="Q49" s="494" t="s">
        <v>711</v>
      </c>
      <c r="R49" s="469" t="s">
        <v>699</v>
      </c>
      <c r="S49" s="494" t="s">
        <v>616</v>
      </c>
      <c r="T49" s="156">
        <v>3</v>
      </c>
      <c r="U49" s="493"/>
      <c r="V49" s="42">
        <f t="shared" si="31"/>
        <v>6399.482</v>
      </c>
      <c r="W49" s="2"/>
      <c r="X49" s="198">
        <f t="shared" si="227"/>
        <v>3206.6000000000004</v>
      </c>
      <c r="Y49" s="198">
        <v>1010.3</v>
      </c>
      <c r="Z49" s="42">
        <v>2196.3000000000002</v>
      </c>
      <c r="AA49" s="2">
        <v>3192.8820000000001</v>
      </c>
      <c r="AB49" s="569">
        <f t="shared" si="228"/>
        <v>6399.482</v>
      </c>
      <c r="AC49" s="567"/>
      <c r="AD49" s="568">
        <f t="shared" si="229"/>
        <v>3206.6000000000004</v>
      </c>
      <c r="AE49" s="568">
        <v>1010.3</v>
      </c>
      <c r="AF49" s="569">
        <v>2196.3000000000002</v>
      </c>
      <c r="AG49" s="567">
        <v>3192.8820000000001</v>
      </c>
      <c r="AH49" s="570"/>
      <c r="AI49" s="569"/>
      <c r="AJ49" s="567"/>
      <c r="AK49" s="568"/>
      <c r="AL49" s="567"/>
      <c r="AM49" s="570"/>
      <c r="AN49" s="569"/>
      <c r="AO49" s="567"/>
      <c r="AP49" s="568"/>
      <c r="AQ49" s="567"/>
      <c r="AR49" s="570"/>
      <c r="AS49" s="569"/>
      <c r="AT49" s="567"/>
      <c r="AU49" s="568"/>
      <c r="AV49" s="567"/>
      <c r="AW49" s="570"/>
      <c r="AX49" s="409" t="s">
        <v>469</v>
      </c>
      <c r="AY49" s="567">
        <f t="shared" si="150"/>
        <v>6399.482</v>
      </c>
      <c r="AZ49" s="567"/>
      <c r="BA49" s="568">
        <f t="shared" si="230"/>
        <v>3206.6000000000004</v>
      </c>
      <c r="BB49" s="568">
        <v>1010.3</v>
      </c>
      <c r="BC49" s="569">
        <v>2196.3000000000002</v>
      </c>
      <c r="BD49" s="574">
        <v>3192.8820000000001</v>
      </c>
      <c r="BE49" s="567"/>
      <c r="BF49" s="567">
        <f t="shared" si="32"/>
        <v>0</v>
      </c>
      <c r="BG49" s="567">
        <f t="shared" si="33"/>
        <v>0</v>
      </c>
      <c r="BH49" s="567">
        <f t="shared" si="34"/>
        <v>0</v>
      </c>
      <c r="BI49" s="567">
        <f t="shared" si="35"/>
        <v>0</v>
      </c>
      <c r="BJ49" s="567">
        <f t="shared" si="36"/>
        <v>0</v>
      </c>
      <c r="BK49" s="567">
        <f t="shared" si="37"/>
        <v>0</v>
      </c>
      <c r="BL49" s="567" t="e">
        <f>#REF!-BE49</f>
        <v>#REF!</v>
      </c>
      <c r="BM49" s="567">
        <f t="shared" si="231"/>
        <v>963.7</v>
      </c>
      <c r="BN49" s="567"/>
      <c r="BO49" s="568">
        <f>419+544.7</f>
        <v>963.7</v>
      </c>
      <c r="BP49" s="567"/>
      <c r="BQ49" s="567"/>
      <c r="BR49" s="567">
        <f t="shared" si="232"/>
        <v>0</v>
      </c>
      <c r="BS49" s="567"/>
      <c r="BT49" s="567"/>
      <c r="BU49" s="567"/>
      <c r="BV49" s="567"/>
      <c r="BW49" s="567">
        <f t="shared" si="233"/>
        <v>5364.5689000000002</v>
      </c>
      <c r="BX49" s="567"/>
      <c r="BY49" s="568">
        <f t="shared" si="38"/>
        <v>2372.3057099999996</v>
      </c>
      <c r="BZ49" s="571">
        <v>545.20324000000005</v>
      </c>
      <c r="CA49" s="571">
        <f>1034.83889+301.85594+490.40764</f>
        <v>1827.1024699999998</v>
      </c>
      <c r="CB49" s="567">
        <f>2472.18904+520.07415</f>
        <v>2992.2631900000001</v>
      </c>
      <c r="CC49" s="567"/>
      <c r="CD49" s="567">
        <f t="shared" si="234"/>
        <v>5364.5689000000002</v>
      </c>
      <c r="CE49" s="567"/>
      <c r="CF49" s="568">
        <f t="shared" si="39"/>
        <v>2372.3057099999996</v>
      </c>
      <c r="CG49" s="571">
        <v>545.20324000000005</v>
      </c>
      <c r="CH49" s="571">
        <f>1034.83889+301.85594+490.40764</f>
        <v>1827.1024699999998</v>
      </c>
      <c r="CI49" s="567">
        <f>2472.18904+520.07415</f>
        <v>2992.2631900000001</v>
      </c>
      <c r="CJ49" s="567"/>
      <c r="CK49" s="567">
        <f t="shared" si="235"/>
        <v>710.04290999999989</v>
      </c>
      <c r="CL49" s="567"/>
      <c r="CM49" s="567">
        <v>340.21249999999998</v>
      </c>
      <c r="CN49" s="567"/>
      <c r="CO49" s="567"/>
      <c r="CP49" s="567">
        <v>369.83040999999997</v>
      </c>
      <c r="CQ49" s="567"/>
      <c r="CR49" s="573">
        <f t="shared" si="236"/>
        <v>6074.6118100000003</v>
      </c>
      <c r="CS49" s="567">
        <f t="shared" si="40"/>
        <v>6074.6118100000003</v>
      </c>
      <c r="CT49" s="567">
        <f t="shared" si="41"/>
        <v>0</v>
      </c>
      <c r="CU49" s="567">
        <f t="shared" si="42"/>
        <v>2712.5182099999997</v>
      </c>
      <c r="CV49" s="567">
        <f t="shared" si="43"/>
        <v>3362.0936000000002</v>
      </c>
      <c r="CW49" s="567">
        <f t="shared" si="237"/>
        <v>0</v>
      </c>
      <c r="CX49" s="567">
        <f t="shared" ca="1" si="182"/>
        <v>0</v>
      </c>
      <c r="CY49" s="567">
        <f t="shared" si="44"/>
        <v>0</v>
      </c>
      <c r="CZ49" s="567">
        <f t="shared" si="45"/>
        <v>0</v>
      </c>
      <c r="DA49" s="567">
        <f t="shared" si="46"/>
        <v>0</v>
      </c>
      <c r="DB49" s="2">
        <f t="shared" si="238"/>
        <v>0</v>
      </c>
      <c r="DC49" s="76"/>
      <c r="DD49" s="253"/>
      <c r="DE49" s="253"/>
      <c r="DF49" s="2">
        <f t="shared" si="239"/>
        <v>0</v>
      </c>
      <c r="DG49" s="2"/>
      <c r="DH49" s="2"/>
      <c r="DI49" s="2"/>
      <c r="DJ49" s="2"/>
      <c r="DK49" s="2">
        <f t="shared" si="240"/>
        <v>0</v>
      </c>
      <c r="DL49" s="2"/>
      <c r="DM49" s="2"/>
      <c r="DN49" s="2"/>
      <c r="DO49" s="2"/>
      <c r="DP49" s="2">
        <f t="shared" si="241"/>
        <v>0</v>
      </c>
      <c r="DQ49" s="2">
        <f t="shared" si="242"/>
        <v>0</v>
      </c>
      <c r="DR49" s="2">
        <f t="shared" si="242"/>
        <v>0</v>
      </c>
      <c r="DS49" s="2">
        <f t="shared" si="242"/>
        <v>0</v>
      </c>
      <c r="DT49" s="2">
        <f t="shared" si="242"/>
        <v>0</v>
      </c>
      <c r="DU49" s="2"/>
      <c r="DV49" s="2"/>
      <c r="DW49" s="2"/>
      <c r="DX49" s="2">
        <f t="shared" ca="1" si="243"/>
        <v>0</v>
      </c>
      <c r="DY49" s="46"/>
      <c r="DZ49" s="2">
        <f t="shared" si="244"/>
        <v>5364.5689000000002</v>
      </c>
      <c r="EA49" s="2">
        <f t="shared" si="245"/>
        <v>5364.5689000000002</v>
      </c>
      <c r="EB49" s="46"/>
      <c r="EC49" s="2"/>
      <c r="ED49" s="2"/>
      <c r="EE49" s="46"/>
      <c r="EF49" s="2"/>
      <c r="EG49" s="46"/>
      <c r="EH49" s="46"/>
      <c r="EI49" s="2">
        <f t="shared" si="10"/>
        <v>5364.5689000000002</v>
      </c>
      <c r="EJ49" s="2"/>
      <c r="EK49" s="198">
        <f t="shared" si="48"/>
        <v>2372.3057099999996</v>
      </c>
      <c r="EL49" s="446">
        <v>545.20324000000005</v>
      </c>
      <c r="EM49" s="446">
        <f>1034.83889+301.85594+490.40764</f>
        <v>1827.1024699999998</v>
      </c>
      <c r="EN49" s="2">
        <f>2472.18904+520.07415</f>
        <v>2992.2631900000001</v>
      </c>
      <c r="EO49" s="2"/>
      <c r="EP49" s="2">
        <f t="shared" si="14"/>
        <v>710.04290999999989</v>
      </c>
      <c r="EQ49" s="2"/>
      <c r="ER49" s="2">
        <v>340.21249999999998</v>
      </c>
      <c r="ES49" s="2">
        <v>114.39069000000001</v>
      </c>
      <c r="ET49" s="2">
        <f>127.90153+37.30806+60.61222</f>
        <v>225.82181</v>
      </c>
      <c r="EU49" s="2">
        <v>369.83040999999997</v>
      </c>
      <c r="EV49" s="141"/>
      <c r="EW49" s="310"/>
      <c r="EX49" s="310"/>
      <c r="EY49" s="310"/>
      <c r="EZ49" s="396"/>
      <c r="FA49" s="396"/>
      <c r="FB49" s="310"/>
      <c r="FC49" s="310"/>
      <c r="FD49" s="310"/>
      <c r="FE49" s="396"/>
      <c r="FF49" s="396"/>
      <c r="FG49" s="396"/>
      <c r="FH49" s="311"/>
      <c r="FI49" s="310"/>
      <c r="FJ49" s="296" t="e">
        <f t="shared" si="248"/>
        <v>#DIV/0!</v>
      </c>
      <c r="FK49" s="353">
        <f t="shared" si="73"/>
        <v>3206.6000000000004</v>
      </c>
      <c r="FL49" s="353">
        <f t="shared" si="249"/>
        <v>3206.6000000000004</v>
      </c>
      <c r="FM49" s="353"/>
      <c r="FN49" s="388">
        <f t="shared" si="250"/>
        <v>1</v>
      </c>
      <c r="FO49" s="388">
        <f t="shared" si="251"/>
        <v>0</v>
      </c>
      <c r="FP49" s="353">
        <f t="shared" si="75"/>
        <v>2712.5182099999997</v>
      </c>
      <c r="FQ49" s="353">
        <f t="shared" si="252"/>
        <v>2372.3057099999996</v>
      </c>
      <c r="FR49" s="353">
        <f t="shared" si="253"/>
        <v>340.21249999999998</v>
      </c>
      <c r="FS49" s="388">
        <f t="shared" si="254"/>
        <v>0.87457687887743241</v>
      </c>
      <c r="FT49" s="388">
        <f t="shared" si="255"/>
        <v>0.12542312112256751</v>
      </c>
      <c r="FU49" s="388"/>
      <c r="FV49" s="353">
        <f t="shared" si="256"/>
        <v>2712.5182099999997</v>
      </c>
      <c r="FW49" s="353">
        <f t="shared" si="77"/>
        <v>-340.21250000000009</v>
      </c>
      <c r="FX49" s="310"/>
      <c r="FY49" s="310"/>
      <c r="FZ49" s="310"/>
      <c r="GA49" s="396"/>
      <c r="GB49" s="396"/>
      <c r="GC49" s="310"/>
      <c r="GD49" s="310"/>
      <c r="GE49" s="310"/>
      <c r="GF49" s="396"/>
      <c r="GG49" s="396"/>
      <c r="GH49" s="396"/>
      <c r="GI49" s="311"/>
      <c r="GJ49" s="344"/>
      <c r="GK49" s="303">
        <f t="shared" si="30"/>
        <v>0.83828173905325465</v>
      </c>
    </row>
    <row r="50" spans="2:193" s="37" customFormat="1" ht="15.6" customHeight="1" x14ac:dyDescent="0.25">
      <c r="B50" s="29"/>
      <c r="C50" s="30">
        <v>1</v>
      </c>
      <c r="D50" s="30"/>
      <c r="E50" s="493">
        <v>36</v>
      </c>
      <c r="F50" s="29"/>
      <c r="G50" s="30">
        <v>1</v>
      </c>
      <c r="H50" s="30">
        <v>1</v>
      </c>
      <c r="M50" s="493">
        <v>23</v>
      </c>
      <c r="N50" s="494" t="s">
        <v>36</v>
      </c>
      <c r="O50" s="494"/>
      <c r="P50" s="494">
        <f t="shared" si="49"/>
        <v>0</v>
      </c>
      <c r="Q50" s="494" t="s">
        <v>708</v>
      </c>
      <c r="R50" s="469" t="s">
        <v>699</v>
      </c>
      <c r="S50" s="494" t="s">
        <v>503</v>
      </c>
      <c r="T50" s="156">
        <v>3</v>
      </c>
      <c r="U50" s="493"/>
      <c r="V50" s="42">
        <f t="shared" si="31"/>
        <v>16265.923000000001</v>
      </c>
      <c r="W50" s="2"/>
      <c r="X50" s="198">
        <f t="shared" si="227"/>
        <v>2285</v>
      </c>
      <c r="Y50" s="198">
        <v>719.9</v>
      </c>
      <c r="Z50" s="42">
        <v>1565.1</v>
      </c>
      <c r="AA50" s="2">
        <v>13980.923000000001</v>
      </c>
      <c r="AB50" s="569">
        <f t="shared" si="228"/>
        <v>16265.923000000001</v>
      </c>
      <c r="AC50" s="567"/>
      <c r="AD50" s="568">
        <f t="shared" si="229"/>
        <v>2285</v>
      </c>
      <c r="AE50" s="568">
        <v>719.9</v>
      </c>
      <c r="AF50" s="569">
        <v>1565.1</v>
      </c>
      <c r="AG50" s="567">
        <v>13980.923000000001</v>
      </c>
      <c r="AH50" s="570"/>
      <c r="AI50" s="569"/>
      <c r="AJ50" s="567"/>
      <c r="AK50" s="568"/>
      <c r="AL50" s="567"/>
      <c r="AM50" s="570"/>
      <c r="AN50" s="569"/>
      <c r="AO50" s="567"/>
      <c r="AP50" s="568"/>
      <c r="AQ50" s="567"/>
      <c r="AR50" s="570"/>
      <c r="AS50" s="569"/>
      <c r="AT50" s="567"/>
      <c r="AU50" s="568"/>
      <c r="AV50" s="567"/>
      <c r="AW50" s="570"/>
      <c r="AX50" s="409" t="s">
        <v>380</v>
      </c>
      <c r="AY50" s="567">
        <f t="shared" si="150"/>
        <v>15155.87624</v>
      </c>
      <c r="AZ50" s="567"/>
      <c r="BA50" s="568">
        <f t="shared" si="230"/>
        <v>2285</v>
      </c>
      <c r="BB50" s="578">
        <f>719.9</f>
        <v>719.9</v>
      </c>
      <c r="BC50" s="569">
        <v>1565.1</v>
      </c>
      <c r="BD50" s="574">
        <v>12870.87624</v>
      </c>
      <c r="BE50" s="570"/>
      <c r="BF50" s="567">
        <f t="shared" si="32"/>
        <v>1110.0467600000011</v>
      </c>
      <c r="BG50" s="567">
        <f t="shared" si="33"/>
        <v>0</v>
      </c>
      <c r="BH50" s="567">
        <f t="shared" si="34"/>
        <v>0</v>
      </c>
      <c r="BI50" s="567">
        <f t="shared" si="35"/>
        <v>0</v>
      </c>
      <c r="BJ50" s="567">
        <f t="shared" si="36"/>
        <v>0</v>
      </c>
      <c r="BK50" s="567">
        <f t="shared" si="37"/>
        <v>1110.0467600000011</v>
      </c>
      <c r="BL50" s="567" t="e">
        <f>#REF!-BE50</f>
        <v>#REF!</v>
      </c>
      <c r="BM50" s="567">
        <f t="shared" si="231"/>
        <v>5689.2119999999995</v>
      </c>
      <c r="BN50" s="567"/>
      <c r="BO50" s="568">
        <v>736</v>
      </c>
      <c r="BP50" s="567">
        <f>4456+497.212</f>
        <v>4953.2119999999995</v>
      </c>
      <c r="BQ50" s="570"/>
      <c r="BR50" s="567">
        <f t="shared" si="232"/>
        <v>0</v>
      </c>
      <c r="BS50" s="567"/>
      <c r="BT50" s="567"/>
      <c r="BU50" s="567"/>
      <c r="BV50" s="570"/>
      <c r="BW50" s="567">
        <f t="shared" si="233"/>
        <v>12687.934670000001</v>
      </c>
      <c r="BX50" s="567"/>
      <c r="BY50" s="578">
        <f t="shared" si="38"/>
        <v>2019.2186899999999</v>
      </c>
      <c r="BZ50" s="571">
        <f>608.31539</f>
        <v>608.31538999999998</v>
      </c>
      <c r="CA50" s="571">
        <f>1039.81877+371.08453</f>
        <v>1410.9032999999999</v>
      </c>
      <c r="CB50" s="567">
        <f>1074.70437+2073.18596+694.6647+1656.11383+1049.93701+3701.40247+418.70764</f>
        <v>10668.715980000001</v>
      </c>
      <c r="CC50" s="577"/>
      <c r="CD50" s="567">
        <f t="shared" si="234"/>
        <v>12687.934670000001</v>
      </c>
      <c r="CE50" s="567"/>
      <c r="CF50" s="578">
        <f t="shared" si="39"/>
        <v>2019.2186899999999</v>
      </c>
      <c r="CG50" s="571">
        <f>608.31539</f>
        <v>608.31538999999998</v>
      </c>
      <c r="CH50" s="571">
        <f>1039.81877+371.08453</f>
        <v>1410.9032999999999</v>
      </c>
      <c r="CI50" s="567">
        <f>1074.70437+2073.18596+694.6647+1656.11383+1049.93701+3701.40247+418.70764</f>
        <v>10668.715980000001</v>
      </c>
      <c r="CJ50" s="577"/>
      <c r="CK50" s="567">
        <f t="shared" si="235"/>
        <v>2177.7116000000001</v>
      </c>
      <c r="CL50" s="567"/>
      <c r="CM50" s="567">
        <f t="shared" si="102"/>
        <v>583.53283999999996</v>
      </c>
      <c r="CN50" s="567">
        <v>223.89537999999999</v>
      </c>
      <c r="CO50" s="567">
        <f>265.04848+94.58898</f>
        <v>359.63745999999998</v>
      </c>
      <c r="CP50" s="567">
        <v>1594.17876</v>
      </c>
      <c r="CQ50" s="567"/>
      <c r="CR50" s="573">
        <f t="shared" si="236"/>
        <v>14865.646270000001</v>
      </c>
      <c r="CS50" s="567">
        <f t="shared" si="40"/>
        <v>14865.646270000001</v>
      </c>
      <c r="CT50" s="567">
        <f t="shared" si="41"/>
        <v>0</v>
      </c>
      <c r="CU50" s="567">
        <f t="shared" si="42"/>
        <v>2602.75153</v>
      </c>
      <c r="CV50" s="567">
        <f t="shared" si="43"/>
        <v>12262.894740000002</v>
      </c>
      <c r="CW50" s="567">
        <f t="shared" si="237"/>
        <v>0</v>
      </c>
      <c r="CX50" s="567">
        <f t="shared" ca="1" si="182"/>
        <v>0</v>
      </c>
      <c r="CY50" s="567">
        <f t="shared" si="44"/>
        <v>0</v>
      </c>
      <c r="CZ50" s="567">
        <f t="shared" si="45"/>
        <v>0</v>
      </c>
      <c r="DA50" s="567">
        <f t="shared" si="46"/>
        <v>0</v>
      </c>
      <c r="DB50" s="2">
        <f t="shared" si="238"/>
        <v>0</v>
      </c>
      <c r="DC50" s="76"/>
      <c r="DD50" s="253"/>
      <c r="DE50" s="253"/>
      <c r="DF50" s="2">
        <f t="shared" si="239"/>
        <v>0</v>
      </c>
      <c r="DG50" s="2"/>
      <c r="DH50" s="2"/>
      <c r="DI50" s="2"/>
      <c r="DJ50" s="234"/>
      <c r="DK50" s="2">
        <f t="shared" si="240"/>
        <v>0</v>
      </c>
      <c r="DL50" s="2"/>
      <c r="DM50" s="2"/>
      <c r="DN50" s="2"/>
      <c r="DO50" s="234"/>
      <c r="DP50" s="2">
        <f t="shared" si="241"/>
        <v>0</v>
      </c>
      <c r="DQ50" s="2">
        <f t="shared" si="242"/>
        <v>0</v>
      </c>
      <c r="DR50" s="2">
        <f t="shared" si="242"/>
        <v>0</v>
      </c>
      <c r="DS50" s="2">
        <f t="shared" si="242"/>
        <v>0</v>
      </c>
      <c r="DT50" s="2">
        <f t="shared" si="242"/>
        <v>0</v>
      </c>
      <c r="DU50" s="2"/>
      <c r="DV50" s="2"/>
      <c r="DW50" s="2">
        <f>DU50-DV50</f>
        <v>0</v>
      </c>
      <c r="DX50" s="2">
        <f t="shared" ca="1" si="243"/>
        <v>0</v>
      </c>
      <c r="DY50" s="46"/>
      <c r="DZ50" s="2">
        <f t="shared" si="244"/>
        <v>12687.934670000001</v>
      </c>
      <c r="EA50" s="2">
        <f t="shared" si="245"/>
        <v>12687.934670000001</v>
      </c>
      <c r="EB50" s="46"/>
      <c r="EC50" s="2"/>
      <c r="ED50" s="2"/>
      <c r="EE50" s="46"/>
      <c r="EF50" s="2"/>
      <c r="EG50" s="46"/>
      <c r="EH50" s="46"/>
      <c r="EI50" s="2">
        <f t="shared" si="10"/>
        <v>12687.934670000001</v>
      </c>
      <c r="EJ50" s="2"/>
      <c r="EK50" s="433">
        <f t="shared" si="48"/>
        <v>2019.2186899999999</v>
      </c>
      <c r="EL50" s="446">
        <f>608.31539</f>
        <v>608.31538999999998</v>
      </c>
      <c r="EM50" s="446">
        <f>1039.81877+371.08453</f>
        <v>1410.9032999999999</v>
      </c>
      <c r="EN50" s="2">
        <f>1074.70437+2073.18596+694.6647+1656.11383+1049.93701+3701.40247+418.70764</f>
        <v>10668.715980000001</v>
      </c>
      <c r="EO50" s="236"/>
      <c r="EP50" s="2">
        <f t="shared" si="14"/>
        <v>2177.7116000000001</v>
      </c>
      <c r="EQ50" s="2"/>
      <c r="ER50" s="2">
        <f t="shared" si="104"/>
        <v>583.53283999999996</v>
      </c>
      <c r="ES50" s="2">
        <v>223.89537999999999</v>
      </c>
      <c r="ET50" s="2">
        <f>265.04848+94.58898</f>
        <v>359.63745999999998</v>
      </c>
      <c r="EU50" s="2">
        <v>1594.17876</v>
      </c>
      <c r="EV50" s="141"/>
      <c r="EW50" s="310"/>
      <c r="EX50" s="310"/>
      <c r="EY50" s="310"/>
      <c r="EZ50" s="396"/>
      <c r="FA50" s="396"/>
      <c r="FB50" s="310"/>
      <c r="FC50" s="310"/>
      <c r="FD50" s="310"/>
      <c r="FE50" s="396"/>
      <c r="FF50" s="396"/>
      <c r="FG50" s="396"/>
      <c r="FH50" s="311"/>
      <c r="FI50" s="310"/>
      <c r="FJ50" s="296" t="e">
        <f t="shared" si="248"/>
        <v>#DIV/0!</v>
      </c>
      <c r="FK50" s="353">
        <f t="shared" si="73"/>
        <v>2285</v>
      </c>
      <c r="FL50" s="353">
        <f t="shared" si="249"/>
        <v>2285</v>
      </c>
      <c r="FM50" s="353"/>
      <c r="FN50" s="388">
        <f t="shared" si="250"/>
        <v>1</v>
      </c>
      <c r="FO50" s="388">
        <f t="shared" si="251"/>
        <v>0</v>
      </c>
      <c r="FP50" s="353">
        <f t="shared" si="75"/>
        <v>2602.75153</v>
      </c>
      <c r="FQ50" s="353">
        <f t="shared" si="252"/>
        <v>2019.2186899999999</v>
      </c>
      <c r="FR50" s="353">
        <f t="shared" si="253"/>
        <v>583.53283999999996</v>
      </c>
      <c r="FS50" s="388">
        <f t="shared" si="254"/>
        <v>0.77580155720819033</v>
      </c>
      <c r="FT50" s="388">
        <f t="shared" si="255"/>
        <v>0.22419844279180962</v>
      </c>
      <c r="FU50" s="388"/>
      <c r="FV50" s="353">
        <f t="shared" si="256"/>
        <v>2602.75153</v>
      </c>
      <c r="FW50" s="353">
        <f t="shared" si="77"/>
        <v>-583.53284000000008</v>
      </c>
      <c r="FX50" s="310">
        <f t="shared" ref="FX50" si="263">FY50+FZ50</f>
        <v>12870.87624</v>
      </c>
      <c r="FY50" s="310">
        <f>BD50</f>
        <v>12870.87624</v>
      </c>
      <c r="FZ50" s="310"/>
      <c r="GA50" s="396">
        <f t="shared" ref="GA50" si="264">FY50/FX50</f>
        <v>1</v>
      </c>
      <c r="GB50" s="396">
        <f t="shared" ref="GB50" si="265">FZ50/FX50</f>
        <v>0</v>
      </c>
      <c r="GC50" s="310">
        <f t="shared" ref="GC50" si="266">GD50+GE50</f>
        <v>12262.894740000002</v>
      </c>
      <c r="GD50" s="310">
        <f t="shared" ref="GD50" si="267">EN50</f>
        <v>10668.715980000001</v>
      </c>
      <c r="GE50" s="310">
        <f t="shared" ref="GE50" si="268">EU50</f>
        <v>1594.17876</v>
      </c>
      <c r="GF50" s="396">
        <f t="shared" ref="GF50" si="269">GD50/GC50</f>
        <v>0.86999980071589522</v>
      </c>
      <c r="GG50" s="396">
        <f t="shared" ref="GG50" si="270">GE50/GC50</f>
        <v>0.13000019928410475</v>
      </c>
      <c r="GH50" s="396"/>
      <c r="GI50" s="311">
        <f t="shared" ref="GI50" si="271">GC50*GA50</f>
        <v>12262.894740000002</v>
      </c>
      <c r="GJ50" s="344">
        <f t="shared" ref="GJ50" si="272">GD50-GI50</f>
        <v>-1594.1787600000007</v>
      </c>
      <c r="GK50" s="303">
        <f t="shared" si="30"/>
        <v>0.78003164468441166</v>
      </c>
    </row>
    <row r="51" spans="2:193" s="37" customFormat="1" ht="15.6" customHeight="1" x14ac:dyDescent="0.25">
      <c r="B51" s="29"/>
      <c r="C51" s="30"/>
      <c r="D51" s="30">
        <v>1</v>
      </c>
      <c r="E51" s="493">
        <v>37</v>
      </c>
      <c r="F51" s="29"/>
      <c r="G51" s="30"/>
      <c r="H51" s="30">
        <v>1</v>
      </c>
      <c r="M51" s="493">
        <v>24</v>
      </c>
      <c r="N51" s="494" t="s">
        <v>92</v>
      </c>
      <c r="O51" s="494"/>
      <c r="P51" s="494">
        <f t="shared" si="49"/>
        <v>0</v>
      </c>
      <c r="Q51" s="494" t="s">
        <v>705</v>
      </c>
      <c r="R51" s="494" t="s">
        <v>700</v>
      </c>
      <c r="S51" s="494" t="s">
        <v>540</v>
      </c>
      <c r="T51" s="156">
        <v>2</v>
      </c>
      <c r="U51" s="493">
        <v>2</v>
      </c>
      <c r="V51" s="42">
        <f t="shared" si="31"/>
        <v>7501.5</v>
      </c>
      <c r="W51" s="2"/>
      <c r="X51" s="198">
        <f t="shared" si="227"/>
        <v>7501.5</v>
      </c>
      <c r="Y51" s="198">
        <v>2363.5</v>
      </c>
      <c r="Z51" s="42">
        <v>5138</v>
      </c>
      <c r="AA51" s="2"/>
      <c r="AB51" s="569">
        <f t="shared" si="228"/>
        <v>7501.5</v>
      </c>
      <c r="AC51" s="567"/>
      <c r="AD51" s="568">
        <f t="shared" si="229"/>
        <v>7501.5</v>
      </c>
      <c r="AE51" s="568">
        <v>2363.5</v>
      </c>
      <c r="AF51" s="569">
        <v>5138</v>
      </c>
      <c r="AG51" s="567"/>
      <c r="AH51" s="570"/>
      <c r="AI51" s="569"/>
      <c r="AJ51" s="567"/>
      <c r="AK51" s="568"/>
      <c r="AL51" s="567"/>
      <c r="AM51" s="570"/>
      <c r="AN51" s="569"/>
      <c r="AO51" s="567"/>
      <c r="AP51" s="568"/>
      <c r="AQ51" s="567"/>
      <c r="AR51" s="570"/>
      <c r="AS51" s="569"/>
      <c r="AT51" s="567"/>
      <c r="AU51" s="568"/>
      <c r="AV51" s="567"/>
      <c r="AW51" s="570"/>
      <c r="AX51" s="409" t="s">
        <v>660</v>
      </c>
      <c r="AY51" s="567">
        <f t="shared" si="150"/>
        <v>7501.5</v>
      </c>
      <c r="AZ51" s="567"/>
      <c r="BA51" s="568">
        <f t="shared" si="230"/>
        <v>7501.5</v>
      </c>
      <c r="BB51" s="568">
        <v>2363.5</v>
      </c>
      <c r="BC51" s="569">
        <v>5138</v>
      </c>
      <c r="BD51" s="574"/>
      <c r="BE51" s="567"/>
      <c r="BF51" s="567">
        <f t="shared" si="32"/>
        <v>0</v>
      </c>
      <c r="BG51" s="567">
        <f t="shared" si="33"/>
        <v>0</v>
      </c>
      <c r="BH51" s="567">
        <f t="shared" si="34"/>
        <v>0</v>
      </c>
      <c r="BI51" s="567">
        <f t="shared" si="35"/>
        <v>0</v>
      </c>
      <c r="BJ51" s="567">
        <f t="shared" si="36"/>
        <v>0</v>
      </c>
      <c r="BK51" s="567">
        <f t="shared" si="37"/>
        <v>0</v>
      </c>
      <c r="BL51" s="567" t="e">
        <f>#REF!-BE51</f>
        <v>#REF!</v>
      </c>
      <c r="BM51" s="567">
        <f t="shared" si="231"/>
        <v>2421.9</v>
      </c>
      <c r="BN51" s="567"/>
      <c r="BO51" s="568">
        <f>1053+1368.9</f>
        <v>2421.9</v>
      </c>
      <c r="BP51" s="567"/>
      <c r="BQ51" s="567"/>
      <c r="BR51" s="567">
        <f t="shared" si="232"/>
        <v>0</v>
      </c>
      <c r="BS51" s="567"/>
      <c r="BT51" s="568"/>
      <c r="BU51" s="567"/>
      <c r="BV51" s="567"/>
      <c r="BW51" s="567">
        <f t="shared" si="233"/>
        <v>7501.5</v>
      </c>
      <c r="BX51" s="567"/>
      <c r="BY51" s="568">
        <f t="shared" si="38"/>
        <v>7501.5</v>
      </c>
      <c r="BZ51" s="571">
        <f>2087.1523+276.3477</f>
        <v>2363.5</v>
      </c>
      <c r="CA51" s="571">
        <f>4257.09147+880.90853</f>
        <v>5138</v>
      </c>
      <c r="CB51" s="567"/>
      <c r="CC51" s="567"/>
      <c r="CD51" s="567">
        <f t="shared" si="234"/>
        <v>7501.5</v>
      </c>
      <c r="CE51" s="567"/>
      <c r="CF51" s="568">
        <f t="shared" si="39"/>
        <v>7501.5</v>
      </c>
      <c r="CG51" s="571">
        <f>2087.1523+276.3477</f>
        <v>2363.5</v>
      </c>
      <c r="CH51" s="571">
        <f>4257.09147+880.90853</f>
        <v>5138</v>
      </c>
      <c r="CI51" s="567"/>
      <c r="CJ51" s="567"/>
      <c r="CK51" s="567">
        <f t="shared" si="235"/>
        <v>952.16839000000004</v>
      </c>
      <c r="CL51" s="567"/>
      <c r="CM51" s="567">
        <f t="shared" si="102"/>
        <v>952.16839000000004</v>
      </c>
      <c r="CN51" s="567">
        <f>35.07692+264.92308</f>
        <v>300</v>
      </c>
      <c r="CO51" s="567">
        <f>111.81407+540.35432</f>
        <v>652.16839000000004</v>
      </c>
      <c r="CP51" s="567"/>
      <c r="CQ51" s="567"/>
      <c r="CR51" s="573">
        <f t="shared" si="236"/>
        <v>8453.6683900000007</v>
      </c>
      <c r="CS51" s="567">
        <f t="shared" si="40"/>
        <v>8453.6683900000007</v>
      </c>
      <c r="CT51" s="567">
        <f t="shared" si="41"/>
        <v>0</v>
      </c>
      <c r="CU51" s="567">
        <f t="shared" si="42"/>
        <v>8453.6683900000007</v>
      </c>
      <c r="CV51" s="567">
        <f t="shared" si="43"/>
        <v>0</v>
      </c>
      <c r="CW51" s="567">
        <f t="shared" si="237"/>
        <v>0</v>
      </c>
      <c r="CX51" s="567">
        <f t="shared" ca="1" si="182"/>
        <v>0</v>
      </c>
      <c r="CY51" s="567">
        <f t="shared" si="44"/>
        <v>0</v>
      </c>
      <c r="CZ51" s="567">
        <f t="shared" si="45"/>
        <v>0</v>
      </c>
      <c r="DA51" s="567">
        <f t="shared" si="46"/>
        <v>0</v>
      </c>
      <c r="DB51" s="2">
        <f t="shared" si="238"/>
        <v>0</v>
      </c>
      <c r="DC51" s="76"/>
      <c r="DD51" s="253"/>
      <c r="DE51" s="253"/>
      <c r="DF51" s="2">
        <f t="shared" si="239"/>
        <v>0</v>
      </c>
      <c r="DG51" s="2"/>
      <c r="DH51" s="198"/>
      <c r="DI51" s="2"/>
      <c r="DJ51" s="2"/>
      <c r="DK51" s="2">
        <f t="shared" si="240"/>
        <v>0</v>
      </c>
      <c r="DL51" s="2"/>
      <c r="DM51" s="198"/>
      <c r="DN51" s="2"/>
      <c r="DO51" s="2"/>
      <c r="DP51" s="2">
        <f t="shared" si="241"/>
        <v>0</v>
      </c>
      <c r="DQ51" s="2">
        <f t="shared" si="242"/>
        <v>0</v>
      </c>
      <c r="DR51" s="2">
        <f t="shared" si="242"/>
        <v>0</v>
      </c>
      <c r="DS51" s="2">
        <f t="shared" si="242"/>
        <v>0</v>
      </c>
      <c r="DT51" s="2">
        <f t="shared" si="242"/>
        <v>0</v>
      </c>
      <c r="DU51" s="2"/>
      <c r="DV51" s="2"/>
      <c r="DW51" s="2"/>
      <c r="DX51" s="2">
        <f t="shared" ca="1" si="243"/>
        <v>0</v>
      </c>
      <c r="DY51" s="46"/>
      <c r="DZ51" s="2">
        <f t="shared" si="244"/>
        <v>7501.5</v>
      </c>
      <c r="EA51" s="2">
        <f t="shared" si="245"/>
        <v>7501.5</v>
      </c>
      <c r="EB51" s="46"/>
      <c r="EC51" s="2"/>
      <c r="ED51" s="2"/>
      <c r="EE51" s="46"/>
      <c r="EF51" s="2"/>
      <c r="EG51" s="46"/>
      <c r="EH51" s="46"/>
      <c r="EI51" s="2">
        <f t="shared" si="10"/>
        <v>7501.5</v>
      </c>
      <c r="EJ51" s="2"/>
      <c r="EK51" s="198">
        <f t="shared" si="48"/>
        <v>7501.5</v>
      </c>
      <c r="EL51" s="446">
        <f>2087.1523+276.3477</f>
        <v>2363.5</v>
      </c>
      <c r="EM51" s="446">
        <f>4257.09147+880.90853</f>
        <v>5138</v>
      </c>
      <c r="EN51" s="2"/>
      <c r="EO51" s="2"/>
      <c r="EP51" s="2">
        <f t="shared" si="14"/>
        <v>952.16839000000004</v>
      </c>
      <c r="EQ51" s="2"/>
      <c r="ER51" s="2">
        <f t="shared" si="104"/>
        <v>952.16839000000004</v>
      </c>
      <c r="ES51" s="2">
        <f>35.07692+264.92308</f>
        <v>300</v>
      </c>
      <c r="ET51" s="2">
        <f>111.81407+540.35432</f>
        <v>652.16839000000004</v>
      </c>
      <c r="EU51" s="2"/>
      <c r="EV51" s="141"/>
      <c r="EW51" s="310"/>
      <c r="EX51" s="310"/>
      <c r="EY51" s="310"/>
      <c r="EZ51" s="396"/>
      <c r="FA51" s="396"/>
      <c r="FB51" s="310"/>
      <c r="FC51" s="310"/>
      <c r="FD51" s="310"/>
      <c r="FE51" s="396"/>
      <c r="FF51" s="396"/>
      <c r="FG51" s="396"/>
      <c r="FH51" s="311"/>
      <c r="FI51" s="310"/>
      <c r="FJ51" s="296" t="e">
        <f t="shared" si="248"/>
        <v>#DIV/0!</v>
      </c>
      <c r="FK51" s="353">
        <f t="shared" si="73"/>
        <v>7501.5</v>
      </c>
      <c r="FL51" s="353">
        <f t="shared" si="249"/>
        <v>7501.5</v>
      </c>
      <c r="FM51" s="353"/>
      <c r="FN51" s="388">
        <f t="shared" si="250"/>
        <v>1</v>
      </c>
      <c r="FO51" s="388">
        <f t="shared" si="251"/>
        <v>0</v>
      </c>
      <c r="FP51" s="353">
        <f t="shared" si="75"/>
        <v>8453.6683900000007</v>
      </c>
      <c r="FQ51" s="353">
        <f t="shared" si="252"/>
        <v>7501.5</v>
      </c>
      <c r="FR51" s="353">
        <f t="shared" si="253"/>
        <v>952.16839000000004</v>
      </c>
      <c r="FS51" s="388">
        <f t="shared" si="254"/>
        <v>0.88736624787336837</v>
      </c>
      <c r="FT51" s="388">
        <f t="shared" si="255"/>
        <v>0.1126337521266315</v>
      </c>
      <c r="FU51" s="388"/>
      <c r="FV51" s="353">
        <f t="shared" si="256"/>
        <v>8453.6683900000007</v>
      </c>
      <c r="FW51" s="353">
        <f t="shared" si="77"/>
        <v>-952.16839000000073</v>
      </c>
      <c r="FX51" s="310"/>
      <c r="FY51" s="310"/>
      <c r="FZ51" s="310"/>
      <c r="GA51" s="396"/>
      <c r="GB51" s="396"/>
      <c r="GC51" s="310"/>
      <c r="GD51" s="310"/>
      <c r="GE51" s="310"/>
      <c r="GF51" s="396"/>
      <c r="GG51" s="396"/>
      <c r="GH51" s="396"/>
      <c r="GI51" s="311"/>
      <c r="GJ51" s="344"/>
      <c r="GK51" s="303">
        <f t="shared" si="30"/>
        <v>1</v>
      </c>
    </row>
    <row r="52" spans="2:193" s="37" customFormat="1" ht="15.75" customHeight="1" x14ac:dyDescent="0.25">
      <c r="B52" s="29"/>
      <c r="C52" s="30"/>
      <c r="D52" s="30">
        <v>1</v>
      </c>
      <c r="E52" s="493">
        <v>38</v>
      </c>
      <c r="F52" s="29"/>
      <c r="G52" s="30"/>
      <c r="H52" s="30"/>
      <c r="M52" s="493">
        <v>25</v>
      </c>
      <c r="N52" s="494" t="s">
        <v>197</v>
      </c>
      <c r="O52" s="494"/>
      <c r="P52" s="494">
        <f t="shared" si="49"/>
        <v>0</v>
      </c>
      <c r="Q52" s="494" t="s">
        <v>701</v>
      </c>
      <c r="R52" s="494" t="s">
        <v>699</v>
      </c>
      <c r="S52" s="494" t="s">
        <v>528</v>
      </c>
      <c r="T52" s="156">
        <v>2</v>
      </c>
      <c r="U52" s="493"/>
      <c r="V52" s="42">
        <f t="shared" si="31"/>
        <v>4057.9</v>
      </c>
      <c r="W52" s="2"/>
      <c r="X52" s="198">
        <f t="shared" si="227"/>
        <v>4057.9</v>
      </c>
      <c r="Y52" s="198">
        <v>1278.5</v>
      </c>
      <c r="Z52" s="42">
        <v>2779.4</v>
      </c>
      <c r="AA52" s="2"/>
      <c r="AB52" s="569">
        <f t="shared" si="228"/>
        <v>4057.9</v>
      </c>
      <c r="AC52" s="567"/>
      <c r="AD52" s="568">
        <f t="shared" si="229"/>
        <v>4057.9</v>
      </c>
      <c r="AE52" s="568">
        <v>1278.5</v>
      </c>
      <c r="AF52" s="569">
        <v>2779.4</v>
      </c>
      <c r="AG52" s="567"/>
      <c r="AH52" s="573"/>
      <c r="AI52" s="569"/>
      <c r="AJ52" s="567"/>
      <c r="AK52" s="568"/>
      <c r="AL52" s="567"/>
      <c r="AM52" s="573"/>
      <c r="AN52" s="569"/>
      <c r="AO52" s="567"/>
      <c r="AP52" s="568"/>
      <c r="AQ52" s="567"/>
      <c r="AR52" s="573"/>
      <c r="AS52" s="569"/>
      <c r="AT52" s="567"/>
      <c r="AU52" s="568"/>
      <c r="AV52" s="567"/>
      <c r="AW52" s="567"/>
      <c r="AX52" s="409" t="s">
        <v>400</v>
      </c>
      <c r="AY52" s="567">
        <f t="shared" si="150"/>
        <v>3965.3130000000001</v>
      </c>
      <c r="AZ52" s="567"/>
      <c r="BA52" s="568">
        <f t="shared" si="230"/>
        <v>3965.3130000000001</v>
      </c>
      <c r="BB52" s="568">
        <v>1185.913</v>
      </c>
      <c r="BC52" s="569">
        <v>2779.4</v>
      </c>
      <c r="BD52" s="574"/>
      <c r="BE52" s="567"/>
      <c r="BF52" s="567">
        <f t="shared" si="32"/>
        <v>92.586999999999989</v>
      </c>
      <c r="BG52" s="567">
        <f t="shared" si="33"/>
        <v>0</v>
      </c>
      <c r="BH52" s="567">
        <f t="shared" si="34"/>
        <v>92.586999999999989</v>
      </c>
      <c r="BI52" s="567">
        <f t="shared" si="35"/>
        <v>92.586999999999989</v>
      </c>
      <c r="BJ52" s="567">
        <f t="shared" si="36"/>
        <v>0</v>
      </c>
      <c r="BK52" s="567">
        <f t="shared" si="37"/>
        <v>0</v>
      </c>
      <c r="BL52" s="567" t="e">
        <f>#REF!-BE52</f>
        <v>#REF!</v>
      </c>
      <c r="BM52" s="567">
        <f t="shared" si="231"/>
        <v>1267.3</v>
      </c>
      <c r="BN52" s="567"/>
      <c r="BO52" s="568">
        <f>551+716.3</f>
        <v>1267.3</v>
      </c>
      <c r="BP52" s="567"/>
      <c r="BQ52" s="567"/>
      <c r="BR52" s="567">
        <f t="shared" si="232"/>
        <v>0</v>
      </c>
      <c r="BS52" s="567"/>
      <c r="BT52" s="567"/>
      <c r="BU52" s="567"/>
      <c r="BV52" s="567"/>
      <c r="BW52" s="567">
        <f t="shared" si="233"/>
        <v>2829.6199299999998</v>
      </c>
      <c r="BX52" s="567"/>
      <c r="BY52" s="568">
        <f t="shared" si="38"/>
        <v>2829.6199299999998</v>
      </c>
      <c r="BZ52" s="571">
        <v>842.34918000000005</v>
      </c>
      <c r="CA52" s="571">
        <v>1987.2707499999999</v>
      </c>
      <c r="CB52" s="567"/>
      <c r="CC52" s="567"/>
      <c r="CD52" s="567">
        <f t="shared" si="234"/>
        <v>2829.6199299999998</v>
      </c>
      <c r="CE52" s="567"/>
      <c r="CF52" s="568">
        <f t="shared" si="39"/>
        <v>2829.6199299999998</v>
      </c>
      <c r="CG52" s="571">
        <v>842.34918000000005</v>
      </c>
      <c r="CH52" s="571">
        <v>1987.2707499999999</v>
      </c>
      <c r="CI52" s="567"/>
      <c r="CJ52" s="567"/>
      <c r="CK52" s="567">
        <f t="shared" si="235"/>
        <v>422.81704000000002</v>
      </c>
      <c r="CL52" s="567"/>
      <c r="CM52" s="568">
        <f t="shared" si="102"/>
        <v>422.81704000000002</v>
      </c>
      <c r="CN52" s="569">
        <f>125.86828</f>
        <v>125.86828</v>
      </c>
      <c r="CO52" s="569">
        <v>296.94875999999999</v>
      </c>
      <c r="CP52" s="567"/>
      <c r="CQ52" s="567"/>
      <c r="CR52" s="573">
        <f t="shared" si="236"/>
        <v>3252.4369699999997</v>
      </c>
      <c r="CS52" s="567">
        <f t="shared" si="40"/>
        <v>3252.4369699999997</v>
      </c>
      <c r="CT52" s="567">
        <f t="shared" si="41"/>
        <v>0</v>
      </c>
      <c r="CU52" s="567">
        <f t="shared" si="42"/>
        <v>3252.4369699999997</v>
      </c>
      <c r="CV52" s="567">
        <f t="shared" si="43"/>
        <v>0</v>
      </c>
      <c r="CW52" s="567">
        <f t="shared" si="237"/>
        <v>0</v>
      </c>
      <c r="CX52" s="567">
        <f t="shared" ca="1" si="182"/>
        <v>0</v>
      </c>
      <c r="CY52" s="567">
        <f t="shared" si="44"/>
        <v>0</v>
      </c>
      <c r="CZ52" s="567">
        <f t="shared" si="45"/>
        <v>0</v>
      </c>
      <c r="DA52" s="567">
        <f t="shared" si="46"/>
        <v>0</v>
      </c>
      <c r="DB52" s="2">
        <f t="shared" si="238"/>
        <v>0</v>
      </c>
      <c r="DC52" s="76"/>
      <c r="DD52" s="253"/>
      <c r="DE52" s="253"/>
      <c r="DF52" s="2">
        <f t="shared" si="239"/>
        <v>0</v>
      </c>
      <c r="DG52" s="2"/>
      <c r="DH52" s="2"/>
      <c r="DI52" s="2"/>
      <c r="DJ52" s="2"/>
      <c r="DK52" s="2">
        <f t="shared" si="240"/>
        <v>0</v>
      </c>
      <c r="DL52" s="2"/>
      <c r="DM52" s="2"/>
      <c r="DN52" s="2"/>
      <c r="DO52" s="2"/>
      <c r="DP52" s="2">
        <f t="shared" si="241"/>
        <v>0</v>
      </c>
      <c r="DQ52" s="2">
        <f t="shared" si="242"/>
        <v>0</v>
      </c>
      <c r="DR52" s="2">
        <f t="shared" si="242"/>
        <v>0</v>
      </c>
      <c r="DS52" s="2">
        <f t="shared" si="242"/>
        <v>0</v>
      </c>
      <c r="DT52" s="2">
        <f t="shared" si="242"/>
        <v>0</v>
      </c>
      <c r="DU52" s="2"/>
      <c r="DV52" s="2"/>
      <c r="DW52" s="2"/>
      <c r="DX52" s="2">
        <f t="shared" ca="1" si="243"/>
        <v>0</v>
      </c>
      <c r="DY52" s="46"/>
      <c r="DZ52" s="2">
        <f t="shared" si="244"/>
        <v>2829.6199299999998</v>
      </c>
      <c r="EA52" s="2">
        <f t="shared" si="245"/>
        <v>2829.6199299999998</v>
      </c>
      <c r="EB52" s="46"/>
      <c r="EC52" s="2"/>
      <c r="ED52" s="2"/>
      <c r="EE52" s="46"/>
      <c r="EF52" s="2"/>
      <c r="EG52" s="46"/>
      <c r="EH52" s="46"/>
      <c r="EI52" s="2">
        <f t="shared" si="10"/>
        <v>2829.6199299999998</v>
      </c>
      <c r="EJ52" s="2"/>
      <c r="EK52" s="198">
        <f t="shared" si="48"/>
        <v>2829.6199299999998</v>
      </c>
      <c r="EL52" s="446">
        <v>842.34918000000005</v>
      </c>
      <c r="EM52" s="446">
        <v>1987.2707499999999</v>
      </c>
      <c r="EN52" s="2"/>
      <c r="EO52" s="2"/>
      <c r="EP52" s="2">
        <f t="shared" si="14"/>
        <v>422.81704000000002</v>
      </c>
      <c r="EQ52" s="2"/>
      <c r="ER52" s="198">
        <f t="shared" si="104"/>
        <v>422.81704000000002</v>
      </c>
      <c r="ES52" s="42">
        <f>125.86828</f>
        <v>125.86828</v>
      </c>
      <c r="ET52" s="42">
        <v>296.94875999999999</v>
      </c>
      <c r="EU52" s="2"/>
      <c r="EV52" s="141"/>
      <c r="EW52" s="310"/>
      <c r="EX52" s="310"/>
      <c r="EY52" s="317"/>
      <c r="EZ52" s="396"/>
      <c r="FA52" s="396"/>
      <c r="FB52" s="310"/>
      <c r="FC52" s="310"/>
      <c r="FD52" s="317"/>
      <c r="FE52" s="396"/>
      <c r="FF52" s="396"/>
      <c r="FG52" s="396"/>
      <c r="FH52" s="311"/>
      <c r="FI52" s="310"/>
      <c r="FJ52" s="296" t="e">
        <f t="shared" si="248"/>
        <v>#DIV/0!</v>
      </c>
      <c r="FK52" s="353">
        <f t="shared" si="73"/>
        <v>3965.3130000000001</v>
      </c>
      <c r="FL52" s="353">
        <f t="shared" si="249"/>
        <v>3965.3130000000001</v>
      </c>
      <c r="FM52" s="358"/>
      <c r="FN52" s="388">
        <f t="shared" si="250"/>
        <v>1</v>
      </c>
      <c r="FO52" s="388">
        <f t="shared" si="251"/>
        <v>0</v>
      </c>
      <c r="FP52" s="353">
        <f t="shared" si="75"/>
        <v>3252.4369699999997</v>
      </c>
      <c r="FQ52" s="353">
        <f t="shared" si="252"/>
        <v>2829.6199299999998</v>
      </c>
      <c r="FR52" s="358">
        <f t="shared" si="253"/>
        <v>422.81704000000002</v>
      </c>
      <c r="FS52" s="388">
        <f t="shared" si="254"/>
        <v>0.86999992808469395</v>
      </c>
      <c r="FT52" s="388">
        <f t="shared" si="255"/>
        <v>0.13000007191530602</v>
      </c>
      <c r="FU52" s="388"/>
      <c r="FV52" s="353">
        <f t="shared" si="256"/>
        <v>3252.4369699999997</v>
      </c>
      <c r="FW52" s="353">
        <f t="shared" si="77"/>
        <v>-422.81703999999991</v>
      </c>
      <c r="FX52" s="310"/>
      <c r="FY52" s="310"/>
      <c r="FZ52" s="317"/>
      <c r="GA52" s="396"/>
      <c r="GB52" s="396"/>
      <c r="GC52" s="310"/>
      <c r="GD52" s="310"/>
      <c r="GE52" s="317"/>
      <c r="GF52" s="396"/>
      <c r="GG52" s="396"/>
      <c r="GH52" s="396"/>
      <c r="GI52" s="311"/>
      <c r="GJ52" s="344"/>
      <c r="GK52" s="303">
        <f t="shared" si="30"/>
        <v>0.69731139998521396</v>
      </c>
    </row>
    <row r="53" spans="2:193" s="37" customFormat="1" ht="15.6" customHeight="1" x14ac:dyDescent="0.25">
      <c r="B53" s="29"/>
      <c r="C53" s="30"/>
      <c r="D53" s="30">
        <v>1</v>
      </c>
      <c r="E53" s="493">
        <v>39</v>
      </c>
      <c r="F53" s="29"/>
      <c r="G53" s="30"/>
      <c r="H53" s="30">
        <v>1</v>
      </c>
      <c r="M53" s="493">
        <v>26</v>
      </c>
      <c r="N53" s="494" t="s">
        <v>93</v>
      </c>
      <c r="O53" s="494"/>
      <c r="P53" s="494">
        <f t="shared" si="49"/>
        <v>0</v>
      </c>
      <c r="Q53" s="494" t="s">
        <v>706</v>
      </c>
      <c r="R53" s="494" t="s">
        <v>699</v>
      </c>
      <c r="S53" s="494" t="s">
        <v>651</v>
      </c>
      <c r="T53" s="156">
        <v>3</v>
      </c>
      <c r="U53" s="493">
        <v>1</v>
      </c>
      <c r="V53" s="42">
        <f t="shared" si="31"/>
        <v>64952.130000000005</v>
      </c>
      <c r="W53" s="236"/>
      <c r="X53" s="198">
        <f t="shared" si="227"/>
        <v>2547.4</v>
      </c>
      <c r="Y53" s="198">
        <v>802.6</v>
      </c>
      <c r="Z53" s="42">
        <v>1744.8</v>
      </c>
      <c r="AA53" s="2">
        <v>62404.73</v>
      </c>
      <c r="AB53" s="569">
        <f t="shared" si="228"/>
        <v>64952.130000000005</v>
      </c>
      <c r="AC53" s="577"/>
      <c r="AD53" s="568">
        <f t="shared" si="229"/>
        <v>2547.4</v>
      </c>
      <c r="AE53" s="568">
        <v>802.6</v>
      </c>
      <c r="AF53" s="569">
        <v>1744.8</v>
      </c>
      <c r="AG53" s="567">
        <v>62404.73</v>
      </c>
      <c r="AH53" s="573"/>
      <c r="AI53" s="569"/>
      <c r="AJ53" s="570"/>
      <c r="AK53" s="568"/>
      <c r="AL53" s="567"/>
      <c r="AM53" s="573"/>
      <c r="AN53" s="569"/>
      <c r="AO53" s="570"/>
      <c r="AP53" s="568"/>
      <c r="AQ53" s="567"/>
      <c r="AR53" s="573"/>
      <c r="AS53" s="569"/>
      <c r="AT53" s="570"/>
      <c r="AU53" s="568"/>
      <c r="AV53" s="567"/>
      <c r="AW53" s="567"/>
      <c r="AX53" s="409" t="s">
        <v>678</v>
      </c>
      <c r="AY53" s="567">
        <f t="shared" si="150"/>
        <v>64952.123569999996</v>
      </c>
      <c r="AZ53" s="570"/>
      <c r="BA53" s="568">
        <f t="shared" si="230"/>
        <v>2547.3937099999998</v>
      </c>
      <c r="BB53" s="578">
        <f>802.6-0.00629</f>
        <v>802.59370999999999</v>
      </c>
      <c r="BC53" s="569">
        <f>1744.8-0.00629+0.00629</f>
        <v>1744.8</v>
      </c>
      <c r="BD53" s="591">
        <v>62404.729859999999</v>
      </c>
      <c r="BE53" s="567"/>
      <c r="BF53" s="567">
        <f t="shared" si="32"/>
        <v>6.4300000037746941E-3</v>
      </c>
      <c r="BG53" s="567">
        <f t="shared" si="33"/>
        <v>0</v>
      </c>
      <c r="BH53" s="567">
        <f t="shared" si="34"/>
        <v>6.2900000000354339E-3</v>
      </c>
      <c r="BI53" s="567">
        <f t="shared" si="35"/>
        <v>6.2900000000354339E-3</v>
      </c>
      <c r="BJ53" s="567">
        <f t="shared" si="36"/>
        <v>0</v>
      </c>
      <c r="BK53" s="567">
        <f t="shared" si="37"/>
        <v>1.4000000373926014E-4</v>
      </c>
      <c r="BL53" s="567" t="e">
        <f>#REF!-BE53</f>
        <v>#REF!</v>
      </c>
      <c r="BM53" s="567">
        <f t="shared" si="231"/>
        <v>6557.0403200000001</v>
      </c>
      <c r="BN53" s="570">
        <f>1356.44289+1331.97887+3040.61856</f>
        <v>5729.0403200000001</v>
      </c>
      <c r="BO53" s="568">
        <v>828</v>
      </c>
      <c r="BP53" s="567"/>
      <c r="BQ53" s="567"/>
      <c r="BR53" s="567">
        <f t="shared" si="232"/>
        <v>0</v>
      </c>
      <c r="BS53" s="570"/>
      <c r="BT53" s="570"/>
      <c r="BU53" s="567"/>
      <c r="BV53" s="567"/>
      <c r="BW53" s="567">
        <f t="shared" si="233"/>
        <v>62842.851349999997</v>
      </c>
      <c r="BX53" s="570"/>
      <c r="BY53" s="568">
        <f t="shared" si="38"/>
        <v>2547.3937099999998</v>
      </c>
      <c r="BZ53" s="571">
        <f>510.04078+292.55922-0.00629</f>
        <v>802.59370999999987</v>
      </c>
      <c r="CA53" s="571">
        <f>1474.35592+0.00629+270.43779</f>
        <v>1744.8</v>
      </c>
      <c r="CB53" s="567">
        <f>4460.17666+10517.78415+15622.44768+14512.67286+8291.00771+6891.36858</f>
        <v>60295.457640000001</v>
      </c>
      <c r="CC53" s="567"/>
      <c r="CD53" s="567">
        <f t="shared" si="234"/>
        <v>62842.851349999997</v>
      </c>
      <c r="CE53" s="570"/>
      <c r="CF53" s="568">
        <f t="shared" si="39"/>
        <v>2547.3937099999998</v>
      </c>
      <c r="CG53" s="571">
        <f>510.04078+292.55922-0.00629</f>
        <v>802.59370999999987</v>
      </c>
      <c r="CH53" s="571">
        <f>1474.35592+0.00629+270.43779</f>
        <v>1744.8</v>
      </c>
      <c r="CI53" s="567">
        <f>4460.17666+10517.78415+15622.44768+14512.67286+8291.00771+6891.36858</f>
        <v>60295.457640000001</v>
      </c>
      <c r="CJ53" s="567"/>
      <c r="CK53" s="567">
        <f t="shared" si="235"/>
        <v>7767.0988800000005</v>
      </c>
      <c r="CL53" s="567"/>
      <c r="CM53" s="567">
        <v>314.85131000000001</v>
      </c>
      <c r="CN53" s="567"/>
      <c r="CO53" s="567"/>
      <c r="CP53" s="567">
        <v>7452.2475700000005</v>
      </c>
      <c r="CQ53" s="567"/>
      <c r="CR53" s="573">
        <f t="shared" si="236"/>
        <v>70609.950230000002</v>
      </c>
      <c r="CS53" s="567">
        <f t="shared" si="40"/>
        <v>70609.950230000002</v>
      </c>
      <c r="CT53" s="567">
        <f t="shared" si="41"/>
        <v>0</v>
      </c>
      <c r="CU53" s="567">
        <f t="shared" si="42"/>
        <v>2862.2450199999998</v>
      </c>
      <c r="CV53" s="567">
        <f t="shared" si="43"/>
        <v>67747.70521</v>
      </c>
      <c r="CW53" s="567">
        <f t="shared" si="237"/>
        <v>0</v>
      </c>
      <c r="CX53" s="567">
        <f t="shared" ca="1" si="182"/>
        <v>0</v>
      </c>
      <c r="CY53" s="567">
        <f t="shared" si="44"/>
        <v>0</v>
      </c>
      <c r="CZ53" s="567">
        <f t="shared" si="45"/>
        <v>0</v>
      </c>
      <c r="DA53" s="567">
        <f t="shared" si="46"/>
        <v>0</v>
      </c>
      <c r="DB53" s="2">
        <f t="shared" si="238"/>
        <v>0</v>
      </c>
      <c r="DC53" s="76"/>
      <c r="DD53" s="253"/>
      <c r="DE53" s="253"/>
      <c r="DF53" s="2">
        <f t="shared" si="239"/>
        <v>0</v>
      </c>
      <c r="DG53" s="234"/>
      <c r="DH53" s="234"/>
      <c r="DI53" s="2"/>
      <c r="DJ53" s="2"/>
      <c r="DK53" s="2">
        <f t="shared" si="240"/>
        <v>0</v>
      </c>
      <c r="DL53" s="234"/>
      <c r="DM53" s="234"/>
      <c r="DN53" s="2"/>
      <c r="DO53" s="2"/>
      <c r="DP53" s="2">
        <f t="shared" si="241"/>
        <v>0</v>
      </c>
      <c r="DQ53" s="2">
        <f t="shared" si="242"/>
        <v>0</v>
      </c>
      <c r="DR53" s="2">
        <f t="shared" si="242"/>
        <v>0</v>
      </c>
      <c r="DS53" s="2">
        <f t="shared" si="242"/>
        <v>0</v>
      </c>
      <c r="DT53" s="2">
        <f t="shared" si="242"/>
        <v>0</v>
      </c>
      <c r="DU53" s="2"/>
      <c r="DV53" s="2"/>
      <c r="DW53" s="2"/>
      <c r="DX53" s="2">
        <f t="shared" ca="1" si="243"/>
        <v>0</v>
      </c>
      <c r="DY53" s="46"/>
      <c r="DZ53" s="2">
        <f t="shared" si="244"/>
        <v>62842.851349999997</v>
      </c>
      <c r="EA53" s="2">
        <f t="shared" si="245"/>
        <v>62842.851349999997</v>
      </c>
      <c r="EB53" s="46"/>
      <c r="EC53" s="2"/>
      <c r="ED53" s="2"/>
      <c r="EE53" s="46"/>
      <c r="EF53" s="2"/>
      <c r="EG53" s="46"/>
      <c r="EH53" s="46"/>
      <c r="EI53" s="2">
        <f t="shared" si="10"/>
        <v>62842.851349999997</v>
      </c>
      <c r="EJ53" s="234"/>
      <c r="EK53" s="198">
        <f t="shared" si="48"/>
        <v>2547.3937099999998</v>
      </c>
      <c r="EL53" s="446">
        <f>510.04078+292.55922-0.00629</f>
        <v>802.59370999999987</v>
      </c>
      <c r="EM53" s="446">
        <f>1474.35592+0.00629+270.43779</f>
        <v>1744.8</v>
      </c>
      <c r="EN53" s="2">
        <f>4460.17666+10517.78415+15622.44768+14512.67286+8291.00771+6891.36858</f>
        <v>60295.457640000001</v>
      </c>
      <c r="EO53" s="2"/>
      <c r="EP53" s="2">
        <f t="shared" si="14"/>
        <v>7767.0988800000005</v>
      </c>
      <c r="EQ53" s="2"/>
      <c r="ER53" s="2">
        <v>314.85131000000001</v>
      </c>
      <c r="ES53" s="2">
        <f>63.04186+36.16078</f>
        <v>99.202640000000002</v>
      </c>
      <c r="ET53" s="2">
        <f>182.22377+33.4249</f>
        <v>215.64867000000001</v>
      </c>
      <c r="EU53" s="2">
        <v>7452.2475700000005</v>
      </c>
      <c r="EV53" s="141"/>
      <c r="EW53" s="310"/>
      <c r="EX53" s="310"/>
      <c r="EY53" s="310"/>
      <c r="EZ53" s="396"/>
      <c r="FA53" s="396"/>
      <c r="FB53" s="310"/>
      <c r="FC53" s="310"/>
      <c r="FD53" s="310"/>
      <c r="FE53" s="396"/>
      <c r="FF53" s="396"/>
      <c r="FG53" s="396"/>
      <c r="FH53" s="311"/>
      <c r="FI53" s="310"/>
      <c r="FJ53" s="296" t="e">
        <f t="shared" si="248"/>
        <v>#DIV/0!</v>
      </c>
      <c r="FK53" s="353">
        <f t="shared" si="73"/>
        <v>2547.3937099999998</v>
      </c>
      <c r="FL53" s="353">
        <f t="shared" si="249"/>
        <v>2547.3937099999998</v>
      </c>
      <c r="FM53" s="353"/>
      <c r="FN53" s="388">
        <f t="shared" si="250"/>
        <v>1</v>
      </c>
      <c r="FO53" s="388">
        <f t="shared" si="251"/>
        <v>0</v>
      </c>
      <c r="FP53" s="353">
        <f t="shared" si="75"/>
        <v>2862.2450199999998</v>
      </c>
      <c r="FQ53" s="353">
        <f t="shared" si="252"/>
        <v>2547.3937099999998</v>
      </c>
      <c r="FR53" s="353">
        <f t="shared" si="253"/>
        <v>314.85131000000001</v>
      </c>
      <c r="FS53" s="388">
        <f t="shared" si="254"/>
        <v>0.88999847748883498</v>
      </c>
      <c r="FT53" s="388">
        <f t="shared" si="255"/>
        <v>0.11000152251116505</v>
      </c>
      <c r="FU53" s="388"/>
      <c r="FV53" s="353">
        <f t="shared" si="256"/>
        <v>2862.2450199999998</v>
      </c>
      <c r="FW53" s="353">
        <f t="shared" si="77"/>
        <v>-314.85131000000001</v>
      </c>
      <c r="FX53" s="310"/>
      <c r="FY53" s="310"/>
      <c r="FZ53" s="310"/>
      <c r="GA53" s="396"/>
      <c r="GB53" s="396"/>
      <c r="GC53" s="310"/>
      <c r="GD53" s="310"/>
      <c r="GE53" s="310"/>
      <c r="GF53" s="396"/>
      <c r="GG53" s="396"/>
      <c r="GH53" s="396"/>
      <c r="GI53" s="311"/>
      <c r="GJ53" s="344"/>
      <c r="GK53" s="303">
        <f t="shared" si="30"/>
        <v>0.96752564311593769</v>
      </c>
    </row>
    <row r="54" spans="2:193" s="37" customFormat="1" ht="15.75" customHeight="1" x14ac:dyDescent="0.25">
      <c r="B54" s="29"/>
      <c r="C54" s="30"/>
      <c r="D54" s="30">
        <v>1</v>
      </c>
      <c r="E54" s="493">
        <v>40</v>
      </c>
      <c r="F54" s="29"/>
      <c r="G54" s="30"/>
      <c r="H54" s="30"/>
      <c r="M54" s="493">
        <v>27</v>
      </c>
      <c r="N54" s="494" t="s">
        <v>309</v>
      </c>
      <c r="O54" s="494"/>
      <c r="P54" s="494">
        <f t="shared" si="49"/>
        <v>0</v>
      </c>
      <c r="Q54" s="494"/>
      <c r="R54" s="494"/>
      <c r="S54" s="494">
        <v>199</v>
      </c>
      <c r="T54" s="156">
        <v>2</v>
      </c>
      <c r="U54" s="493"/>
      <c r="V54" s="42">
        <f t="shared" si="31"/>
        <v>1708.9</v>
      </c>
      <c r="W54" s="2"/>
      <c r="X54" s="198">
        <f t="shared" si="227"/>
        <v>1708.9</v>
      </c>
      <c r="Y54" s="198">
        <v>538.4</v>
      </c>
      <c r="Z54" s="42">
        <v>1170.5</v>
      </c>
      <c r="AA54" s="2"/>
      <c r="AB54" s="569">
        <f t="shared" si="228"/>
        <v>1708.9</v>
      </c>
      <c r="AC54" s="567"/>
      <c r="AD54" s="568">
        <f t="shared" si="229"/>
        <v>1708.9</v>
      </c>
      <c r="AE54" s="568">
        <v>538.4</v>
      </c>
      <c r="AF54" s="569">
        <v>1170.5</v>
      </c>
      <c r="AG54" s="567"/>
      <c r="AH54" s="573"/>
      <c r="AI54" s="569"/>
      <c r="AJ54" s="567"/>
      <c r="AK54" s="568"/>
      <c r="AL54" s="567"/>
      <c r="AM54" s="573"/>
      <c r="AN54" s="569"/>
      <c r="AO54" s="567"/>
      <c r="AP54" s="568"/>
      <c r="AQ54" s="567"/>
      <c r="AR54" s="573"/>
      <c r="AS54" s="569"/>
      <c r="AT54" s="567"/>
      <c r="AU54" s="568"/>
      <c r="AV54" s="567"/>
      <c r="AW54" s="567"/>
      <c r="AX54" s="409" t="s">
        <v>658</v>
      </c>
      <c r="AY54" s="567">
        <f t="shared" si="150"/>
        <v>1708.9</v>
      </c>
      <c r="AZ54" s="567"/>
      <c r="BA54" s="568">
        <f t="shared" si="230"/>
        <v>1708.9</v>
      </c>
      <c r="BB54" s="568">
        <v>538.4</v>
      </c>
      <c r="BC54" s="569">
        <v>1170.5</v>
      </c>
      <c r="BD54" s="574"/>
      <c r="BE54" s="567"/>
      <c r="BF54" s="567">
        <f t="shared" si="32"/>
        <v>0</v>
      </c>
      <c r="BG54" s="567">
        <f t="shared" si="33"/>
        <v>0</v>
      </c>
      <c r="BH54" s="567">
        <f t="shared" si="34"/>
        <v>0</v>
      </c>
      <c r="BI54" s="567">
        <f t="shared" si="35"/>
        <v>0</v>
      </c>
      <c r="BJ54" s="567">
        <f t="shared" si="36"/>
        <v>0</v>
      </c>
      <c r="BK54" s="567">
        <f t="shared" si="37"/>
        <v>0</v>
      </c>
      <c r="BL54" s="567" t="e">
        <f>#REF!-BE54</f>
        <v>#REF!</v>
      </c>
      <c r="BM54" s="567">
        <f t="shared" si="231"/>
        <v>552</v>
      </c>
      <c r="BN54" s="567"/>
      <c r="BO54" s="568">
        <f>240+312</f>
        <v>552</v>
      </c>
      <c r="BP54" s="567"/>
      <c r="BQ54" s="567"/>
      <c r="BR54" s="567">
        <f t="shared" si="232"/>
        <v>0</v>
      </c>
      <c r="BS54" s="567"/>
      <c r="BT54" s="567"/>
      <c r="BU54" s="567"/>
      <c r="BV54" s="567"/>
      <c r="BW54" s="567">
        <f t="shared" si="233"/>
        <v>1458.2657200000001</v>
      </c>
      <c r="BX54" s="567"/>
      <c r="BY54" s="568">
        <f t="shared" si="38"/>
        <v>1458.2657200000001</v>
      </c>
      <c r="BZ54" s="571">
        <v>481.86799999999999</v>
      </c>
      <c r="CA54" s="571">
        <v>976.39772000000005</v>
      </c>
      <c r="CB54" s="567"/>
      <c r="CC54" s="567"/>
      <c r="CD54" s="567">
        <f t="shared" si="234"/>
        <v>1458.2657200000001</v>
      </c>
      <c r="CE54" s="567"/>
      <c r="CF54" s="568">
        <f t="shared" si="39"/>
        <v>1458.2657200000001</v>
      </c>
      <c r="CG54" s="571">
        <v>481.86799999999999</v>
      </c>
      <c r="CH54" s="571">
        <v>976.39772000000005</v>
      </c>
      <c r="CI54" s="567"/>
      <c r="CJ54" s="567"/>
      <c r="CK54" s="567">
        <f t="shared" si="235"/>
        <v>172.726</v>
      </c>
      <c r="CL54" s="567"/>
      <c r="CM54" s="567">
        <v>172.726</v>
      </c>
      <c r="CN54" s="567"/>
      <c r="CO54" s="567"/>
      <c r="CP54" s="567"/>
      <c r="CQ54" s="567"/>
      <c r="CR54" s="573">
        <f t="shared" si="236"/>
        <v>1630.99172</v>
      </c>
      <c r="CS54" s="567">
        <f t="shared" si="40"/>
        <v>1630.99172</v>
      </c>
      <c r="CT54" s="567">
        <f t="shared" si="41"/>
        <v>0</v>
      </c>
      <c r="CU54" s="567">
        <f t="shared" si="42"/>
        <v>1630.99172</v>
      </c>
      <c r="CV54" s="567">
        <f t="shared" si="43"/>
        <v>0</v>
      </c>
      <c r="CW54" s="567">
        <f t="shared" si="237"/>
        <v>0</v>
      </c>
      <c r="CX54" s="567">
        <f t="shared" ca="1" si="182"/>
        <v>0</v>
      </c>
      <c r="CY54" s="567">
        <f t="shared" si="44"/>
        <v>0</v>
      </c>
      <c r="CZ54" s="567">
        <f t="shared" si="45"/>
        <v>0</v>
      </c>
      <c r="DA54" s="567">
        <f t="shared" si="46"/>
        <v>0</v>
      </c>
      <c r="DB54" s="2">
        <f t="shared" si="238"/>
        <v>0</v>
      </c>
      <c r="DC54" s="76"/>
      <c r="DD54" s="253"/>
      <c r="DE54" s="253"/>
      <c r="DF54" s="2">
        <f t="shared" si="239"/>
        <v>0</v>
      </c>
      <c r="DG54" s="2"/>
      <c r="DH54" s="2"/>
      <c r="DI54" s="2"/>
      <c r="DJ54" s="2"/>
      <c r="DK54" s="2">
        <f t="shared" si="240"/>
        <v>0</v>
      </c>
      <c r="DL54" s="2"/>
      <c r="DM54" s="2"/>
      <c r="DN54" s="2"/>
      <c r="DO54" s="2"/>
      <c r="DP54" s="2">
        <f t="shared" si="241"/>
        <v>0</v>
      </c>
      <c r="DQ54" s="2">
        <f t="shared" si="242"/>
        <v>0</v>
      </c>
      <c r="DR54" s="2">
        <f t="shared" si="242"/>
        <v>0</v>
      </c>
      <c r="DS54" s="2">
        <f t="shared" si="242"/>
        <v>0</v>
      </c>
      <c r="DT54" s="2">
        <f t="shared" si="242"/>
        <v>0</v>
      </c>
      <c r="DU54" s="2"/>
      <c r="DV54" s="2"/>
      <c r="DW54" s="2"/>
      <c r="DX54" s="2">
        <f t="shared" ca="1" si="243"/>
        <v>0</v>
      </c>
      <c r="DY54" s="46"/>
      <c r="DZ54" s="2">
        <f t="shared" si="244"/>
        <v>1458.2657200000001</v>
      </c>
      <c r="EA54" s="2">
        <f t="shared" si="245"/>
        <v>1458.2657200000001</v>
      </c>
      <c r="EB54" s="46"/>
      <c r="EC54" s="2"/>
      <c r="ED54" s="2"/>
      <c r="EE54" s="46"/>
      <c r="EF54" s="2"/>
      <c r="EG54" s="46"/>
      <c r="EH54" s="46"/>
      <c r="EI54" s="2">
        <f t="shared" si="10"/>
        <v>1458.2657200000001</v>
      </c>
      <c r="EJ54" s="2"/>
      <c r="EK54" s="198">
        <f t="shared" si="48"/>
        <v>1458.2657200000001</v>
      </c>
      <c r="EL54" s="446">
        <v>481.86799999999999</v>
      </c>
      <c r="EM54" s="446">
        <v>976.39772000000005</v>
      </c>
      <c r="EN54" s="2"/>
      <c r="EO54" s="2"/>
      <c r="EP54" s="2">
        <f t="shared" si="14"/>
        <v>172.726</v>
      </c>
      <c r="EQ54" s="2"/>
      <c r="ER54" s="2">
        <v>172.726</v>
      </c>
      <c r="ES54" s="2">
        <v>57.022239999999996</v>
      </c>
      <c r="ET54" s="2">
        <v>115.70376</v>
      </c>
      <c r="EU54" s="2"/>
      <c r="EV54" s="141"/>
      <c r="EW54" s="310"/>
      <c r="EX54" s="310"/>
      <c r="EY54" s="310"/>
      <c r="EZ54" s="396"/>
      <c r="FA54" s="396"/>
      <c r="FB54" s="310"/>
      <c r="FC54" s="310"/>
      <c r="FD54" s="310"/>
      <c r="FE54" s="396"/>
      <c r="FF54" s="396"/>
      <c r="FG54" s="396"/>
      <c r="FH54" s="311"/>
      <c r="FI54" s="310"/>
      <c r="FJ54" s="296" t="e">
        <f t="shared" si="248"/>
        <v>#DIV/0!</v>
      </c>
      <c r="FK54" s="353">
        <f t="shared" si="73"/>
        <v>1708.9</v>
      </c>
      <c r="FL54" s="353">
        <f t="shared" si="249"/>
        <v>1708.9</v>
      </c>
      <c r="FM54" s="353"/>
      <c r="FN54" s="388">
        <f t="shared" si="250"/>
        <v>1</v>
      </c>
      <c r="FO54" s="388">
        <f t="shared" si="251"/>
        <v>0</v>
      </c>
      <c r="FP54" s="353">
        <f t="shared" si="75"/>
        <v>1630.99172</v>
      </c>
      <c r="FQ54" s="353">
        <f t="shared" si="252"/>
        <v>1458.2657200000001</v>
      </c>
      <c r="FR54" s="353">
        <f t="shared" si="253"/>
        <v>172.726</v>
      </c>
      <c r="FS54" s="388">
        <f t="shared" si="254"/>
        <v>0.89409756169700239</v>
      </c>
      <c r="FT54" s="388">
        <f t="shared" si="255"/>
        <v>0.10590243830299764</v>
      </c>
      <c r="FU54" s="388"/>
      <c r="FV54" s="353">
        <f t="shared" si="256"/>
        <v>1630.99172</v>
      </c>
      <c r="FW54" s="353">
        <f t="shared" si="77"/>
        <v>-172.72599999999989</v>
      </c>
      <c r="FX54" s="310"/>
      <c r="FY54" s="310"/>
      <c r="FZ54" s="310"/>
      <c r="GA54" s="396"/>
      <c r="GB54" s="396"/>
      <c r="GC54" s="310"/>
      <c r="GD54" s="310"/>
      <c r="GE54" s="310"/>
      <c r="GF54" s="396"/>
      <c r="GG54" s="396"/>
      <c r="GH54" s="396"/>
      <c r="GI54" s="311"/>
      <c r="GJ54" s="344"/>
      <c r="GK54" s="303">
        <f t="shared" si="30"/>
        <v>0.85333590028673412</v>
      </c>
    </row>
    <row r="55" spans="2:193" s="37" customFormat="1" ht="15.6" customHeight="1" x14ac:dyDescent="0.25">
      <c r="B55" s="29"/>
      <c r="C55" s="30"/>
      <c r="D55" s="30">
        <v>1</v>
      </c>
      <c r="E55" s="493">
        <v>41</v>
      </c>
      <c r="F55" s="29"/>
      <c r="G55" s="30"/>
      <c r="H55" s="30">
        <v>1</v>
      </c>
      <c r="M55" s="493">
        <v>28</v>
      </c>
      <c r="N55" s="494" t="s">
        <v>162</v>
      </c>
      <c r="O55" s="494"/>
      <c r="P55" s="494">
        <f t="shared" si="49"/>
        <v>0</v>
      </c>
      <c r="Q55" s="494"/>
      <c r="R55" s="494"/>
      <c r="S55" s="494" t="s">
        <v>609</v>
      </c>
      <c r="T55" s="156">
        <v>3</v>
      </c>
      <c r="U55" s="493"/>
      <c r="V55" s="42">
        <f t="shared" si="31"/>
        <v>4023.4679999999998</v>
      </c>
      <c r="W55" s="43"/>
      <c r="X55" s="198">
        <f t="shared" si="227"/>
        <v>1600.2</v>
      </c>
      <c r="Y55" s="198">
        <v>504.2</v>
      </c>
      <c r="Z55" s="42">
        <v>1096</v>
      </c>
      <c r="AA55" s="2">
        <v>2423.268</v>
      </c>
      <c r="AB55" s="569">
        <f t="shared" si="228"/>
        <v>4023.4679999999998</v>
      </c>
      <c r="AC55" s="576"/>
      <c r="AD55" s="568">
        <f t="shared" si="229"/>
        <v>1600.2</v>
      </c>
      <c r="AE55" s="568">
        <v>504.2</v>
      </c>
      <c r="AF55" s="569">
        <v>1096</v>
      </c>
      <c r="AG55" s="567">
        <v>2423.268</v>
      </c>
      <c r="AH55" s="570"/>
      <c r="AI55" s="569"/>
      <c r="AJ55" s="576"/>
      <c r="AK55" s="568"/>
      <c r="AL55" s="567"/>
      <c r="AM55" s="570"/>
      <c r="AN55" s="569"/>
      <c r="AO55" s="576"/>
      <c r="AP55" s="568"/>
      <c r="AQ55" s="567"/>
      <c r="AR55" s="570"/>
      <c r="AS55" s="569"/>
      <c r="AT55" s="576"/>
      <c r="AU55" s="568"/>
      <c r="AV55" s="567"/>
      <c r="AW55" s="570"/>
      <c r="AX55" s="409" t="s">
        <v>726</v>
      </c>
      <c r="AY55" s="567">
        <f t="shared" si="150"/>
        <v>3582.7891200000004</v>
      </c>
      <c r="AZ55" s="567"/>
      <c r="BA55" s="568">
        <f t="shared" si="230"/>
        <v>1435.41112</v>
      </c>
      <c r="BB55" s="568">
        <f>454.324-114.91288</f>
        <v>339.41111999999998</v>
      </c>
      <c r="BC55" s="569">
        <f>981.08712+114.91288</f>
        <v>1096</v>
      </c>
      <c r="BD55" s="574">
        <v>2147.3780000000002</v>
      </c>
      <c r="BE55" s="567"/>
      <c r="BF55" s="567">
        <f t="shared" si="32"/>
        <v>440.67887999999988</v>
      </c>
      <c r="BG55" s="567">
        <f t="shared" si="33"/>
        <v>0</v>
      </c>
      <c r="BH55" s="567">
        <f t="shared" si="34"/>
        <v>164.78888000000001</v>
      </c>
      <c r="BI55" s="567">
        <f t="shared" si="35"/>
        <v>164.78888000000001</v>
      </c>
      <c r="BJ55" s="567">
        <f t="shared" si="36"/>
        <v>0</v>
      </c>
      <c r="BK55" s="567">
        <f t="shared" si="37"/>
        <v>275.88999999999987</v>
      </c>
      <c r="BL55" s="567" t="e">
        <f>#REF!-BE55</f>
        <v>#REF!</v>
      </c>
      <c r="BM55" s="567">
        <f t="shared" si="231"/>
        <v>363.4</v>
      </c>
      <c r="BN55" s="567"/>
      <c r="BO55" s="568">
        <v>363.4</v>
      </c>
      <c r="BP55" s="567"/>
      <c r="BQ55" s="567"/>
      <c r="BR55" s="567">
        <f t="shared" si="232"/>
        <v>0</v>
      </c>
      <c r="BS55" s="567"/>
      <c r="BT55" s="568"/>
      <c r="BU55" s="567"/>
      <c r="BV55" s="567"/>
      <c r="BW55" s="567">
        <f t="shared" si="233"/>
        <v>3063.3683599999999</v>
      </c>
      <c r="BX55" s="567"/>
      <c r="BY55" s="568">
        <f t="shared" si="38"/>
        <v>1184.41266</v>
      </c>
      <c r="BZ55" s="571">
        <f>244.00292</f>
        <v>244.00291999999999</v>
      </c>
      <c r="CA55" s="571">
        <f>568.08534+114.91288+257.41152</f>
        <v>940.40973999999994</v>
      </c>
      <c r="CB55" s="567">
        <v>1878.9557</v>
      </c>
      <c r="CC55" s="567"/>
      <c r="CD55" s="567">
        <f t="shared" si="234"/>
        <v>3063.3683599999999</v>
      </c>
      <c r="CE55" s="567"/>
      <c r="CF55" s="568">
        <f t="shared" si="39"/>
        <v>1184.41266</v>
      </c>
      <c r="CG55" s="571">
        <f>244.00292</f>
        <v>244.00291999999999</v>
      </c>
      <c r="CH55" s="571">
        <f>568.08534+114.91288+257.41152</f>
        <v>940.40973999999994</v>
      </c>
      <c r="CI55" s="567">
        <v>1878.9557</v>
      </c>
      <c r="CJ55" s="567"/>
      <c r="CK55" s="567">
        <f>CL55+CM55+CP55+CQ55</f>
        <v>340.37491999999997</v>
      </c>
      <c r="CL55" s="567"/>
      <c r="CM55" s="567">
        <v>131.60202000000001</v>
      </c>
      <c r="CN55" s="567"/>
      <c r="CO55" s="567"/>
      <c r="CP55" s="567">
        <v>208.77289999999999</v>
      </c>
      <c r="CQ55" s="567"/>
      <c r="CR55" s="573">
        <f t="shared" si="236"/>
        <v>3403.7432799999997</v>
      </c>
      <c r="CS55" s="567">
        <f t="shared" si="40"/>
        <v>3403.7432799999997</v>
      </c>
      <c r="CT55" s="567">
        <f t="shared" si="41"/>
        <v>0</v>
      </c>
      <c r="CU55" s="567">
        <f t="shared" si="42"/>
        <v>1316.01468</v>
      </c>
      <c r="CV55" s="567">
        <f t="shared" si="43"/>
        <v>2087.7285999999999</v>
      </c>
      <c r="CW55" s="567">
        <f t="shared" si="237"/>
        <v>0</v>
      </c>
      <c r="CX55" s="567">
        <f t="shared" ca="1" si="182"/>
        <v>0</v>
      </c>
      <c r="CY55" s="567">
        <f t="shared" si="44"/>
        <v>0</v>
      </c>
      <c r="CZ55" s="567">
        <f t="shared" si="45"/>
        <v>0</v>
      </c>
      <c r="DA55" s="567">
        <f t="shared" si="46"/>
        <v>0</v>
      </c>
      <c r="DB55" s="2">
        <f t="shared" si="238"/>
        <v>0</v>
      </c>
      <c r="DC55" s="76"/>
      <c r="DD55" s="253"/>
      <c r="DE55" s="253"/>
      <c r="DF55" s="2">
        <f t="shared" si="239"/>
        <v>0</v>
      </c>
      <c r="DG55" s="2"/>
      <c r="DH55" s="198"/>
      <c r="DI55" s="2"/>
      <c r="DJ55" s="2"/>
      <c r="DK55" s="2">
        <f t="shared" si="240"/>
        <v>0</v>
      </c>
      <c r="DL55" s="2"/>
      <c r="DM55" s="198"/>
      <c r="DN55" s="2"/>
      <c r="DO55" s="2"/>
      <c r="DP55" s="2">
        <f t="shared" si="241"/>
        <v>0</v>
      </c>
      <c r="DQ55" s="2">
        <f t="shared" si="242"/>
        <v>0</v>
      </c>
      <c r="DR55" s="2">
        <f t="shared" si="242"/>
        <v>0</v>
      </c>
      <c r="DS55" s="2">
        <f t="shared" si="242"/>
        <v>0</v>
      </c>
      <c r="DT55" s="2">
        <f t="shared" si="242"/>
        <v>0</v>
      </c>
      <c r="DU55" s="2"/>
      <c r="DV55" s="2"/>
      <c r="DW55" s="2"/>
      <c r="DX55" s="2">
        <f t="shared" ca="1" si="243"/>
        <v>0</v>
      </c>
      <c r="DY55" s="46"/>
      <c r="DZ55" s="2">
        <f t="shared" si="244"/>
        <v>3063.3683599999999</v>
      </c>
      <c r="EA55" s="2">
        <f t="shared" si="245"/>
        <v>3063.3683599999999</v>
      </c>
      <c r="EB55" s="46"/>
      <c r="EC55" s="2"/>
      <c r="ED55" s="2"/>
      <c r="EE55" s="46"/>
      <c r="EF55" s="2"/>
      <c r="EG55" s="46"/>
      <c r="EH55" s="46"/>
      <c r="EI55" s="2">
        <f t="shared" si="10"/>
        <v>3063.3683599999999</v>
      </c>
      <c r="EJ55" s="2"/>
      <c r="EK55" s="198">
        <f t="shared" si="48"/>
        <v>1184.41266</v>
      </c>
      <c r="EL55" s="446">
        <f>244.00292</f>
        <v>244.00291999999999</v>
      </c>
      <c r="EM55" s="446">
        <f>568.08534+114.91288+257.41152</f>
        <v>940.40973999999994</v>
      </c>
      <c r="EN55" s="2">
        <v>1878.9557</v>
      </c>
      <c r="EO55" s="2"/>
      <c r="EP55" s="2">
        <f t="shared" si="14"/>
        <v>340.37491999999997</v>
      </c>
      <c r="EQ55" s="2"/>
      <c r="ER55" s="2">
        <v>131.60202000000001</v>
      </c>
      <c r="ES55" s="2">
        <v>39.880139999999997</v>
      </c>
      <c r="ET55" s="2">
        <f>63.1206+28.60128</f>
        <v>91.721879999999999</v>
      </c>
      <c r="EU55" s="2">
        <v>208.77289999999999</v>
      </c>
      <c r="EV55" s="141"/>
      <c r="EW55" s="310"/>
      <c r="EX55" s="310"/>
      <c r="EY55" s="310"/>
      <c r="EZ55" s="396"/>
      <c r="FA55" s="396"/>
      <c r="FB55" s="310"/>
      <c r="FC55" s="310"/>
      <c r="FD55" s="310"/>
      <c r="FE55" s="396"/>
      <c r="FF55" s="396"/>
      <c r="FG55" s="396"/>
      <c r="FH55" s="311"/>
      <c r="FI55" s="310"/>
      <c r="FJ55" s="296" t="e">
        <f t="shared" si="248"/>
        <v>#DIV/0!</v>
      </c>
      <c r="FK55" s="353">
        <f t="shared" si="73"/>
        <v>1435.41112</v>
      </c>
      <c r="FL55" s="353">
        <f t="shared" si="249"/>
        <v>1435.41112</v>
      </c>
      <c r="FM55" s="353"/>
      <c r="FN55" s="388">
        <f t="shared" si="250"/>
        <v>1</v>
      </c>
      <c r="FO55" s="388">
        <f t="shared" si="251"/>
        <v>0</v>
      </c>
      <c r="FP55" s="353">
        <f t="shared" si="75"/>
        <v>1316.01468</v>
      </c>
      <c r="FQ55" s="353">
        <f t="shared" si="252"/>
        <v>1184.41266</v>
      </c>
      <c r="FR55" s="353">
        <f t="shared" si="253"/>
        <v>131.60202000000001</v>
      </c>
      <c r="FS55" s="388">
        <f t="shared" si="254"/>
        <v>0.89999958055179141</v>
      </c>
      <c r="FT55" s="388">
        <f t="shared" si="255"/>
        <v>0.10000041944820859</v>
      </c>
      <c r="FU55" s="388"/>
      <c r="FV55" s="353">
        <f t="shared" si="256"/>
        <v>1316.01468</v>
      </c>
      <c r="FW55" s="353">
        <f t="shared" si="77"/>
        <v>-131.60202000000004</v>
      </c>
      <c r="FX55" s="310">
        <f t="shared" ref="FX55" si="273">FY55+FZ55</f>
        <v>2147.3780000000002</v>
      </c>
      <c r="FY55" s="310">
        <f>BD55</f>
        <v>2147.3780000000002</v>
      </c>
      <c r="FZ55" s="310"/>
      <c r="GA55" s="396">
        <f t="shared" ref="GA55" si="274">FY55/FX55</f>
        <v>1</v>
      </c>
      <c r="GB55" s="396">
        <f t="shared" ref="GB55" si="275">FZ55/FX55</f>
        <v>0</v>
      </c>
      <c r="GC55" s="310">
        <f t="shared" ref="GC55" si="276">GD55+GE55</f>
        <v>2087.7285999999999</v>
      </c>
      <c r="GD55" s="310">
        <f t="shared" ref="GD55" si="277">EN55</f>
        <v>1878.9557</v>
      </c>
      <c r="GE55" s="310">
        <f t="shared" ref="GE55" si="278">EU55</f>
        <v>208.77289999999999</v>
      </c>
      <c r="GF55" s="396">
        <f t="shared" ref="GF55" si="279">GD55/GC55</f>
        <v>0.89999998084042154</v>
      </c>
      <c r="GG55" s="396">
        <f t="shared" ref="GG55" si="280">GE55/GC55</f>
        <v>0.1000000191595785</v>
      </c>
      <c r="GH55" s="396"/>
      <c r="GI55" s="311">
        <f t="shared" ref="GI55" si="281">GC55*GA55</f>
        <v>2087.7285999999999</v>
      </c>
      <c r="GJ55" s="344">
        <f t="shared" ref="GJ55" si="282">GD55-GI55</f>
        <v>-208.77289999999994</v>
      </c>
      <c r="GK55" s="303">
        <f t="shared" si="30"/>
        <v>0.76137510227495286</v>
      </c>
    </row>
    <row r="56" spans="2:193" s="37" customFormat="1" ht="15.75" customHeight="1" x14ac:dyDescent="0.25">
      <c r="B56" s="29"/>
      <c r="C56" s="30">
        <v>1</v>
      </c>
      <c r="D56" s="30"/>
      <c r="E56" s="493">
        <v>42</v>
      </c>
      <c r="F56" s="29"/>
      <c r="G56" s="30">
        <v>1</v>
      </c>
      <c r="H56" s="30">
        <v>1</v>
      </c>
      <c r="M56" s="493">
        <v>29</v>
      </c>
      <c r="N56" s="494" t="s">
        <v>37</v>
      </c>
      <c r="O56" s="494"/>
      <c r="P56" s="494">
        <f t="shared" si="49"/>
        <v>0</v>
      </c>
      <c r="Q56" s="494" t="s">
        <v>701</v>
      </c>
      <c r="R56" s="494" t="s">
        <v>699</v>
      </c>
      <c r="S56" s="494" t="s">
        <v>511</v>
      </c>
      <c r="T56" s="156">
        <v>3</v>
      </c>
      <c r="U56" s="493">
        <v>2</v>
      </c>
      <c r="V56" s="42">
        <f t="shared" si="31"/>
        <v>6713.22</v>
      </c>
      <c r="W56" s="2"/>
      <c r="X56" s="198">
        <f t="shared" si="227"/>
        <v>4819.6000000000004</v>
      </c>
      <c r="Y56" s="198">
        <v>1518.5</v>
      </c>
      <c r="Z56" s="198">
        <v>3301.1</v>
      </c>
      <c r="AA56" s="236">
        <v>1893.62</v>
      </c>
      <c r="AB56" s="569">
        <f t="shared" si="228"/>
        <v>6713.22</v>
      </c>
      <c r="AC56" s="567"/>
      <c r="AD56" s="568">
        <f t="shared" si="229"/>
        <v>4819.6000000000004</v>
      </c>
      <c r="AE56" s="568">
        <v>1518.5</v>
      </c>
      <c r="AF56" s="568">
        <v>3301.1</v>
      </c>
      <c r="AG56" s="577">
        <v>1893.62</v>
      </c>
      <c r="AH56" s="570"/>
      <c r="AI56" s="569"/>
      <c r="AJ56" s="567"/>
      <c r="AK56" s="568"/>
      <c r="AL56" s="570"/>
      <c r="AM56" s="570"/>
      <c r="AN56" s="569"/>
      <c r="AO56" s="567"/>
      <c r="AP56" s="568"/>
      <c r="AQ56" s="570"/>
      <c r="AR56" s="570"/>
      <c r="AS56" s="569"/>
      <c r="AT56" s="567"/>
      <c r="AU56" s="568"/>
      <c r="AV56" s="570"/>
      <c r="AW56" s="570"/>
      <c r="AX56" s="409" t="s">
        <v>668</v>
      </c>
      <c r="AY56" s="567">
        <f t="shared" si="150"/>
        <v>6712.8561699999991</v>
      </c>
      <c r="AZ56" s="567"/>
      <c r="BA56" s="568">
        <f t="shared" si="230"/>
        <v>4819.2363699999996</v>
      </c>
      <c r="BB56" s="568">
        <f>1518.5-0.11561-0.24802</f>
        <v>1518.1363699999999</v>
      </c>
      <c r="BC56" s="568">
        <f>3301.1-0.24802+0.24802</f>
        <v>3301.1</v>
      </c>
      <c r="BD56" s="592">
        <v>1893.6197999999999</v>
      </c>
      <c r="BE56" s="570"/>
      <c r="BF56" s="567">
        <f t="shared" si="32"/>
        <v>0.3638300000000072</v>
      </c>
      <c r="BG56" s="567">
        <f t="shared" si="33"/>
        <v>0</v>
      </c>
      <c r="BH56" s="567">
        <f t="shared" si="34"/>
        <v>0.36363000000005741</v>
      </c>
      <c r="BI56" s="567">
        <f t="shared" si="35"/>
        <v>0.36363000000005741</v>
      </c>
      <c r="BJ56" s="567">
        <f t="shared" si="36"/>
        <v>0</v>
      </c>
      <c r="BK56" s="567">
        <f t="shared" si="37"/>
        <v>1.9999999994979589E-4</v>
      </c>
      <c r="BL56" s="567" t="e">
        <f>#REF!-BE56</f>
        <v>#REF!</v>
      </c>
      <c r="BM56" s="567">
        <f t="shared" si="231"/>
        <v>16060.497000000003</v>
      </c>
      <c r="BN56" s="567"/>
      <c r="BO56" s="568">
        <f>674+876.2</f>
        <v>1550.2</v>
      </c>
      <c r="BP56" s="570">
        <f>16624.687+965.766-3080.156</f>
        <v>14510.297000000002</v>
      </c>
      <c r="BQ56" s="570"/>
      <c r="BR56" s="567">
        <f t="shared" si="232"/>
        <v>0</v>
      </c>
      <c r="BS56" s="567"/>
      <c r="BT56" s="568"/>
      <c r="BU56" s="570"/>
      <c r="BV56" s="570"/>
      <c r="BW56" s="567">
        <f t="shared" si="233"/>
        <v>6108.8224800000007</v>
      </c>
      <c r="BX56" s="567"/>
      <c r="BY56" s="578">
        <f t="shared" si="38"/>
        <v>4819.2363700000005</v>
      </c>
      <c r="BZ56" s="578">
        <f>1252.7625+265.62189-0.24802</f>
        <v>1518.1363700000002</v>
      </c>
      <c r="CA56" s="578">
        <f>1532.71519+938.2316+829.90519+0.24802</f>
        <v>3301.1</v>
      </c>
      <c r="CB56" s="577">
        <v>1289.58611</v>
      </c>
      <c r="CC56" s="577"/>
      <c r="CD56" s="567">
        <f t="shared" si="234"/>
        <v>6108.8224800000007</v>
      </c>
      <c r="CE56" s="567"/>
      <c r="CF56" s="578">
        <f t="shared" si="39"/>
        <v>4819.2363700000005</v>
      </c>
      <c r="CG56" s="578">
        <f>1252.7625+265.62189-0.24802</f>
        <v>1518.1363700000002</v>
      </c>
      <c r="CH56" s="578">
        <f>1532.71519+938.2316+829.90519+0.24802</f>
        <v>3301.1</v>
      </c>
      <c r="CI56" s="577">
        <v>1289.58611</v>
      </c>
      <c r="CJ56" s="577"/>
      <c r="CK56" s="567">
        <f t="shared" si="235"/>
        <v>1756.4032400000001</v>
      </c>
      <c r="CL56" s="567"/>
      <c r="CM56" s="567">
        <v>1613.11589</v>
      </c>
      <c r="CN56" s="568">
        <v>736.66890000000001</v>
      </c>
      <c r="CO56" s="568">
        <f>334.44123+204.72384</f>
        <v>539.16507000000001</v>
      </c>
      <c r="CP56" s="573">
        <v>143.28735</v>
      </c>
      <c r="CQ56" s="567"/>
      <c r="CR56" s="573">
        <f t="shared" si="236"/>
        <v>7865.2257200000004</v>
      </c>
      <c r="CS56" s="567">
        <f t="shared" si="40"/>
        <v>7865.2257200000004</v>
      </c>
      <c r="CT56" s="567">
        <f t="shared" si="41"/>
        <v>0</v>
      </c>
      <c r="CU56" s="567">
        <f t="shared" si="42"/>
        <v>6432.3522600000006</v>
      </c>
      <c r="CV56" s="567">
        <f t="shared" si="43"/>
        <v>1432.87346</v>
      </c>
      <c r="CW56" s="567">
        <f t="shared" si="237"/>
        <v>0</v>
      </c>
      <c r="CX56" s="567">
        <f t="shared" ca="1" si="182"/>
        <v>0</v>
      </c>
      <c r="CY56" s="567">
        <f t="shared" si="44"/>
        <v>0</v>
      </c>
      <c r="CZ56" s="567">
        <f t="shared" si="45"/>
        <v>0</v>
      </c>
      <c r="DA56" s="567">
        <f t="shared" si="46"/>
        <v>0</v>
      </c>
      <c r="DB56" s="2">
        <f t="shared" si="238"/>
        <v>0</v>
      </c>
      <c r="DC56" s="76"/>
      <c r="DD56" s="253"/>
      <c r="DE56" s="253"/>
      <c r="DF56" s="2">
        <f t="shared" si="239"/>
        <v>0</v>
      </c>
      <c r="DG56" s="2"/>
      <c r="DH56" s="198"/>
      <c r="DI56" s="234"/>
      <c r="DJ56" s="234"/>
      <c r="DK56" s="2">
        <f t="shared" si="240"/>
        <v>0</v>
      </c>
      <c r="DL56" s="2"/>
      <c r="DM56" s="198"/>
      <c r="DN56" s="234"/>
      <c r="DO56" s="234"/>
      <c r="DP56" s="2">
        <f t="shared" si="241"/>
        <v>0</v>
      </c>
      <c r="DQ56" s="2">
        <f t="shared" si="242"/>
        <v>0</v>
      </c>
      <c r="DR56" s="2">
        <f t="shared" si="242"/>
        <v>0</v>
      </c>
      <c r="DS56" s="2">
        <f t="shared" si="242"/>
        <v>0</v>
      </c>
      <c r="DT56" s="2">
        <f t="shared" si="242"/>
        <v>0</v>
      </c>
      <c r="DU56" s="2"/>
      <c r="DV56" s="2"/>
      <c r="DW56" s="2"/>
      <c r="DX56" s="2">
        <f t="shared" ca="1" si="243"/>
        <v>0</v>
      </c>
      <c r="DY56" s="46"/>
      <c r="DZ56" s="2">
        <f t="shared" si="244"/>
        <v>6108.8224800000007</v>
      </c>
      <c r="EA56" s="2">
        <f t="shared" si="245"/>
        <v>6108.8224800000007</v>
      </c>
      <c r="EB56" s="46"/>
      <c r="EC56" s="2"/>
      <c r="ED56" s="2"/>
      <c r="EE56" s="46"/>
      <c r="EF56" s="2"/>
      <c r="EG56" s="46"/>
      <c r="EH56" s="46"/>
      <c r="EI56" s="2">
        <f t="shared" si="10"/>
        <v>6108.8224800000007</v>
      </c>
      <c r="EJ56" s="2"/>
      <c r="EK56" s="433">
        <f t="shared" si="48"/>
        <v>4819.2363700000005</v>
      </c>
      <c r="EL56" s="433">
        <f>1252.7625+265.62189-0.24802</f>
        <v>1518.1363700000002</v>
      </c>
      <c r="EM56" s="433">
        <f>1532.71519+938.2316+829.90519+0.24802</f>
        <v>3301.1</v>
      </c>
      <c r="EN56" s="236">
        <v>1289.58611</v>
      </c>
      <c r="EO56" s="236"/>
      <c r="EP56" s="2">
        <f t="shared" si="14"/>
        <v>1756.4032400000001</v>
      </c>
      <c r="EQ56" s="2"/>
      <c r="ER56" s="2">
        <v>1613.11589</v>
      </c>
      <c r="ES56" s="547">
        <f>736.6689+156.19511</f>
        <v>892.86401000000001</v>
      </c>
      <c r="ET56" s="547">
        <f>334.44123+204.72384+181.08681</f>
        <v>720.25188000000003</v>
      </c>
      <c r="EU56" s="23">
        <v>143.28735</v>
      </c>
      <c r="EV56" s="141"/>
      <c r="EW56" s="310"/>
      <c r="EX56" s="310"/>
      <c r="EY56" s="310"/>
      <c r="EZ56" s="396"/>
      <c r="FA56" s="396"/>
      <c r="FB56" s="310"/>
      <c r="FC56" s="310"/>
      <c r="FD56" s="310"/>
      <c r="FE56" s="396"/>
      <c r="FF56" s="396"/>
      <c r="FG56" s="396"/>
      <c r="FH56" s="311"/>
      <c r="FI56" s="310"/>
      <c r="FJ56" s="296" t="e">
        <f t="shared" si="248"/>
        <v>#DIV/0!</v>
      </c>
      <c r="FK56" s="353">
        <f t="shared" si="73"/>
        <v>4819.2363699999996</v>
      </c>
      <c r="FL56" s="353">
        <f t="shared" si="249"/>
        <v>4819.2363699999996</v>
      </c>
      <c r="FM56" s="353"/>
      <c r="FN56" s="388">
        <f t="shared" si="250"/>
        <v>1</v>
      </c>
      <c r="FO56" s="388">
        <f t="shared" si="251"/>
        <v>0</v>
      </c>
      <c r="FP56" s="353">
        <f t="shared" si="75"/>
        <v>6432.3522600000006</v>
      </c>
      <c r="FQ56" s="353">
        <f t="shared" ref="FQ56" si="283">EK56</f>
        <v>4819.2363700000005</v>
      </c>
      <c r="FR56" s="353">
        <f t="shared" ref="FR56" si="284">ER56</f>
        <v>1613.11589</v>
      </c>
      <c r="FS56" s="388">
        <f t="shared" si="254"/>
        <v>0.74921835359806621</v>
      </c>
      <c r="FT56" s="388">
        <f t="shared" si="255"/>
        <v>0.25078164640193384</v>
      </c>
      <c r="FU56" s="388"/>
      <c r="FV56" s="353">
        <f t="shared" si="256"/>
        <v>6432.3522600000006</v>
      </c>
      <c r="FW56" s="353">
        <f t="shared" si="77"/>
        <v>-1613.11589</v>
      </c>
      <c r="FX56" s="310">
        <f t="shared" si="257"/>
        <v>1893.6197999999999</v>
      </c>
      <c r="FY56" s="310">
        <f>BD56</f>
        <v>1893.6197999999999</v>
      </c>
      <c r="FZ56" s="310"/>
      <c r="GA56" s="396">
        <f t="shared" si="258"/>
        <v>1</v>
      </c>
      <c r="GB56" s="396">
        <f t="shared" si="259"/>
        <v>0</v>
      </c>
      <c r="GC56" s="310" t="e">
        <f t="shared" si="80"/>
        <v>#REF!</v>
      </c>
      <c r="GD56" s="310" t="e">
        <f>#REF!</f>
        <v>#REF!</v>
      </c>
      <c r="GE56" s="310" t="e">
        <f>#REF!</f>
        <v>#REF!</v>
      </c>
      <c r="GF56" s="396" t="e">
        <f t="shared" si="260"/>
        <v>#REF!</v>
      </c>
      <c r="GG56" s="396" t="e">
        <f t="shared" si="261"/>
        <v>#REF!</v>
      </c>
      <c r="GH56" s="396"/>
      <c r="GI56" s="311" t="e">
        <f t="shared" si="262"/>
        <v>#REF!</v>
      </c>
      <c r="GJ56" s="344" t="e">
        <f t="shared" si="82"/>
        <v>#REF!</v>
      </c>
      <c r="GK56" s="303">
        <f t="shared" si="30"/>
        <v>0.9099690580675146</v>
      </c>
    </row>
    <row r="57" spans="2:193" s="37" customFormat="1" ht="15.6" customHeight="1" x14ac:dyDescent="0.25">
      <c r="B57" s="29"/>
      <c r="C57" s="30"/>
      <c r="D57" s="30">
        <v>1</v>
      </c>
      <c r="E57" s="493">
        <v>43</v>
      </c>
      <c r="F57" s="29"/>
      <c r="G57" s="30"/>
      <c r="H57" s="30">
        <v>1</v>
      </c>
      <c r="M57" s="493">
        <v>30</v>
      </c>
      <c r="N57" s="494" t="s">
        <v>94</v>
      </c>
      <c r="O57" s="494"/>
      <c r="P57" s="494">
        <f t="shared" si="49"/>
        <v>0</v>
      </c>
      <c r="Q57" s="494"/>
      <c r="R57" s="494" t="s">
        <v>699</v>
      </c>
      <c r="S57" s="494">
        <v>116</v>
      </c>
      <c r="T57" s="156">
        <v>1</v>
      </c>
      <c r="U57" s="493"/>
      <c r="V57" s="42">
        <f t="shared" si="31"/>
        <v>308.5</v>
      </c>
      <c r="W57" s="2"/>
      <c r="X57" s="198">
        <f t="shared" si="227"/>
        <v>308.5</v>
      </c>
      <c r="Y57" s="198">
        <v>308.5</v>
      </c>
      <c r="Z57" s="42">
        <f>670.7-670.7</f>
        <v>0</v>
      </c>
      <c r="AA57" s="2"/>
      <c r="AB57" s="569">
        <f t="shared" si="228"/>
        <v>308.5</v>
      </c>
      <c r="AC57" s="567"/>
      <c r="AD57" s="568">
        <f t="shared" si="229"/>
        <v>308.5</v>
      </c>
      <c r="AE57" s="568">
        <v>308.5</v>
      </c>
      <c r="AF57" s="569">
        <f>670.7-670.7</f>
        <v>0</v>
      </c>
      <c r="AG57" s="567"/>
      <c r="AH57" s="570"/>
      <c r="AI57" s="569"/>
      <c r="AJ57" s="567"/>
      <c r="AK57" s="568"/>
      <c r="AL57" s="567"/>
      <c r="AM57" s="570"/>
      <c r="AN57" s="569"/>
      <c r="AO57" s="567"/>
      <c r="AP57" s="568"/>
      <c r="AQ57" s="567"/>
      <c r="AR57" s="570"/>
      <c r="AS57" s="569"/>
      <c r="AT57" s="567"/>
      <c r="AU57" s="568"/>
      <c r="AV57" s="567"/>
      <c r="AW57" s="570"/>
      <c r="AX57" s="409" t="s">
        <v>369</v>
      </c>
      <c r="AY57" s="567">
        <f t="shared" si="150"/>
        <v>308.5</v>
      </c>
      <c r="AZ57" s="567"/>
      <c r="BA57" s="568">
        <f t="shared" si="230"/>
        <v>308.5</v>
      </c>
      <c r="BB57" s="568">
        <v>308.5</v>
      </c>
      <c r="BC57" s="569"/>
      <c r="BD57" s="567"/>
      <c r="BE57" s="567"/>
      <c r="BF57" s="567">
        <f t="shared" si="32"/>
        <v>0</v>
      </c>
      <c r="BG57" s="567">
        <f t="shared" si="33"/>
        <v>0</v>
      </c>
      <c r="BH57" s="567">
        <f t="shared" si="34"/>
        <v>0</v>
      </c>
      <c r="BI57" s="567">
        <f t="shared" si="35"/>
        <v>0</v>
      </c>
      <c r="BJ57" s="567">
        <f t="shared" si="36"/>
        <v>0</v>
      </c>
      <c r="BK57" s="567">
        <f t="shared" si="37"/>
        <v>0</v>
      </c>
      <c r="BL57" s="567" t="e">
        <f>#REF!-BE57</f>
        <v>#REF!</v>
      </c>
      <c r="BM57" s="567">
        <f t="shared" si="231"/>
        <v>282.89999999999998</v>
      </c>
      <c r="BN57" s="567"/>
      <c r="BO57" s="568">
        <v>282.89999999999998</v>
      </c>
      <c r="BP57" s="567"/>
      <c r="BQ57" s="567"/>
      <c r="BR57" s="567">
        <f t="shared" si="232"/>
        <v>0</v>
      </c>
      <c r="BS57" s="567"/>
      <c r="BT57" s="568"/>
      <c r="BU57" s="567"/>
      <c r="BV57" s="567"/>
      <c r="BW57" s="567">
        <f t="shared" si="233"/>
        <v>308.5</v>
      </c>
      <c r="BX57" s="567"/>
      <c r="BY57" s="578">
        <f t="shared" si="38"/>
        <v>308.5</v>
      </c>
      <c r="BZ57" s="571">
        <v>308.5</v>
      </c>
      <c r="CA57" s="571"/>
      <c r="CB57" s="567"/>
      <c r="CC57" s="567"/>
      <c r="CD57" s="567">
        <f t="shared" si="234"/>
        <v>308.5</v>
      </c>
      <c r="CE57" s="567"/>
      <c r="CF57" s="578">
        <f t="shared" si="39"/>
        <v>308.5</v>
      </c>
      <c r="CG57" s="571">
        <v>308.5</v>
      </c>
      <c r="CH57" s="571"/>
      <c r="CI57" s="567"/>
      <c r="CJ57" s="567"/>
      <c r="CK57" s="567">
        <f t="shared" si="235"/>
        <v>100.4</v>
      </c>
      <c r="CL57" s="567"/>
      <c r="CM57" s="567">
        <v>100.4</v>
      </c>
      <c r="CN57" s="567"/>
      <c r="CO57" s="567"/>
      <c r="CP57" s="567"/>
      <c r="CQ57" s="567"/>
      <c r="CR57" s="573">
        <f t="shared" si="236"/>
        <v>408.9</v>
      </c>
      <c r="CS57" s="567">
        <f t="shared" si="40"/>
        <v>408.9</v>
      </c>
      <c r="CT57" s="567">
        <f t="shared" si="41"/>
        <v>0</v>
      </c>
      <c r="CU57" s="567">
        <f t="shared" si="42"/>
        <v>408.9</v>
      </c>
      <c r="CV57" s="567">
        <f t="shared" si="43"/>
        <v>0</v>
      </c>
      <c r="CW57" s="567">
        <f t="shared" si="237"/>
        <v>0</v>
      </c>
      <c r="CX57" s="567">
        <f t="shared" ca="1" si="182"/>
        <v>0</v>
      </c>
      <c r="CY57" s="567">
        <f t="shared" si="44"/>
        <v>0</v>
      </c>
      <c r="CZ57" s="567">
        <f t="shared" si="45"/>
        <v>0</v>
      </c>
      <c r="DA57" s="567">
        <f t="shared" si="46"/>
        <v>0</v>
      </c>
      <c r="DB57" s="2">
        <f t="shared" si="238"/>
        <v>0</v>
      </c>
      <c r="DC57" s="76"/>
      <c r="DD57" s="253"/>
      <c r="DE57" s="253"/>
      <c r="DF57" s="2">
        <f t="shared" si="239"/>
        <v>0</v>
      </c>
      <c r="DG57" s="2"/>
      <c r="DH57" s="198"/>
      <c r="DI57" s="2"/>
      <c r="DJ57" s="2"/>
      <c r="DK57" s="2">
        <f t="shared" si="240"/>
        <v>0</v>
      </c>
      <c r="DL57" s="2"/>
      <c r="DM57" s="198"/>
      <c r="DN57" s="2"/>
      <c r="DO57" s="2"/>
      <c r="DP57" s="2">
        <f t="shared" si="241"/>
        <v>0</v>
      </c>
      <c r="DQ57" s="2">
        <f t="shared" si="242"/>
        <v>0</v>
      </c>
      <c r="DR57" s="2">
        <f t="shared" si="242"/>
        <v>0</v>
      </c>
      <c r="DS57" s="2">
        <f t="shared" si="242"/>
        <v>0</v>
      </c>
      <c r="DT57" s="2">
        <f t="shared" si="242"/>
        <v>0</v>
      </c>
      <c r="DU57" s="2"/>
      <c r="DV57" s="2"/>
      <c r="DW57" s="2"/>
      <c r="DX57" s="2">
        <f t="shared" ca="1" si="243"/>
        <v>0</v>
      </c>
      <c r="DY57" s="46"/>
      <c r="DZ57" s="2">
        <f t="shared" si="244"/>
        <v>308.5</v>
      </c>
      <c r="EA57" s="2">
        <f t="shared" si="245"/>
        <v>308.5</v>
      </c>
      <c r="EB57" s="46"/>
      <c r="EC57" s="2"/>
      <c r="ED57" s="2"/>
      <c r="EE57" s="46"/>
      <c r="EF57" s="2"/>
      <c r="EG57" s="46"/>
      <c r="EH57" s="46"/>
      <c r="EI57" s="2">
        <f t="shared" si="10"/>
        <v>308.5</v>
      </c>
      <c r="EJ57" s="2"/>
      <c r="EK57" s="433">
        <f t="shared" si="48"/>
        <v>308.5</v>
      </c>
      <c r="EL57" s="446">
        <v>308.5</v>
      </c>
      <c r="EM57" s="446"/>
      <c r="EN57" s="2"/>
      <c r="EO57" s="2"/>
      <c r="EP57" s="2">
        <f t="shared" si="14"/>
        <v>100.4</v>
      </c>
      <c r="EQ57" s="2"/>
      <c r="ER57" s="2">
        <v>100.4</v>
      </c>
      <c r="ES57" s="2">
        <v>100.4</v>
      </c>
      <c r="ET57" s="2"/>
      <c r="EU57" s="2"/>
      <c r="EV57" s="141"/>
      <c r="EW57" s="310"/>
      <c r="EX57" s="310"/>
      <c r="EY57" s="310"/>
      <c r="EZ57" s="396"/>
      <c r="FA57" s="396"/>
      <c r="FB57" s="310"/>
      <c r="FC57" s="310"/>
      <c r="FD57" s="310"/>
      <c r="FE57" s="396"/>
      <c r="FF57" s="396"/>
      <c r="FG57" s="396"/>
      <c r="FH57" s="311"/>
      <c r="FI57" s="310"/>
      <c r="FJ57" s="296" t="e">
        <f t="shared" si="248"/>
        <v>#DIV/0!</v>
      </c>
      <c r="FK57" s="353">
        <f t="shared" si="73"/>
        <v>308.5</v>
      </c>
      <c r="FL57" s="353">
        <f t="shared" si="249"/>
        <v>308.5</v>
      </c>
      <c r="FM57" s="353"/>
      <c r="FN57" s="388">
        <f t="shared" si="250"/>
        <v>1</v>
      </c>
      <c r="FO57" s="388">
        <f t="shared" si="251"/>
        <v>0</v>
      </c>
      <c r="FP57" s="353">
        <f t="shared" si="75"/>
        <v>408.9</v>
      </c>
      <c r="FQ57" s="353">
        <f t="shared" si="252"/>
        <v>308.5</v>
      </c>
      <c r="FR57" s="353">
        <f t="shared" si="253"/>
        <v>100.4</v>
      </c>
      <c r="FS57" s="388">
        <f t="shared" si="254"/>
        <v>0.75446319393494743</v>
      </c>
      <c r="FT57" s="388">
        <f t="shared" si="255"/>
        <v>0.2455368060650526</v>
      </c>
      <c r="FU57" s="388"/>
      <c r="FV57" s="353">
        <f t="shared" si="256"/>
        <v>408.9</v>
      </c>
      <c r="FW57" s="353">
        <f t="shared" si="77"/>
        <v>-100.39999999999998</v>
      </c>
      <c r="FX57" s="310"/>
      <c r="FY57" s="310"/>
      <c r="FZ57" s="310"/>
      <c r="GA57" s="396"/>
      <c r="GB57" s="396"/>
      <c r="GC57" s="310"/>
      <c r="GD57" s="310"/>
      <c r="GE57" s="310"/>
      <c r="GF57" s="396"/>
      <c r="GG57" s="396"/>
      <c r="GH57" s="396"/>
      <c r="GI57" s="311"/>
      <c r="GJ57" s="344"/>
      <c r="GK57" s="303">
        <f t="shared" si="30"/>
        <v>1</v>
      </c>
    </row>
    <row r="58" spans="2:193" s="37" customFormat="1" ht="15.6" customHeight="1" x14ac:dyDescent="0.25">
      <c r="B58" s="29"/>
      <c r="C58" s="30"/>
      <c r="D58" s="30">
        <v>1</v>
      </c>
      <c r="E58" s="493">
        <v>44</v>
      </c>
      <c r="F58" s="29"/>
      <c r="G58" s="30"/>
      <c r="H58" s="30">
        <v>1</v>
      </c>
      <c r="M58" s="493">
        <v>31</v>
      </c>
      <c r="N58" s="478" t="s">
        <v>163</v>
      </c>
      <c r="O58" s="478" t="s">
        <v>333</v>
      </c>
      <c r="P58" s="478">
        <f t="shared" si="49"/>
        <v>0</v>
      </c>
      <c r="Q58" s="478"/>
      <c r="R58" s="478"/>
      <c r="S58" s="494" t="s">
        <v>582</v>
      </c>
      <c r="T58" s="156">
        <v>2</v>
      </c>
      <c r="U58" s="493"/>
      <c r="V58" s="42">
        <f t="shared" si="31"/>
        <v>2758.6</v>
      </c>
      <c r="W58" s="2"/>
      <c r="X58" s="198">
        <f t="shared" si="227"/>
        <v>2758.6</v>
      </c>
      <c r="Y58" s="198">
        <v>869.1</v>
      </c>
      <c r="Z58" s="42">
        <v>1889.5</v>
      </c>
      <c r="AA58" s="2"/>
      <c r="AB58" s="569">
        <f t="shared" si="228"/>
        <v>2758.6</v>
      </c>
      <c r="AC58" s="567"/>
      <c r="AD58" s="568">
        <f t="shared" si="229"/>
        <v>2758.6</v>
      </c>
      <c r="AE58" s="568">
        <v>869.1</v>
      </c>
      <c r="AF58" s="569">
        <v>1889.5</v>
      </c>
      <c r="AG58" s="567"/>
      <c r="AH58" s="573"/>
      <c r="AI58" s="569"/>
      <c r="AJ58" s="567"/>
      <c r="AK58" s="568"/>
      <c r="AL58" s="567"/>
      <c r="AM58" s="573"/>
      <c r="AN58" s="569"/>
      <c r="AO58" s="567"/>
      <c r="AP58" s="568"/>
      <c r="AQ58" s="567"/>
      <c r="AR58" s="573"/>
      <c r="AS58" s="569"/>
      <c r="AT58" s="567"/>
      <c r="AU58" s="568"/>
      <c r="AV58" s="567"/>
      <c r="AW58" s="567"/>
      <c r="AX58" s="425" t="s">
        <v>440</v>
      </c>
      <c r="AY58" s="567">
        <f t="shared" si="150"/>
        <v>2758.6</v>
      </c>
      <c r="AZ58" s="567"/>
      <c r="BA58" s="568">
        <f t="shared" si="230"/>
        <v>2758.6</v>
      </c>
      <c r="BB58" s="568">
        <v>869.1</v>
      </c>
      <c r="BC58" s="569">
        <v>1889.5</v>
      </c>
      <c r="BD58" s="567"/>
      <c r="BE58" s="567"/>
      <c r="BF58" s="567">
        <f t="shared" si="32"/>
        <v>0</v>
      </c>
      <c r="BG58" s="567">
        <f t="shared" si="33"/>
        <v>0</v>
      </c>
      <c r="BH58" s="567">
        <f t="shared" si="34"/>
        <v>0</v>
      </c>
      <c r="BI58" s="567">
        <f t="shared" si="35"/>
        <v>0</v>
      </c>
      <c r="BJ58" s="567">
        <f t="shared" si="36"/>
        <v>0</v>
      </c>
      <c r="BK58" s="567">
        <f t="shared" si="37"/>
        <v>0</v>
      </c>
      <c r="BL58" s="567" t="e">
        <f>#REF!-BE58</f>
        <v>#REF!</v>
      </c>
      <c r="BM58" s="567">
        <f t="shared" si="231"/>
        <v>890.1</v>
      </c>
      <c r="BN58" s="567"/>
      <c r="BO58" s="568">
        <f>387+503.1</f>
        <v>890.1</v>
      </c>
      <c r="BP58" s="567"/>
      <c r="BQ58" s="567"/>
      <c r="BR58" s="567">
        <f t="shared" si="232"/>
        <v>0</v>
      </c>
      <c r="BS58" s="567"/>
      <c r="BT58" s="568"/>
      <c r="BU58" s="567"/>
      <c r="BV58" s="567"/>
      <c r="BW58" s="567">
        <f t="shared" si="233"/>
        <v>2562.4036299999998</v>
      </c>
      <c r="BX58" s="567"/>
      <c r="BY58" s="568">
        <f t="shared" si="38"/>
        <v>2562.4036299999998</v>
      </c>
      <c r="BZ58" s="571">
        <v>780.75007000000005</v>
      </c>
      <c r="CA58" s="571">
        <f>940.16814+841.48542</f>
        <v>1781.65356</v>
      </c>
      <c r="CB58" s="567"/>
      <c r="CC58" s="567"/>
      <c r="CD58" s="567">
        <f t="shared" si="234"/>
        <v>2562.4036299999998</v>
      </c>
      <c r="CE58" s="567"/>
      <c r="CF58" s="568">
        <f t="shared" si="39"/>
        <v>2562.4036299999998</v>
      </c>
      <c r="CG58" s="571">
        <v>780.75007000000005</v>
      </c>
      <c r="CH58" s="571">
        <f>940.16814+841.48542</f>
        <v>1781.65356</v>
      </c>
      <c r="CI58" s="567"/>
      <c r="CJ58" s="567"/>
      <c r="CK58" s="567">
        <f t="shared" si="235"/>
        <v>569.33068000000003</v>
      </c>
      <c r="CL58" s="567"/>
      <c r="CM58" s="567">
        <f t="shared" si="102"/>
        <v>569.33068000000003</v>
      </c>
      <c r="CN58" s="567">
        <v>326.37705999999997</v>
      </c>
      <c r="CO58" s="567">
        <f>128.2052+114.74842</f>
        <v>242.95362</v>
      </c>
      <c r="CP58" s="567"/>
      <c r="CQ58" s="567"/>
      <c r="CR58" s="573">
        <f t="shared" si="236"/>
        <v>3131.7343099999998</v>
      </c>
      <c r="CS58" s="567">
        <f t="shared" si="40"/>
        <v>3131.7343099999998</v>
      </c>
      <c r="CT58" s="567">
        <f t="shared" si="41"/>
        <v>0</v>
      </c>
      <c r="CU58" s="567">
        <f t="shared" si="42"/>
        <v>3131.7343099999998</v>
      </c>
      <c r="CV58" s="567">
        <f t="shared" si="43"/>
        <v>0</v>
      </c>
      <c r="CW58" s="567">
        <f t="shared" si="237"/>
        <v>0</v>
      </c>
      <c r="CX58" s="567">
        <f t="shared" ca="1" si="182"/>
        <v>0</v>
      </c>
      <c r="CY58" s="567">
        <f t="shared" si="44"/>
        <v>0</v>
      </c>
      <c r="CZ58" s="567">
        <f t="shared" si="45"/>
        <v>0</v>
      </c>
      <c r="DA58" s="567">
        <f t="shared" si="46"/>
        <v>0</v>
      </c>
      <c r="DB58" s="2">
        <f t="shared" si="238"/>
        <v>0</v>
      </c>
      <c r="DC58" s="76"/>
      <c r="DD58" s="253"/>
      <c r="DE58" s="253"/>
      <c r="DF58" s="2">
        <f t="shared" si="239"/>
        <v>0</v>
      </c>
      <c r="DG58" s="2"/>
      <c r="DH58" s="198"/>
      <c r="DI58" s="2"/>
      <c r="DJ58" s="2"/>
      <c r="DK58" s="2">
        <f t="shared" si="240"/>
        <v>0</v>
      </c>
      <c r="DL58" s="2"/>
      <c r="DM58" s="198"/>
      <c r="DN58" s="2"/>
      <c r="DO58" s="2"/>
      <c r="DP58" s="2">
        <f t="shared" si="241"/>
        <v>0</v>
      </c>
      <c r="DQ58" s="2">
        <f t="shared" si="242"/>
        <v>0</v>
      </c>
      <c r="DR58" s="2">
        <f t="shared" si="242"/>
        <v>0</v>
      </c>
      <c r="DS58" s="2">
        <f t="shared" si="242"/>
        <v>0</v>
      </c>
      <c r="DT58" s="2">
        <f t="shared" si="242"/>
        <v>0</v>
      </c>
      <c r="DU58" s="2"/>
      <c r="DV58" s="2"/>
      <c r="DW58" s="2"/>
      <c r="DX58" s="2">
        <f t="shared" ca="1" si="243"/>
        <v>0</v>
      </c>
      <c r="DY58" s="46"/>
      <c r="DZ58" s="2">
        <f t="shared" si="244"/>
        <v>2562.4036299999998</v>
      </c>
      <c r="EA58" s="2">
        <f t="shared" si="245"/>
        <v>2562.4036299999998</v>
      </c>
      <c r="EB58" s="46"/>
      <c r="EC58" s="2"/>
      <c r="ED58" s="2"/>
      <c r="EE58" s="46"/>
      <c r="EF58" s="2"/>
      <c r="EG58" s="46"/>
      <c r="EH58" s="46"/>
      <c r="EI58" s="2">
        <f t="shared" si="10"/>
        <v>2562.4036299999998</v>
      </c>
      <c r="EJ58" s="2"/>
      <c r="EK58" s="198">
        <f t="shared" si="48"/>
        <v>2562.4036299999998</v>
      </c>
      <c r="EL58" s="446">
        <v>780.75007000000005</v>
      </c>
      <c r="EM58" s="446">
        <f>940.16814+841.48542</f>
        <v>1781.65356</v>
      </c>
      <c r="EN58" s="2"/>
      <c r="EO58" s="2"/>
      <c r="EP58" s="2">
        <f t="shared" si="14"/>
        <v>569.33068000000003</v>
      </c>
      <c r="EQ58" s="2"/>
      <c r="ER58" s="2">
        <f t="shared" si="104"/>
        <v>569.33068000000003</v>
      </c>
      <c r="ES58" s="2">
        <v>326.37705999999997</v>
      </c>
      <c r="ET58" s="2">
        <f>128.2052+114.74842</f>
        <v>242.95362</v>
      </c>
      <c r="EU58" s="2"/>
      <c r="EV58" s="141"/>
      <c r="EW58" s="310"/>
      <c r="EX58" s="310"/>
      <c r="EY58" s="310"/>
      <c r="EZ58" s="396"/>
      <c r="FA58" s="396"/>
      <c r="FB58" s="310"/>
      <c r="FC58" s="310"/>
      <c r="FD58" s="310"/>
      <c r="FE58" s="396"/>
      <c r="FF58" s="396"/>
      <c r="FG58" s="396"/>
      <c r="FH58" s="311"/>
      <c r="FI58" s="310"/>
      <c r="FJ58" s="296" t="e">
        <f t="shared" si="248"/>
        <v>#DIV/0!</v>
      </c>
      <c r="FK58" s="353">
        <f t="shared" si="73"/>
        <v>2758.6</v>
      </c>
      <c r="FL58" s="353">
        <f t="shared" si="249"/>
        <v>2758.6</v>
      </c>
      <c r="FM58" s="353"/>
      <c r="FN58" s="388">
        <f t="shared" si="250"/>
        <v>1</v>
      </c>
      <c r="FO58" s="388">
        <f t="shared" si="251"/>
        <v>0</v>
      </c>
      <c r="FP58" s="353">
        <f t="shared" si="75"/>
        <v>3131.7343099999998</v>
      </c>
      <c r="FQ58" s="353">
        <f t="shared" si="252"/>
        <v>2562.4036299999998</v>
      </c>
      <c r="FR58" s="353">
        <f t="shared" si="253"/>
        <v>569.33068000000003</v>
      </c>
      <c r="FS58" s="388">
        <f t="shared" si="254"/>
        <v>0.81820594480762321</v>
      </c>
      <c r="FT58" s="388">
        <f t="shared" si="255"/>
        <v>0.18179405519237679</v>
      </c>
      <c r="FU58" s="388"/>
      <c r="FV58" s="353">
        <f t="shared" si="256"/>
        <v>3131.7343099999998</v>
      </c>
      <c r="FW58" s="353">
        <f t="shared" si="77"/>
        <v>-569.33068000000003</v>
      </c>
      <c r="FX58" s="310"/>
      <c r="FY58" s="310"/>
      <c r="FZ58" s="310"/>
      <c r="GA58" s="396"/>
      <c r="GB58" s="396"/>
      <c r="GC58" s="310"/>
      <c r="GD58" s="310"/>
      <c r="GE58" s="310"/>
      <c r="GF58" s="396"/>
      <c r="GG58" s="396"/>
      <c r="GH58" s="396"/>
      <c r="GI58" s="311"/>
      <c r="GJ58" s="344"/>
      <c r="GK58" s="303">
        <f t="shared" si="30"/>
        <v>0.92887828246211845</v>
      </c>
    </row>
    <row r="59" spans="2:193" s="115" customFormat="1" ht="18.600000000000001" customHeight="1" x14ac:dyDescent="0.2">
      <c r="B59" s="109"/>
      <c r="C59" s="110"/>
      <c r="D59" s="110"/>
      <c r="E59" s="111"/>
      <c r="F59" s="109"/>
      <c r="G59" s="110"/>
      <c r="H59" s="110"/>
      <c r="M59" s="111"/>
      <c r="N59" s="114" t="s">
        <v>16</v>
      </c>
      <c r="O59" s="114"/>
      <c r="P59" s="114">
        <f t="shared" si="49"/>
        <v>0</v>
      </c>
      <c r="Q59" s="114"/>
      <c r="R59" s="114"/>
      <c r="S59" s="114"/>
      <c r="T59" s="158">
        <f t="shared" ref="T59:AW59" si="285">SUM(T60:T80)-T61</f>
        <v>37</v>
      </c>
      <c r="U59" s="492">
        <f t="shared" si="285"/>
        <v>4</v>
      </c>
      <c r="V59" s="57">
        <f t="shared" si="31"/>
        <v>285887.50870000001</v>
      </c>
      <c r="W59" s="57">
        <f t="shared" si="285"/>
        <v>161805.66854000001</v>
      </c>
      <c r="X59" s="57">
        <f t="shared" si="285"/>
        <v>51428.19999999999</v>
      </c>
      <c r="Y59" s="57">
        <f t="shared" si="285"/>
        <v>16203.299999999997</v>
      </c>
      <c r="Z59" s="57">
        <f t="shared" si="285"/>
        <v>35224.9</v>
      </c>
      <c r="AA59" s="57">
        <f t="shared" si="285"/>
        <v>72653.640159999995</v>
      </c>
      <c r="AB59" s="564">
        <f t="shared" ref="AB59:AH59" si="286">SUM(AB60:AB80)-AB61</f>
        <v>285887.50870000001</v>
      </c>
      <c r="AC59" s="564">
        <f t="shared" si="286"/>
        <v>161805.66854000001</v>
      </c>
      <c r="AD59" s="564">
        <f t="shared" si="286"/>
        <v>51428.19999999999</v>
      </c>
      <c r="AE59" s="564">
        <f t="shared" si="286"/>
        <v>17410.674919999998</v>
      </c>
      <c r="AF59" s="564">
        <f t="shared" si="286"/>
        <v>34017.525079999999</v>
      </c>
      <c r="AG59" s="564">
        <f t="shared" si="286"/>
        <v>72653.640159999995</v>
      </c>
      <c r="AH59" s="564">
        <f t="shared" si="286"/>
        <v>0</v>
      </c>
      <c r="AI59" s="564">
        <f t="shared" si="285"/>
        <v>26261.100000000006</v>
      </c>
      <c r="AJ59" s="564">
        <f t="shared" si="285"/>
        <v>0</v>
      </c>
      <c r="AK59" s="564">
        <f t="shared" si="285"/>
        <v>15748.1</v>
      </c>
      <c r="AL59" s="564">
        <f t="shared" si="285"/>
        <v>10513</v>
      </c>
      <c r="AM59" s="564">
        <f t="shared" si="285"/>
        <v>0</v>
      </c>
      <c r="AN59" s="564">
        <f t="shared" ref="AN59:AR59" si="287">SUM(AN60:AN80)-AN61</f>
        <v>15748.1</v>
      </c>
      <c r="AO59" s="564">
        <f t="shared" si="287"/>
        <v>0</v>
      </c>
      <c r="AP59" s="564">
        <f t="shared" si="287"/>
        <v>15748.1</v>
      </c>
      <c r="AQ59" s="564">
        <f t="shared" si="287"/>
        <v>0</v>
      </c>
      <c r="AR59" s="564">
        <f t="shared" si="287"/>
        <v>0</v>
      </c>
      <c r="AS59" s="566">
        <f t="shared" si="285"/>
        <v>6847</v>
      </c>
      <c r="AT59" s="564">
        <f t="shared" si="285"/>
        <v>0</v>
      </c>
      <c r="AU59" s="564">
        <f t="shared" si="285"/>
        <v>6847</v>
      </c>
      <c r="AV59" s="564">
        <f t="shared" si="285"/>
        <v>0</v>
      </c>
      <c r="AW59" s="564">
        <f t="shared" si="285"/>
        <v>0</v>
      </c>
      <c r="AX59" s="411"/>
      <c r="AY59" s="564">
        <f t="shared" ref="AY59:BD59" si="288">SUM(AY60:AY80)-AY61</f>
        <v>284952.59944000002</v>
      </c>
      <c r="AZ59" s="564">
        <f t="shared" si="288"/>
        <v>161805.66853999998</v>
      </c>
      <c r="BA59" s="564">
        <f t="shared" si="288"/>
        <v>50966.243469999994</v>
      </c>
      <c r="BB59" s="564">
        <f t="shared" ref="BB59:BC59" si="289">SUM(BB60:BB80)-BB61</f>
        <v>16948.718390000002</v>
      </c>
      <c r="BC59" s="564">
        <f t="shared" si="289"/>
        <v>34017.525079999999</v>
      </c>
      <c r="BD59" s="564">
        <f t="shared" si="288"/>
        <v>72180.687430000005</v>
      </c>
      <c r="BE59" s="564">
        <f>SUM(BE60:BE80)-BE61</f>
        <v>0</v>
      </c>
      <c r="BF59" s="564">
        <f t="shared" si="32"/>
        <v>934.90925999998581</v>
      </c>
      <c r="BG59" s="564">
        <f t="shared" si="33"/>
        <v>0</v>
      </c>
      <c r="BH59" s="564">
        <f t="shared" si="34"/>
        <v>461.95652999999584</v>
      </c>
      <c r="BI59" s="564">
        <f t="shared" si="35"/>
        <v>461.95652999999584</v>
      </c>
      <c r="BJ59" s="564">
        <f t="shared" si="36"/>
        <v>0</v>
      </c>
      <c r="BK59" s="564">
        <f t="shared" si="37"/>
        <v>472.95272999998997</v>
      </c>
      <c r="BL59" s="564" t="e">
        <f t="shared" ref="BL59:BQ59" si="290">SUM(BL60:BL80)-BL61</f>
        <v>#REF!</v>
      </c>
      <c r="BM59" s="564">
        <f t="shared" si="290"/>
        <v>26243.545000000002</v>
      </c>
      <c r="BN59" s="564">
        <f t="shared" si="290"/>
        <v>0</v>
      </c>
      <c r="BO59" s="564">
        <f t="shared" si="290"/>
        <v>15050.544999999998</v>
      </c>
      <c r="BP59" s="564">
        <f t="shared" si="290"/>
        <v>11193</v>
      </c>
      <c r="BQ59" s="564">
        <f t="shared" si="290"/>
        <v>0</v>
      </c>
      <c r="BR59" s="564">
        <f t="shared" ref="BR59:DB59" si="291">SUM(BR60:BR80)-BR61</f>
        <v>0</v>
      </c>
      <c r="BS59" s="564">
        <f t="shared" si="291"/>
        <v>0</v>
      </c>
      <c r="BT59" s="564">
        <f t="shared" si="291"/>
        <v>0</v>
      </c>
      <c r="BU59" s="564">
        <f t="shared" si="291"/>
        <v>0</v>
      </c>
      <c r="BV59" s="564">
        <f t="shared" si="291"/>
        <v>0</v>
      </c>
      <c r="BW59" s="564">
        <f t="shared" si="291"/>
        <v>262471.56404000008</v>
      </c>
      <c r="BX59" s="564">
        <f t="shared" si="291"/>
        <v>148907.67483</v>
      </c>
      <c r="BY59" s="564">
        <f t="shared" si="38"/>
        <v>42058.375520000001</v>
      </c>
      <c r="BZ59" s="564">
        <f t="shared" si="291"/>
        <v>12751.317239999998</v>
      </c>
      <c r="CA59" s="564">
        <f t="shared" si="291"/>
        <v>29307.058280000005</v>
      </c>
      <c r="CB59" s="564">
        <f t="shared" si="291"/>
        <v>71505.513690000007</v>
      </c>
      <c r="CC59" s="564">
        <f t="shared" si="291"/>
        <v>0</v>
      </c>
      <c r="CD59" s="564">
        <f t="shared" si="291"/>
        <v>262471.56404000008</v>
      </c>
      <c r="CE59" s="564">
        <f t="shared" ref="CE59" si="292">SUM(CE60:CE80)-CE61</f>
        <v>148907.67483</v>
      </c>
      <c r="CF59" s="564">
        <f t="shared" si="39"/>
        <v>42058.375520000001</v>
      </c>
      <c r="CG59" s="564">
        <f t="shared" ref="CG59:CH59" si="293">SUM(CG60:CG80)-CG61</f>
        <v>12751.317239999998</v>
      </c>
      <c r="CH59" s="564">
        <f t="shared" si="293"/>
        <v>29307.058280000005</v>
      </c>
      <c r="CI59" s="564">
        <f t="shared" ref="CI59" si="294">SUM(CI60:CI80)-CI61</f>
        <v>71505.513690000007</v>
      </c>
      <c r="CJ59" s="564">
        <f t="shared" si="291"/>
        <v>0</v>
      </c>
      <c r="CK59" s="566">
        <f t="shared" si="291"/>
        <v>33727.885699999999</v>
      </c>
      <c r="CL59" s="564">
        <f t="shared" si="291"/>
        <v>11045.1602</v>
      </c>
      <c r="CM59" s="564">
        <f>SUM(CM60:CM80)</f>
        <v>13057.14813</v>
      </c>
      <c r="CN59" s="564">
        <f t="shared" si="291"/>
        <v>2347.8571499999998</v>
      </c>
      <c r="CO59" s="564">
        <f t="shared" si="291"/>
        <v>3220.4441000000002</v>
      </c>
      <c r="CP59" s="564">
        <f t="shared" si="291"/>
        <v>9625.5773700000009</v>
      </c>
      <c r="CQ59" s="564">
        <f t="shared" si="291"/>
        <v>0</v>
      </c>
      <c r="CR59" s="564">
        <f t="shared" si="291"/>
        <v>296199.44974000007</v>
      </c>
      <c r="CS59" s="564">
        <f t="shared" si="40"/>
        <v>296199.44974000001</v>
      </c>
      <c r="CT59" s="564">
        <f t="shared" si="41"/>
        <v>159952.83503000002</v>
      </c>
      <c r="CU59" s="564">
        <f t="shared" si="42"/>
        <v>55115.523650000003</v>
      </c>
      <c r="CV59" s="564">
        <f t="shared" si="43"/>
        <v>81131.091060000006</v>
      </c>
      <c r="CW59" s="564">
        <f t="shared" si="291"/>
        <v>0</v>
      </c>
      <c r="CX59" s="564">
        <f t="shared" ca="1" si="182"/>
        <v>0</v>
      </c>
      <c r="CY59" s="564">
        <f t="shared" si="44"/>
        <v>0</v>
      </c>
      <c r="CZ59" s="564">
        <f t="shared" si="45"/>
        <v>0</v>
      </c>
      <c r="DA59" s="564">
        <f t="shared" si="46"/>
        <v>0</v>
      </c>
      <c r="DB59" s="57">
        <f t="shared" si="291"/>
        <v>0</v>
      </c>
      <c r="DC59" s="225">
        <f>DD59+DF59-BR59</f>
        <v>26243.545000000002</v>
      </c>
      <c r="DD59" s="226">
        <f t="shared" ref="DD59:DX59" si="295">SUM(DD60:DD80)-DD61</f>
        <v>26243.545000000002</v>
      </c>
      <c r="DE59" s="226">
        <f t="shared" si="295"/>
        <v>26243.545000000002</v>
      </c>
      <c r="DF59" s="57">
        <f t="shared" si="295"/>
        <v>0</v>
      </c>
      <c r="DG59" s="57">
        <f t="shared" si="295"/>
        <v>0</v>
      </c>
      <c r="DH59" s="57">
        <f t="shared" si="295"/>
        <v>0</v>
      </c>
      <c r="DI59" s="57">
        <f t="shared" si="295"/>
        <v>0</v>
      </c>
      <c r="DJ59" s="57">
        <f t="shared" si="295"/>
        <v>0</v>
      </c>
      <c r="DK59" s="57">
        <f t="shared" si="295"/>
        <v>0</v>
      </c>
      <c r="DL59" s="57">
        <f t="shared" si="295"/>
        <v>0</v>
      </c>
      <c r="DM59" s="57">
        <f t="shared" si="295"/>
        <v>0</v>
      </c>
      <c r="DN59" s="57">
        <f t="shared" si="295"/>
        <v>0</v>
      </c>
      <c r="DO59" s="57">
        <f t="shared" si="295"/>
        <v>0</v>
      </c>
      <c r="DP59" s="57">
        <f t="shared" si="295"/>
        <v>0</v>
      </c>
      <c r="DQ59" s="57">
        <f t="shared" si="295"/>
        <v>0</v>
      </c>
      <c r="DR59" s="57">
        <f t="shared" si="295"/>
        <v>0</v>
      </c>
      <c r="DS59" s="57">
        <f t="shared" si="295"/>
        <v>0</v>
      </c>
      <c r="DT59" s="57">
        <f t="shared" si="295"/>
        <v>0</v>
      </c>
      <c r="DU59" s="57">
        <f t="shared" si="295"/>
        <v>0</v>
      </c>
      <c r="DV59" s="57">
        <f t="shared" si="295"/>
        <v>0</v>
      </c>
      <c r="DW59" s="57">
        <f t="shared" si="295"/>
        <v>0</v>
      </c>
      <c r="DX59" s="57">
        <f t="shared" ca="1" si="295"/>
        <v>0</v>
      </c>
      <c r="DY59" s="124"/>
      <c r="DZ59" s="57">
        <f>SUM(DZ60:DZ80)-DZ61</f>
        <v>262471.56404000008</v>
      </c>
      <c r="EA59" s="57">
        <f>SUM(EA60:EA80)-EA61</f>
        <v>262471.56404000008</v>
      </c>
      <c r="EB59" s="124"/>
      <c r="EC59" s="57">
        <f>SUM(EC60:EC80)-EC61</f>
        <v>262471.56404000003</v>
      </c>
      <c r="ED59" s="57">
        <f ca="1">SUM(ED60:ED80)-ED61</f>
        <v>0</v>
      </c>
      <c r="EE59" s="124"/>
      <c r="EF59" s="57">
        <f>SUM(EF60:EF80)-EF61</f>
        <v>-236228.01903999998</v>
      </c>
      <c r="EG59" s="124">
        <f ca="1">DX59-EF59</f>
        <v>236228.01903999998</v>
      </c>
      <c r="EH59" s="124"/>
      <c r="EI59" s="57">
        <f t="shared" si="10"/>
        <v>262471.56404000003</v>
      </c>
      <c r="EJ59" s="57">
        <f t="shared" ref="EJ59:EN59" si="296">SUM(EJ60:EJ80)-EJ61</f>
        <v>148907.67483</v>
      </c>
      <c r="EK59" s="57">
        <f t="shared" si="48"/>
        <v>42058.375520000001</v>
      </c>
      <c r="EL59" s="57">
        <f t="shared" ref="EL59:EM59" si="297">SUM(EL60:EL80)-EL61</f>
        <v>12751.317239999998</v>
      </c>
      <c r="EM59" s="57">
        <f t="shared" si="297"/>
        <v>29307.058280000005</v>
      </c>
      <c r="EN59" s="57">
        <f t="shared" si="296"/>
        <v>71505.513690000007</v>
      </c>
      <c r="EO59" s="57">
        <f t="shared" ref="EO59" si="298">SUM(EO60:EO80)-EO61</f>
        <v>0</v>
      </c>
      <c r="EP59" s="57">
        <f t="shared" si="14"/>
        <v>33727.885699999999</v>
      </c>
      <c r="EQ59" s="57">
        <f t="shared" ref="EQ59" si="299">SUM(EQ60:EQ80)-EQ61</f>
        <v>11045.1602</v>
      </c>
      <c r="ER59" s="57">
        <f>SUM(ER60:ER80)</f>
        <v>13057.14813</v>
      </c>
      <c r="ES59" s="57">
        <f t="shared" ref="ES59:EU59" si="300">SUM(ES60:ES80)-ES61</f>
        <v>7263.8400899999997</v>
      </c>
      <c r="ET59" s="57">
        <f t="shared" si="300"/>
        <v>6378.4501</v>
      </c>
      <c r="EU59" s="57">
        <f t="shared" si="300"/>
        <v>9625.5773700000009</v>
      </c>
      <c r="EV59" s="140">
        <f t="shared" ref="EV59" si="301">SUM(EV60:EV80)-EV61</f>
        <v>0</v>
      </c>
      <c r="EW59" s="57">
        <f t="shared" si="17"/>
        <v>161805.66853999998</v>
      </c>
      <c r="EX59" s="57">
        <f>AZ59</f>
        <v>161805.66853999998</v>
      </c>
      <c r="EY59" s="57">
        <f t="shared" ref="EY59" si="302">SUM(EY60:EY80)-EY61</f>
        <v>0</v>
      </c>
      <c r="EZ59" s="390"/>
      <c r="FA59" s="390"/>
      <c r="FB59" s="57">
        <f t="shared" si="70"/>
        <v>3789.5039999999999</v>
      </c>
      <c r="FC59" s="57">
        <f>SUM(FC60:FC80)</f>
        <v>3675.777</v>
      </c>
      <c r="FD59" s="57">
        <f>SUM(FD60:FD80)</f>
        <v>113.727</v>
      </c>
      <c r="FE59" s="390"/>
      <c r="FF59" s="390"/>
      <c r="FG59" s="390"/>
      <c r="FH59" s="304" t="e">
        <f t="shared" ref="FH59" si="303">SUM(FH60:FH80)</f>
        <v>#DIV/0!</v>
      </c>
      <c r="FI59" s="57" t="e">
        <f t="shared" si="72"/>
        <v>#DIV/0!</v>
      </c>
      <c r="FJ59" s="295"/>
      <c r="FK59" s="57">
        <f t="shared" si="73"/>
        <v>50966.243469999994</v>
      </c>
      <c r="FL59" s="57">
        <f t="shared" si="249"/>
        <v>50966.243469999994</v>
      </c>
      <c r="FM59" s="57">
        <f t="shared" ref="FM59" si="304">SUM(FM60:FM80)-FM61</f>
        <v>0</v>
      </c>
      <c r="FN59" s="390"/>
      <c r="FO59" s="390"/>
      <c r="FP59" s="57">
        <f t="shared" si="75"/>
        <v>52271.029649999989</v>
      </c>
      <c r="FQ59" s="57">
        <f>SUM(FQ60:FQ80)</f>
        <v>39840.397229999988</v>
      </c>
      <c r="FR59" s="57">
        <f>SUM(FR60:FR80)</f>
        <v>12430.63242</v>
      </c>
      <c r="FS59" s="390"/>
      <c r="FT59" s="390"/>
      <c r="FU59" s="390"/>
      <c r="FV59" s="57" t="e">
        <f>SUM(FV60:FV79)</f>
        <v>#DIV/0!</v>
      </c>
      <c r="FW59" s="57" t="e">
        <f t="shared" si="77"/>
        <v>#DIV/0!</v>
      </c>
      <c r="FX59" s="57">
        <f t="shared" ref="FX59" si="305">FY59+FZ59+GA59</f>
        <v>72180.687430000005</v>
      </c>
      <c r="FY59" s="57">
        <f>BD59</f>
        <v>72180.687430000005</v>
      </c>
      <c r="FZ59" s="57">
        <f t="shared" ref="FZ59" si="306">SUM(FZ60:FZ80)-FZ61</f>
        <v>0</v>
      </c>
      <c r="GA59" s="390"/>
      <c r="GB59" s="390"/>
      <c r="GC59" s="57">
        <f t="shared" si="80"/>
        <v>81131.091060000006</v>
      </c>
      <c r="GD59" s="57">
        <f t="shared" si="177"/>
        <v>71505.513690000007</v>
      </c>
      <c r="GE59" s="57">
        <f t="shared" si="178"/>
        <v>9625.5773700000009</v>
      </c>
      <c r="GF59" s="390"/>
      <c r="GG59" s="390"/>
      <c r="GH59" s="390"/>
      <c r="GI59" s="304">
        <f t="shared" si="262"/>
        <v>0</v>
      </c>
      <c r="GJ59" s="77">
        <f t="shared" si="82"/>
        <v>71505.513690000007</v>
      </c>
      <c r="GK59" s="462">
        <f t="shared" si="30"/>
        <v>0.91809385178639702</v>
      </c>
    </row>
    <row r="60" spans="2:193" s="37" customFormat="1" ht="15.75" hidden="1" customHeight="1" x14ac:dyDescent="0.25">
      <c r="B60" s="29">
        <v>1</v>
      </c>
      <c r="C60" s="30"/>
      <c r="D60" s="30"/>
      <c r="E60" s="493">
        <v>45</v>
      </c>
      <c r="F60" s="29"/>
      <c r="G60" s="30"/>
      <c r="H60" s="30"/>
      <c r="M60" s="493">
        <v>34</v>
      </c>
      <c r="N60" s="494" t="s">
        <v>198</v>
      </c>
      <c r="O60" s="494"/>
      <c r="P60" s="494">
        <f t="shared" si="49"/>
        <v>0</v>
      </c>
      <c r="Q60" s="494"/>
      <c r="R60" s="494"/>
      <c r="S60" s="494"/>
      <c r="T60" s="156"/>
      <c r="U60" s="493"/>
      <c r="V60" s="2">
        <f t="shared" si="31"/>
        <v>0</v>
      </c>
      <c r="W60" s="2"/>
      <c r="X60" s="198">
        <f t="shared" si="227"/>
        <v>0</v>
      </c>
      <c r="Y60" s="198">
        <f>205.7-205.7</f>
        <v>0</v>
      </c>
      <c r="Z60" s="42"/>
      <c r="AA60" s="2"/>
      <c r="AB60" s="567">
        <f t="shared" ref="AB60:AB80" si="307">AC60+AD60+AG60+AH60</f>
        <v>0</v>
      </c>
      <c r="AC60" s="567"/>
      <c r="AD60" s="568">
        <f t="shared" si="229"/>
        <v>0</v>
      </c>
      <c r="AE60" s="568">
        <f>205.7-205.7</f>
        <v>0</v>
      </c>
      <c r="AF60" s="569"/>
      <c r="AG60" s="567"/>
      <c r="AH60" s="573"/>
      <c r="AI60" s="567">
        <f t="shared" ref="AI60:AI80" si="308">AJ60+AK60+AL60+AM60</f>
        <v>124.2</v>
      </c>
      <c r="AJ60" s="567"/>
      <c r="AK60" s="568">
        <v>124.2</v>
      </c>
      <c r="AL60" s="567"/>
      <c r="AM60" s="573"/>
      <c r="AN60" s="567">
        <f t="shared" ref="AN60:AN80" si="309">AO60+AP60+AQ60+AR60</f>
        <v>124.2</v>
      </c>
      <c r="AO60" s="567"/>
      <c r="AP60" s="568">
        <v>124.2</v>
      </c>
      <c r="AQ60" s="567"/>
      <c r="AR60" s="573"/>
      <c r="AS60" s="567">
        <f t="shared" ref="AS60:AS80" si="310">AT60+AU60+AV60+AW60</f>
        <v>54</v>
      </c>
      <c r="AT60" s="567"/>
      <c r="AU60" s="568">
        <v>54</v>
      </c>
      <c r="AV60" s="567"/>
      <c r="AW60" s="567"/>
      <c r="AX60" s="425"/>
      <c r="AY60" s="567">
        <f t="shared" si="150"/>
        <v>0</v>
      </c>
      <c r="AZ60" s="567"/>
      <c r="BA60" s="567">
        <f t="shared" ref="BA60:BA80" si="311">BB60+BC60</f>
        <v>0</v>
      </c>
      <c r="BB60" s="567"/>
      <c r="BC60" s="567"/>
      <c r="BD60" s="567"/>
      <c r="BE60" s="567"/>
      <c r="BF60" s="567">
        <f t="shared" si="32"/>
        <v>0</v>
      </c>
      <c r="BG60" s="567">
        <f t="shared" si="33"/>
        <v>0</v>
      </c>
      <c r="BH60" s="567">
        <f t="shared" si="34"/>
        <v>0</v>
      </c>
      <c r="BI60" s="567">
        <f t="shared" si="35"/>
        <v>0</v>
      </c>
      <c r="BJ60" s="567">
        <f t="shared" si="36"/>
        <v>0</v>
      </c>
      <c r="BK60" s="567">
        <f t="shared" si="37"/>
        <v>0</v>
      </c>
      <c r="BL60" s="567" t="e">
        <f>#REF!-BE60</f>
        <v>#REF!</v>
      </c>
      <c r="BM60" s="567">
        <f t="shared" ref="BM60:BM80" si="312">BN60+BO60+BP60+BQ60</f>
        <v>0</v>
      </c>
      <c r="BN60" s="567"/>
      <c r="BO60" s="567"/>
      <c r="BP60" s="567"/>
      <c r="BQ60" s="567"/>
      <c r="BR60" s="567">
        <f t="shared" ref="BR60:BR80" si="313">BS60+BT60+BU60+BV60</f>
        <v>0</v>
      </c>
      <c r="BS60" s="567"/>
      <c r="BT60" s="567"/>
      <c r="BU60" s="567"/>
      <c r="BV60" s="567"/>
      <c r="BW60" s="567">
        <f t="shared" ref="BW60:BW80" si="314">BX60+BY60+CB60+CC60</f>
        <v>0</v>
      </c>
      <c r="BX60" s="567"/>
      <c r="BY60" s="567">
        <f t="shared" si="38"/>
        <v>0</v>
      </c>
      <c r="BZ60" s="567"/>
      <c r="CA60" s="567"/>
      <c r="CB60" s="567"/>
      <c r="CC60" s="567"/>
      <c r="CD60" s="567">
        <f t="shared" ref="CD60:CD80" si="315">CE60+CF60+CI60+CJ60</f>
        <v>0</v>
      </c>
      <c r="CE60" s="567"/>
      <c r="CF60" s="567">
        <f t="shared" si="39"/>
        <v>0</v>
      </c>
      <c r="CG60" s="567"/>
      <c r="CH60" s="567"/>
      <c r="CI60" s="567"/>
      <c r="CJ60" s="567"/>
      <c r="CK60" s="567">
        <f t="shared" ref="CK60:CK80" si="316">CL60+CM60+CP60+CQ60</f>
        <v>0</v>
      </c>
      <c r="CL60" s="567"/>
      <c r="CM60" s="567">
        <f t="shared" si="102"/>
        <v>0</v>
      </c>
      <c r="CN60" s="567"/>
      <c r="CO60" s="567"/>
      <c r="CP60" s="567"/>
      <c r="CQ60" s="567"/>
      <c r="CR60" s="573">
        <f t="shared" ref="CR60:CR80" si="317">CS60</f>
        <v>0</v>
      </c>
      <c r="CS60" s="567">
        <f t="shared" si="40"/>
        <v>0</v>
      </c>
      <c r="CT60" s="567">
        <f t="shared" si="41"/>
        <v>0</v>
      </c>
      <c r="CU60" s="567">
        <f t="shared" si="42"/>
        <v>0</v>
      </c>
      <c r="CV60" s="567">
        <f t="shared" si="43"/>
        <v>0</v>
      </c>
      <c r="CW60" s="567">
        <f t="shared" ref="CW60:CW80" si="318">CJ60+CQ60</f>
        <v>0</v>
      </c>
      <c r="CX60" s="567">
        <f t="shared" ca="1" si="182"/>
        <v>0</v>
      </c>
      <c r="CY60" s="567">
        <f t="shared" si="44"/>
        <v>0</v>
      </c>
      <c r="CZ60" s="567">
        <f t="shared" si="45"/>
        <v>0</v>
      </c>
      <c r="DA60" s="567">
        <f t="shared" si="46"/>
        <v>0</v>
      </c>
      <c r="DB60" s="2">
        <f t="shared" ref="DB60:DB80" si="319">CC60-CJ60</f>
        <v>0</v>
      </c>
      <c r="DC60" s="76"/>
      <c r="DD60" s="253"/>
      <c r="DE60" s="253"/>
      <c r="DF60" s="2">
        <f t="shared" ref="DF60:DF80" si="320">DG60+DH60+DI60+DJ60</f>
        <v>0</v>
      </c>
      <c r="DG60" s="2"/>
      <c r="DH60" s="2"/>
      <c r="DI60" s="2"/>
      <c r="DJ60" s="2"/>
      <c r="DK60" s="2">
        <f t="shared" ref="DK60:DK80" si="321">DL60+DM60+DN60+DO60</f>
        <v>0</v>
      </c>
      <c r="DL60" s="2"/>
      <c r="DM60" s="2"/>
      <c r="DN60" s="2"/>
      <c r="DO60" s="2"/>
      <c r="DP60" s="2">
        <f t="shared" ref="DP60:DP80" si="322">DQ60+DR60+DS60+DT60</f>
        <v>0</v>
      </c>
      <c r="DQ60" s="2"/>
      <c r="DR60" s="2"/>
      <c r="DS60" s="2"/>
      <c r="DT60" s="2"/>
      <c r="DU60" s="2"/>
      <c r="DV60" s="2"/>
      <c r="DW60" s="2"/>
      <c r="DX60" s="2">
        <f t="shared" ref="DX60:DX80" ca="1" si="323">CX60+DP60+DW60</f>
        <v>0</v>
      </c>
      <c r="DY60" s="46"/>
      <c r="DZ60" s="2">
        <f t="shared" ref="DZ60:DZ80" si="324">BW60+DF60+DU60</f>
        <v>0</v>
      </c>
      <c r="EA60" s="2">
        <f t="shared" ref="EA60:EA80" si="325">CD60+DK60+DV60</f>
        <v>0</v>
      </c>
      <c r="EB60" s="46"/>
      <c r="EC60" s="2">
        <f t="shared" ref="EC60:EC61" si="326">EA60</f>
        <v>0</v>
      </c>
      <c r="ED60" s="2">
        <f t="shared" ref="ED60:ED61" ca="1" si="327">DX60</f>
        <v>0</v>
      </c>
      <c r="EE60" s="46"/>
      <c r="EF60" s="2">
        <f>DE60-EC60</f>
        <v>0</v>
      </c>
      <c r="EG60" s="46"/>
      <c r="EH60" s="46"/>
      <c r="EI60" s="2">
        <f t="shared" si="10"/>
        <v>0</v>
      </c>
      <c r="EJ60" s="2"/>
      <c r="EK60" s="2">
        <f t="shared" si="48"/>
        <v>0</v>
      </c>
      <c r="EL60" s="2"/>
      <c r="EM60" s="2"/>
      <c r="EN60" s="2"/>
      <c r="EO60" s="2"/>
      <c r="EP60" s="2">
        <f t="shared" si="14"/>
        <v>0</v>
      </c>
      <c r="EQ60" s="2"/>
      <c r="ER60" s="2">
        <f t="shared" si="104"/>
        <v>0</v>
      </c>
      <c r="ES60" s="2"/>
      <c r="ET60" s="2"/>
      <c r="EU60" s="2"/>
      <c r="EV60" s="141"/>
      <c r="EW60" s="310"/>
      <c r="EX60" s="310"/>
      <c r="EY60" s="310"/>
      <c r="EZ60" s="396"/>
      <c r="FA60" s="396"/>
      <c r="FB60" s="310"/>
      <c r="FC60" s="310"/>
      <c r="FD60" s="310"/>
      <c r="FE60" s="396"/>
      <c r="FF60" s="396"/>
      <c r="FG60" s="396"/>
      <c r="FH60" s="311"/>
      <c r="FI60" s="310"/>
      <c r="FJ60" s="296" t="e">
        <f t="shared" ref="FJ60:FJ80" si="328">FH60/FE60</f>
        <v>#DIV/0!</v>
      </c>
      <c r="FK60" s="353"/>
      <c r="FL60" s="353"/>
      <c r="FM60" s="353"/>
      <c r="FN60" s="388"/>
      <c r="FO60" s="388"/>
      <c r="FP60" s="353"/>
      <c r="FQ60" s="353"/>
      <c r="FR60" s="353"/>
      <c r="FS60" s="388"/>
      <c r="FT60" s="388"/>
      <c r="FU60" s="388"/>
      <c r="FV60" s="353"/>
      <c r="FW60" s="353">
        <f t="shared" si="77"/>
        <v>0</v>
      </c>
      <c r="FX60" s="310"/>
      <c r="FY60" s="310"/>
      <c r="FZ60" s="310"/>
      <c r="GA60" s="396"/>
      <c r="GB60" s="396"/>
      <c r="GC60" s="310"/>
      <c r="GD60" s="310"/>
      <c r="GE60" s="310"/>
      <c r="GF60" s="396"/>
      <c r="GG60" s="396"/>
      <c r="GH60" s="396"/>
      <c r="GI60" s="311"/>
      <c r="GJ60" s="344"/>
      <c r="GK60" s="303" t="e">
        <f t="shared" si="30"/>
        <v>#DIV/0!</v>
      </c>
    </row>
    <row r="61" spans="2:193" s="37" customFormat="1" ht="15.75" hidden="1" customHeight="1" x14ac:dyDescent="0.25">
      <c r="B61" s="29"/>
      <c r="C61" s="30"/>
      <c r="D61" s="30"/>
      <c r="E61" s="493"/>
      <c r="F61" s="29"/>
      <c r="G61" s="30"/>
      <c r="H61" s="30"/>
      <c r="M61" s="493"/>
      <c r="N61" s="18" t="s">
        <v>246</v>
      </c>
      <c r="O61" s="128"/>
      <c r="P61" s="128">
        <f t="shared" si="49"/>
        <v>0</v>
      </c>
      <c r="Q61" s="128"/>
      <c r="R61" s="128"/>
      <c r="S61" s="128"/>
      <c r="T61" s="128"/>
      <c r="U61" s="128"/>
      <c r="V61" s="2">
        <f t="shared" si="31"/>
        <v>0</v>
      </c>
      <c r="W61" s="2"/>
      <c r="X61" s="198">
        <f t="shared" si="227"/>
        <v>0</v>
      </c>
      <c r="Y61" s="198"/>
      <c r="Z61" s="42"/>
      <c r="AA61" s="2"/>
      <c r="AB61" s="567">
        <f t="shared" si="307"/>
        <v>0</v>
      </c>
      <c r="AC61" s="567"/>
      <c r="AD61" s="568">
        <f t="shared" si="229"/>
        <v>0</v>
      </c>
      <c r="AE61" s="568"/>
      <c r="AF61" s="569"/>
      <c r="AG61" s="567"/>
      <c r="AH61" s="573"/>
      <c r="AI61" s="567">
        <f t="shared" si="308"/>
        <v>0</v>
      </c>
      <c r="AJ61" s="567"/>
      <c r="AK61" s="568"/>
      <c r="AL61" s="567"/>
      <c r="AM61" s="573"/>
      <c r="AN61" s="567">
        <f t="shared" si="309"/>
        <v>0</v>
      </c>
      <c r="AO61" s="567"/>
      <c r="AP61" s="568"/>
      <c r="AQ61" s="567"/>
      <c r="AR61" s="573"/>
      <c r="AS61" s="567">
        <f t="shared" si="310"/>
        <v>0</v>
      </c>
      <c r="AT61" s="567"/>
      <c r="AU61" s="568"/>
      <c r="AV61" s="567"/>
      <c r="AW61" s="567"/>
      <c r="AX61" s="425"/>
      <c r="AY61" s="567">
        <f t="shared" si="150"/>
        <v>0</v>
      </c>
      <c r="AZ61" s="567"/>
      <c r="BA61" s="567">
        <f t="shared" si="311"/>
        <v>0</v>
      </c>
      <c r="BB61" s="567"/>
      <c r="BC61" s="567"/>
      <c r="BD61" s="567"/>
      <c r="BE61" s="567"/>
      <c r="BF61" s="567">
        <f t="shared" si="32"/>
        <v>0</v>
      </c>
      <c r="BG61" s="567">
        <f t="shared" si="33"/>
        <v>0</v>
      </c>
      <c r="BH61" s="567">
        <f t="shared" si="34"/>
        <v>0</v>
      </c>
      <c r="BI61" s="567">
        <f t="shared" si="35"/>
        <v>0</v>
      </c>
      <c r="BJ61" s="567">
        <f t="shared" si="36"/>
        <v>0</v>
      </c>
      <c r="BK61" s="567">
        <f t="shared" si="37"/>
        <v>0</v>
      </c>
      <c r="BL61" s="567" t="e">
        <f>#REF!-BE61</f>
        <v>#REF!</v>
      </c>
      <c r="BM61" s="567">
        <f t="shared" si="312"/>
        <v>0</v>
      </c>
      <c r="BN61" s="567"/>
      <c r="BO61" s="567"/>
      <c r="BP61" s="567"/>
      <c r="BQ61" s="567"/>
      <c r="BR61" s="567">
        <f t="shared" si="313"/>
        <v>0</v>
      </c>
      <c r="BS61" s="567"/>
      <c r="BT61" s="567"/>
      <c r="BU61" s="567"/>
      <c r="BV61" s="567"/>
      <c r="BW61" s="567">
        <f t="shared" si="314"/>
        <v>0</v>
      </c>
      <c r="BX61" s="567"/>
      <c r="BY61" s="567">
        <f t="shared" si="38"/>
        <v>0</v>
      </c>
      <c r="BZ61" s="567"/>
      <c r="CA61" s="567"/>
      <c r="CB61" s="567"/>
      <c r="CC61" s="567"/>
      <c r="CD61" s="567">
        <f t="shared" si="315"/>
        <v>0</v>
      </c>
      <c r="CE61" s="567"/>
      <c r="CF61" s="567">
        <f t="shared" si="39"/>
        <v>0</v>
      </c>
      <c r="CG61" s="567"/>
      <c r="CH61" s="567"/>
      <c r="CI61" s="567"/>
      <c r="CJ61" s="567"/>
      <c r="CK61" s="567">
        <f t="shared" si="316"/>
        <v>0</v>
      </c>
      <c r="CL61" s="567"/>
      <c r="CM61" s="567">
        <f t="shared" si="102"/>
        <v>0</v>
      </c>
      <c r="CN61" s="567"/>
      <c r="CO61" s="567"/>
      <c r="CP61" s="567"/>
      <c r="CQ61" s="567"/>
      <c r="CR61" s="573">
        <f t="shared" si="317"/>
        <v>0</v>
      </c>
      <c r="CS61" s="567">
        <f t="shared" si="40"/>
        <v>0</v>
      </c>
      <c r="CT61" s="567">
        <f t="shared" si="41"/>
        <v>0</v>
      </c>
      <c r="CU61" s="567">
        <f t="shared" si="42"/>
        <v>0</v>
      </c>
      <c r="CV61" s="567">
        <f t="shared" si="43"/>
        <v>0</v>
      </c>
      <c r="CW61" s="567">
        <f t="shared" si="318"/>
        <v>0</v>
      </c>
      <c r="CX61" s="567">
        <f t="shared" ca="1" si="182"/>
        <v>0</v>
      </c>
      <c r="CY61" s="567">
        <f t="shared" si="44"/>
        <v>0</v>
      </c>
      <c r="CZ61" s="567">
        <f t="shared" si="45"/>
        <v>0</v>
      </c>
      <c r="DA61" s="567">
        <f t="shared" si="46"/>
        <v>0</v>
      </c>
      <c r="DB61" s="2">
        <f t="shared" si="319"/>
        <v>0</v>
      </c>
      <c r="DC61" s="76"/>
      <c r="DD61" s="253"/>
      <c r="DE61" s="253"/>
      <c r="DF61" s="2">
        <f t="shared" si="320"/>
        <v>0</v>
      </c>
      <c r="DG61" s="2"/>
      <c r="DH61" s="2"/>
      <c r="DI61" s="2"/>
      <c r="DJ61" s="2"/>
      <c r="DK61" s="2">
        <f t="shared" si="321"/>
        <v>0</v>
      </c>
      <c r="DL61" s="2"/>
      <c r="DM61" s="2"/>
      <c r="DN61" s="2"/>
      <c r="DO61" s="2"/>
      <c r="DP61" s="2">
        <f t="shared" si="322"/>
        <v>0</v>
      </c>
      <c r="DQ61" s="2"/>
      <c r="DR61" s="2"/>
      <c r="DS61" s="2"/>
      <c r="DT61" s="2"/>
      <c r="DU61" s="2"/>
      <c r="DV61" s="2"/>
      <c r="DW61" s="2"/>
      <c r="DX61" s="2">
        <f t="shared" ca="1" si="323"/>
        <v>0</v>
      </c>
      <c r="DY61" s="46"/>
      <c r="DZ61" s="2">
        <f t="shared" si="324"/>
        <v>0</v>
      </c>
      <c r="EA61" s="2">
        <f t="shared" si="325"/>
        <v>0</v>
      </c>
      <c r="EB61" s="46"/>
      <c r="EC61" s="2">
        <f t="shared" si="326"/>
        <v>0</v>
      </c>
      <c r="ED61" s="2">
        <f t="shared" ca="1" si="327"/>
        <v>0</v>
      </c>
      <c r="EE61" s="46"/>
      <c r="EF61" s="2"/>
      <c r="EG61" s="46"/>
      <c r="EH61" s="46"/>
      <c r="EI61" s="2">
        <f t="shared" si="10"/>
        <v>0</v>
      </c>
      <c r="EJ61" s="2"/>
      <c r="EK61" s="2">
        <f t="shared" si="48"/>
        <v>0</v>
      </c>
      <c r="EL61" s="2"/>
      <c r="EM61" s="2"/>
      <c r="EN61" s="2"/>
      <c r="EO61" s="2"/>
      <c r="EP61" s="2">
        <f t="shared" si="14"/>
        <v>0</v>
      </c>
      <c r="EQ61" s="2"/>
      <c r="ER61" s="2">
        <f t="shared" si="104"/>
        <v>0</v>
      </c>
      <c r="ES61" s="2"/>
      <c r="ET61" s="2"/>
      <c r="EU61" s="2"/>
      <c r="EV61" s="141"/>
      <c r="EW61" s="310"/>
      <c r="EX61" s="310"/>
      <c r="EY61" s="310"/>
      <c r="EZ61" s="396"/>
      <c r="FA61" s="396"/>
      <c r="FB61" s="310"/>
      <c r="FC61" s="310"/>
      <c r="FD61" s="310"/>
      <c r="FE61" s="396"/>
      <c r="FF61" s="396"/>
      <c r="FG61" s="396"/>
      <c r="FH61" s="311"/>
      <c r="FI61" s="310"/>
      <c r="FJ61" s="296" t="e">
        <f t="shared" si="328"/>
        <v>#DIV/0!</v>
      </c>
      <c r="FK61" s="353"/>
      <c r="FL61" s="353"/>
      <c r="FM61" s="353"/>
      <c r="FN61" s="388"/>
      <c r="FO61" s="388"/>
      <c r="FP61" s="353"/>
      <c r="FQ61" s="353"/>
      <c r="FR61" s="353"/>
      <c r="FS61" s="388"/>
      <c r="FT61" s="388"/>
      <c r="FU61" s="388"/>
      <c r="FV61" s="353"/>
      <c r="FW61" s="353">
        <f t="shared" si="77"/>
        <v>0</v>
      </c>
      <c r="FX61" s="310"/>
      <c r="FY61" s="310"/>
      <c r="FZ61" s="310"/>
      <c r="GA61" s="396"/>
      <c r="GB61" s="396"/>
      <c r="GC61" s="310"/>
      <c r="GD61" s="310"/>
      <c r="GE61" s="310"/>
      <c r="GF61" s="396"/>
      <c r="GG61" s="396"/>
      <c r="GH61" s="396"/>
      <c r="GI61" s="311"/>
      <c r="GJ61" s="344"/>
      <c r="GK61" s="303" t="e">
        <f t="shared" si="30"/>
        <v>#DIV/0!</v>
      </c>
    </row>
    <row r="62" spans="2:193" s="37" customFormat="1" ht="15.75" customHeight="1" x14ac:dyDescent="0.25">
      <c r="B62" s="29"/>
      <c r="C62" s="30"/>
      <c r="D62" s="30">
        <v>1</v>
      </c>
      <c r="E62" s="493">
        <v>46</v>
      </c>
      <c r="F62" s="29"/>
      <c r="G62" s="30"/>
      <c r="H62" s="30">
        <v>1</v>
      </c>
      <c r="M62" s="493">
        <v>32</v>
      </c>
      <c r="N62" s="494" t="s">
        <v>199</v>
      </c>
      <c r="O62" s="494"/>
      <c r="P62" s="494">
        <f t="shared" si="49"/>
        <v>0</v>
      </c>
      <c r="Q62" s="494" t="s">
        <v>701</v>
      </c>
      <c r="R62" s="469" t="s">
        <v>712</v>
      </c>
      <c r="S62" s="494" t="s">
        <v>496</v>
      </c>
      <c r="T62" s="156">
        <v>2</v>
      </c>
      <c r="U62" s="159" t="s">
        <v>717</v>
      </c>
      <c r="V62" s="2">
        <f t="shared" si="31"/>
        <v>2393.8000000000002</v>
      </c>
      <c r="W62" s="2"/>
      <c r="X62" s="198">
        <f t="shared" si="227"/>
        <v>2393.8000000000002</v>
      </c>
      <c r="Y62" s="198">
        <v>754.2</v>
      </c>
      <c r="Z62" s="42">
        <v>1639.6</v>
      </c>
      <c r="AA62" s="2"/>
      <c r="AB62" s="567">
        <f t="shared" si="307"/>
        <v>2393.8000000000002</v>
      </c>
      <c r="AC62" s="567"/>
      <c r="AD62" s="568">
        <f t="shared" si="229"/>
        <v>2393.8000000000002</v>
      </c>
      <c r="AE62" s="568">
        <v>754.2</v>
      </c>
      <c r="AF62" s="569">
        <v>1639.6</v>
      </c>
      <c r="AG62" s="567"/>
      <c r="AH62" s="570"/>
      <c r="AI62" s="567">
        <f t="shared" si="308"/>
        <v>476.1</v>
      </c>
      <c r="AJ62" s="567"/>
      <c r="AK62" s="568">
        <v>476.1</v>
      </c>
      <c r="AL62" s="567"/>
      <c r="AM62" s="570"/>
      <c r="AN62" s="567">
        <f t="shared" si="309"/>
        <v>476.1</v>
      </c>
      <c r="AO62" s="567"/>
      <c r="AP62" s="568">
        <v>476.1</v>
      </c>
      <c r="AQ62" s="567"/>
      <c r="AR62" s="570"/>
      <c r="AS62" s="567">
        <f t="shared" si="310"/>
        <v>207</v>
      </c>
      <c r="AT62" s="567"/>
      <c r="AU62" s="568">
        <v>207</v>
      </c>
      <c r="AV62" s="567"/>
      <c r="AW62" s="570"/>
      <c r="AX62" s="425" t="s">
        <v>718</v>
      </c>
      <c r="AY62" s="567">
        <f t="shared" si="150"/>
        <v>2256.8490999999999</v>
      </c>
      <c r="AZ62" s="567"/>
      <c r="BA62" s="568">
        <f t="shared" si="311"/>
        <v>2256.8490999999999</v>
      </c>
      <c r="BB62" s="568">
        <f>754.2-78.99706-57.95384</f>
        <v>617.2491</v>
      </c>
      <c r="BC62" s="569">
        <f>1639.6-57.95384+57.95384</f>
        <v>1639.6</v>
      </c>
      <c r="BD62" s="567"/>
      <c r="BE62" s="570"/>
      <c r="BF62" s="567">
        <f t="shared" si="32"/>
        <v>136.95090000000005</v>
      </c>
      <c r="BG62" s="567">
        <f t="shared" si="33"/>
        <v>0</v>
      </c>
      <c r="BH62" s="567">
        <f t="shared" si="34"/>
        <v>136.95090000000005</v>
      </c>
      <c r="BI62" s="567">
        <f t="shared" si="35"/>
        <v>136.95090000000005</v>
      </c>
      <c r="BJ62" s="567">
        <f t="shared" si="36"/>
        <v>0</v>
      </c>
      <c r="BK62" s="567">
        <f t="shared" si="37"/>
        <v>0</v>
      </c>
      <c r="BL62" s="567" t="e">
        <f>#REF!-BE62</f>
        <v>#REF!</v>
      </c>
      <c r="BM62" s="567">
        <f t="shared" si="312"/>
        <v>876.1</v>
      </c>
      <c r="BN62" s="567"/>
      <c r="BO62" s="568">
        <f>207+269.1+400</f>
        <v>876.1</v>
      </c>
      <c r="BP62" s="567"/>
      <c r="BQ62" s="570"/>
      <c r="BR62" s="567">
        <f t="shared" si="313"/>
        <v>0</v>
      </c>
      <c r="BS62" s="567"/>
      <c r="BT62" s="568"/>
      <c r="BU62" s="567"/>
      <c r="BV62" s="570"/>
      <c r="BW62" s="567">
        <f t="shared" si="314"/>
        <v>2256.8490999999999</v>
      </c>
      <c r="BX62" s="567"/>
      <c r="BY62" s="578">
        <f t="shared" si="38"/>
        <v>2256.8490999999999</v>
      </c>
      <c r="BZ62" s="571">
        <f>475.146+200.05694-57.95384</f>
        <v>617.2491</v>
      </c>
      <c r="CA62" s="571">
        <f>1096.7089+484.93726+57.95384</f>
        <v>1639.6</v>
      </c>
      <c r="CB62" s="567"/>
      <c r="CC62" s="577"/>
      <c r="CD62" s="567">
        <f t="shared" si="315"/>
        <v>2256.8490999999999</v>
      </c>
      <c r="CE62" s="567"/>
      <c r="CF62" s="578">
        <f t="shared" si="39"/>
        <v>2256.8490999999999</v>
      </c>
      <c r="CG62" s="571">
        <f>475.146+200.05694-57.95384</f>
        <v>617.2491</v>
      </c>
      <c r="CH62" s="571">
        <f>1096.7089+484.93726+57.95384</f>
        <v>1639.6</v>
      </c>
      <c r="CI62" s="567"/>
      <c r="CJ62" s="577"/>
      <c r="CK62" s="567">
        <f t="shared" si="316"/>
        <v>1700.33636</v>
      </c>
      <c r="CL62" s="567"/>
      <c r="CM62" s="567">
        <v>1700.33636</v>
      </c>
      <c r="CN62" s="567"/>
      <c r="CO62" s="567">
        <f>243.2746+949.64876</f>
        <v>1192.92336</v>
      </c>
      <c r="CP62" s="567"/>
      <c r="CQ62" s="567"/>
      <c r="CR62" s="573">
        <f t="shared" si="317"/>
        <v>3957.1854599999997</v>
      </c>
      <c r="CS62" s="567">
        <f t="shared" si="40"/>
        <v>3957.1854599999997</v>
      </c>
      <c r="CT62" s="567">
        <f t="shared" si="41"/>
        <v>0</v>
      </c>
      <c r="CU62" s="567">
        <f t="shared" si="42"/>
        <v>3957.1854599999997</v>
      </c>
      <c r="CV62" s="567">
        <f t="shared" si="43"/>
        <v>0</v>
      </c>
      <c r="CW62" s="567">
        <f t="shared" si="318"/>
        <v>0</v>
      </c>
      <c r="CX62" s="567">
        <f t="shared" ca="1" si="182"/>
        <v>0</v>
      </c>
      <c r="CY62" s="567">
        <f t="shared" si="44"/>
        <v>0</v>
      </c>
      <c r="CZ62" s="567">
        <f t="shared" si="45"/>
        <v>0</v>
      </c>
      <c r="DA62" s="567">
        <f t="shared" si="46"/>
        <v>0</v>
      </c>
      <c r="DB62" s="2">
        <f t="shared" si="319"/>
        <v>0</v>
      </c>
      <c r="DC62" s="76"/>
      <c r="DD62" s="253"/>
      <c r="DE62" s="253"/>
      <c r="DF62" s="2">
        <f t="shared" si="320"/>
        <v>0</v>
      </c>
      <c r="DG62" s="2"/>
      <c r="DH62" s="198"/>
      <c r="DI62" s="2"/>
      <c r="DJ62" s="234"/>
      <c r="DK62" s="2">
        <f t="shared" si="321"/>
        <v>0</v>
      </c>
      <c r="DL62" s="2"/>
      <c r="DM62" s="198"/>
      <c r="DN62" s="2"/>
      <c r="DO62" s="234"/>
      <c r="DP62" s="2">
        <f t="shared" si="322"/>
        <v>0</v>
      </c>
      <c r="DQ62" s="2">
        <f t="shared" ref="DQ62:DT80" si="329">DG62-DL62</f>
        <v>0</v>
      </c>
      <c r="DR62" s="2">
        <f t="shared" si="329"/>
        <v>0</v>
      </c>
      <c r="DS62" s="2">
        <f t="shared" si="329"/>
        <v>0</v>
      </c>
      <c r="DT62" s="2">
        <f t="shared" si="329"/>
        <v>0</v>
      </c>
      <c r="DU62" s="2"/>
      <c r="DV62" s="2"/>
      <c r="DW62" s="2"/>
      <c r="DX62" s="2">
        <f t="shared" ca="1" si="323"/>
        <v>0</v>
      </c>
      <c r="DY62" s="46"/>
      <c r="DZ62" s="2">
        <f t="shared" si="324"/>
        <v>2256.8490999999999</v>
      </c>
      <c r="EA62" s="2">
        <f t="shared" si="325"/>
        <v>2256.8490999999999</v>
      </c>
      <c r="EB62" s="46"/>
      <c r="EC62" s="2"/>
      <c r="ED62" s="2"/>
      <c r="EE62" s="46"/>
      <c r="EF62" s="2"/>
      <c r="EG62" s="46"/>
      <c r="EH62" s="46"/>
      <c r="EI62" s="2">
        <f t="shared" si="10"/>
        <v>2256.8490999999999</v>
      </c>
      <c r="EJ62" s="2"/>
      <c r="EK62" s="433">
        <f t="shared" si="48"/>
        <v>2256.8490999999999</v>
      </c>
      <c r="EL62" s="446">
        <f>475.146+200.05694-57.95384</f>
        <v>617.2491</v>
      </c>
      <c r="EM62" s="446">
        <f>1096.7089+484.93726+57.95384</f>
        <v>1639.6</v>
      </c>
      <c r="EN62" s="2"/>
      <c r="EO62" s="236"/>
      <c r="EP62" s="2">
        <f t="shared" si="14"/>
        <v>1700.33636</v>
      </c>
      <c r="EQ62" s="2"/>
      <c r="ER62" s="2">
        <v>1700.33636</v>
      </c>
      <c r="ES62" s="2">
        <f>949.64876+399.84306</f>
        <v>1349.49182</v>
      </c>
      <c r="ET62" s="2">
        <f>243.2746+107.56994</f>
        <v>350.84453999999999</v>
      </c>
      <c r="EU62" s="2"/>
      <c r="EV62" s="141"/>
      <c r="EW62" s="310"/>
      <c r="EX62" s="310"/>
      <c r="EY62" s="310"/>
      <c r="EZ62" s="396"/>
      <c r="FA62" s="396"/>
      <c r="FB62" s="310"/>
      <c r="FC62" s="310"/>
      <c r="FD62" s="310"/>
      <c r="FE62" s="396"/>
      <c r="FF62" s="396"/>
      <c r="FG62" s="396"/>
      <c r="FH62" s="311"/>
      <c r="FI62" s="310"/>
      <c r="FJ62" s="296" t="e">
        <f t="shared" si="328"/>
        <v>#DIV/0!</v>
      </c>
      <c r="FK62" s="353">
        <f t="shared" si="73"/>
        <v>2256.8490999999999</v>
      </c>
      <c r="FL62" s="353">
        <f t="shared" ref="FL62:FL68" si="330">BA62</f>
        <v>2256.8490999999999</v>
      </c>
      <c r="FM62" s="353"/>
      <c r="FN62" s="388">
        <f t="shared" ref="FN62:FN80" si="331">FL62/FK62</f>
        <v>1</v>
      </c>
      <c r="FO62" s="388">
        <f t="shared" ref="FO62:FO80" si="332">FM62/FK62</f>
        <v>0</v>
      </c>
      <c r="FP62" s="353">
        <f t="shared" si="75"/>
        <v>3957.1854599999997</v>
      </c>
      <c r="FQ62" s="353">
        <f t="shared" ref="FQ62:FQ80" si="333">EK62</f>
        <v>2256.8490999999999</v>
      </c>
      <c r="FR62" s="353">
        <f t="shared" ref="FR62:FR80" si="334">ER62</f>
        <v>1700.33636</v>
      </c>
      <c r="FS62" s="388">
        <f t="shared" ref="FS62:FS80" si="335">FQ62/FP62</f>
        <v>0.57031673718926479</v>
      </c>
      <c r="FT62" s="388">
        <f t="shared" ref="FT62:FT80" si="336">FR62/FP62</f>
        <v>0.42968326281073521</v>
      </c>
      <c r="FU62" s="388"/>
      <c r="FV62" s="353">
        <f t="shared" ref="FV62:FV81" si="337">FP62*FN62</f>
        <v>3957.1854599999997</v>
      </c>
      <c r="FW62" s="353">
        <f t="shared" si="77"/>
        <v>-1700.3363599999998</v>
      </c>
      <c r="FX62" s="310"/>
      <c r="FY62" s="310"/>
      <c r="FZ62" s="310"/>
      <c r="GA62" s="396"/>
      <c r="GB62" s="396"/>
      <c r="GC62" s="310"/>
      <c r="GD62" s="310"/>
      <c r="GE62" s="310"/>
      <c r="GF62" s="396"/>
      <c r="GG62" s="396"/>
      <c r="GH62" s="396"/>
      <c r="GI62" s="311"/>
      <c r="GJ62" s="344"/>
      <c r="GK62" s="303">
        <f t="shared" si="30"/>
        <v>0.94278933077115867</v>
      </c>
    </row>
    <row r="63" spans="2:193" s="37" customFormat="1" ht="15.75" hidden="1" customHeight="1" x14ac:dyDescent="0.25">
      <c r="B63" s="29"/>
      <c r="C63" s="30"/>
      <c r="D63" s="30">
        <v>1</v>
      </c>
      <c r="E63" s="493">
        <v>47</v>
      </c>
      <c r="F63" s="29"/>
      <c r="G63" s="30"/>
      <c r="H63" s="30"/>
      <c r="M63" s="493">
        <v>36</v>
      </c>
      <c r="N63" s="494" t="s">
        <v>200</v>
      </c>
      <c r="O63" s="494"/>
      <c r="P63" s="494">
        <f t="shared" si="49"/>
        <v>0</v>
      </c>
      <c r="Q63" s="494"/>
      <c r="R63" s="494"/>
      <c r="S63" s="494"/>
      <c r="T63" s="156"/>
      <c r="U63" s="156"/>
      <c r="V63" s="2">
        <f t="shared" si="31"/>
        <v>0</v>
      </c>
      <c r="W63" s="2"/>
      <c r="X63" s="198">
        <f t="shared" si="227"/>
        <v>0</v>
      </c>
      <c r="Y63" s="198">
        <f>947.8-947.8</f>
        <v>0</v>
      </c>
      <c r="Z63" s="42"/>
      <c r="AA63" s="2"/>
      <c r="AB63" s="567">
        <f t="shared" si="307"/>
        <v>0</v>
      </c>
      <c r="AC63" s="567"/>
      <c r="AD63" s="568">
        <f t="shared" si="229"/>
        <v>0</v>
      </c>
      <c r="AE63" s="568">
        <f>947.8-947.8</f>
        <v>0</v>
      </c>
      <c r="AF63" s="569"/>
      <c r="AG63" s="567"/>
      <c r="AH63" s="580"/>
      <c r="AI63" s="567">
        <f t="shared" si="308"/>
        <v>0</v>
      </c>
      <c r="AJ63" s="567"/>
      <c r="AK63" s="568"/>
      <c r="AL63" s="567"/>
      <c r="AM63" s="580"/>
      <c r="AN63" s="567">
        <f t="shared" si="309"/>
        <v>0</v>
      </c>
      <c r="AO63" s="567"/>
      <c r="AP63" s="568"/>
      <c r="AQ63" s="567"/>
      <c r="AR63" s="580"/>
      <c r="AS63" s="567">
        <f t="shared" si="310"/>
        <v>0</v>
      </c>
      <c r="AT63" s="567"/>
      <c r="AU63" s="568"/>
      <c r="AV63" s="567"/>
      <c r="AW63" s="581"/>
      <c r="AX63" s="425"/>
      <c r="AY63" s="567">
        <f t="shared" si="150"/>
        <v>0</v>
      </c>
      <c r="AZ63" s="567"/>
      <c r="BA63" s="567">
        <f t="shared" si="311"/>
        <v>0</v>
      </c>
      <c r="BB63" s="567"/>
      <c r="BC63" s="567"/>
      <c r="BD63" s="567"/>
      <c r="BE63" s="567"/>
      <c r="BF63" s="567">
        <f t="shared" si="32"/>
        <v>0</v>
      </c>
      <c r="BG63" s="567">
        <f t="shared" si="33"/>
        <v>0</v>
      </c>
      <c r="BH63" s="567">
        <f t="shared" si="34"/>
        <v>0</v>
      </c>
      <c r="BI63" s="567">
        <f t="shared" si="35"/>
        <v>0</v>
      </c>
      <c r="BJ63" s="567">
        <f t="shared" si="36"/>
        <v>0</v>
      </c>
      <c r="BK63" s="567">
        <f t="shared" si="37"/>
        <v>0</v>
      </c>
      <c r="BL63" s="567" t="e">
        <f>#REF!-BE63</f>
        <v>#REF!</v>
      </c>
      <c r="BM63" s="567">
        <f t="shared" si="312"/>
        <v>0</v>
      </c>
      <c r="BN63" s="567"/>
      <c r="BO63" s="567"/>
      <c r="BP63" s="567"/>
      <c r="BQ63" s="567"/>
      <c r="BR63" s="567">
        <f t="shared" si="313"/>
        <v>0</v>
      </c>
      <c r="BS63" s="567"/>
      <c r="BT63" s="567"/>
      <c r="BU63" s="567"/>
      <c r="BV63" s="567"/>
      <c r="BW63" s="567">
        <f t="shared" si="314"/>
        <v>0</v>
      </c>
      <c r="BX63" s="567"/>
      <c r="BY63" s="567">
        <f t="shared" si="38"/>
        <v>0</v>
      </c>
      <c r="BZ63" s="574"/>
      <c r="CA63" s="574"/>
      <c r="CB63" s="567"/>
      <c r="CC63" s="567"/>
      <c r="CD63" s="567">
        <f t="shared" si="315"/>
        <v>0</v>
      </c>
      <c r="CE63" s="567"/>
      <c r="CF63" s="567">
        <f t="shared" si="39"/>
        <v>0</v>
      </c>
      <c r="CG63" s="574"/>
      <c r="CH63" s="574"/>
      <c r="CI63" s="567"/>
      <c r="CJ63" s="567"/>
      <c r="CK63" s="567">
        <f t="shared" si="316"/>
        <v>0</v>
      </c>
      <c r="CL63" s="567"/>
      <c r="CM63" s="567">
        <f t="shared" si="102"/>
        <v>0</v>
      </c>
      <c r="CN63" s="567"/>
      <c r="CO63" s="567"/>
      <c r="CP63" s="567"/>
      <c r="CQ63" s="567"/>
      <c r="CR63" s="573">
        <f t="shared" si="317"/>
        <v>0</v>
      </c>
      <c r="CS63" s="567">
        <f t="shared" si="40"/>
        <v>0</v>
      </c>
      <c r="CT63" s="567">
        <f t="shared" si="41"/>
        <v>0</v>
      </c>
      <c r="CU63" s="567">
        <f t="shared" si="42"/>
        <v>0</v>
      </c>
      <c r="CV63" s="567">
        <f t="shared" si="43"/>
        <v>0</v>
      </c>
      <c r="CW63" s="567">
        <f t="shared" si="318"/>
        <v>0</v>
      </c>
      <c r="CX63" s="567">
        <f t="shared" ca="1" si="182"/>
        <v>0</v>
      </c>
      <c r="CY63" s="567">
        <f t="shared" si="44"/>
        <v>0</v>
      </c>
      <c r="CZ63" s="567">
        <f t="shared" si="45"/>
        <v>0</v>
      </c>
      <c r="DA63" s="567">
        <f t="shared" si="46"/>
        <v>0</v>
      </c>
      <c r="DB63" s="2">
        <f t="shared" si="319"/>
        <v>0</v>
      </c>
      <c r="DC63" s="76"/>
      <c r="DD63" s="253"/>
      <c r="DE63" s="253"/>
      <c r="DF63" s="2">
        <f t="shared" si="320"/>
        <v>0</v>
      </c>
      <c r="DG63" s="2"/>
      <c r="DH63" s="2"/>
      <c r="DI63" s="2"/>
      <c r="DJ63" s="2"/>
      <c r="DK63" s="2">
        <f t="shared" si="321"/>
        <v>0</v>
      </c>
      <c r="DL63" s="2"/>
      <c r="DM63" s="2"/>
      <c r="DN63" s="2"/>
      <c r="DO63" s="2"/>
      <c r="DP63" s="2">
        <f t="shared" si="322"/>
        <v>0</v>
      </c>
      <c r="DQ63" s="2">
        <f t="shared" si="329"/>
        <v>0</v>
      </c>
      <c r="DR63" s="2">
        <f t="shared" si="329"/>
        <v>0</v>
      </c>
      <c r="DS63" s="2">
        <f t="shared" si="329"/>
        <v>0</v>
      </c>
      <c r="DT63" s="2">
        <f t="shared" si="329"/>
        <v>0</v>
      </c>
      <c r="DU63" s="2"/>
      <c r="DV63" s="2"/>
      <c r="DW63" s="2"/>
      <c r="DX63" s="2">
        <f t="shared" ca="1" si="323"/>
        <v>0</v>
      </c>
      <c r="DY63" s="46"/>
      <c r="DZ63" s="2">
        <f t="shared" si="324"/>
        <v>0</v>
      </c>
      <c r="EA63" s="2">
        <f t="shared" si="325"/>
        <v>0</v>
      </c>
      <c r="EB63" s="46"/>
      <c r="EC63" s="2"/>
      <c r="ED63" s="2"/>
      <c r="EE63" s="46"/>
      <c r="EF63" s="2"/>
      <c r="EG63" s="46"/>
      <c r="EH63" s="46"/>
      <c r="EI63" s="2">
        <f t="shared" si="10"/>
        <v>0</v>
      </c>
      <c r="EJ63" s="2"/>
      <c r="EK63" s="2">
        <f t="shared" si="48"/>
        <v>0</v>
      </c>
      <c r="EL63" s="432"/>
      <c r="EM63" s="432"/>
      <c r="EN63" s="2"/>
      <c r="EO63" s="2"/>
      <c r="EP63" s="2">
        <f t="shared" si="14"/>
        <v>0</v>
      </c>
      <c r="EQ63" s="2"/>
      <c r="ER63" s="2">
        <f t="shared" si="104"/>
        <v>0</v>
      </c>
      <c r="ES63" s="2"/>
      <c r="ET63" s="2"/>
      <c r="EU63" s="2"/>
      <c r="EV63" s="141"/>
      <c r="EW63" s="310">
        <f t="shared" ref="EW63:EW64" si="338">EX63+EY63</f>
        <v>0</v>
      </c>
      <c r="EX63" s="310">
        <f>AZ63</f>
        <v>0</v>
      </c>
      <c r="EY63" s="310"/>
      <c r="EZ63" s="396" t="e">
        <f t="shared" ref="EZ63:EZ64" si="339">EX63/EW63</f>
        <v>#DIV/0!</v>
      </c>
      <c r="FA63" s="396" t="e">
        <f t="shared" ref="FA63:FA64" si="340">EY63/EW63</f>
        <v>#DIV/0!</v>
      </c>
      <c r="FB63" s="310">
        <f t="shared" si="70"/>
        <v>0</v>
      </c>
      <c r="FC63" s="310">
        <f t="shared" si="197"/>
        <v>0</v>
      </c>
      <c r="FD63" s="310">
        <f t="shared" si="198"/>
        <v>0</v>
      </c>
      <c r="FE63" s="396" t="e">
        <f t="shared" ref="FE63:FE64" si="341">FC63/FB63</f>
        <v>#DIV/0!</v>
      </c>
      <c r="FF63" s="396" t="e">
        <f t="shared" ref="FF63:FF64" si="342">FD63/FB63</f>
        <v>#DIV/0!</v>
      </c>
      <c r="FG63" s="396"/>
      <c r="FH63" s="311" t="e">
        <f>FE63/FC63</f>
        <v>#DIV/0!</v>
      </c>
      <c r="FI63" s="310" t="e">
        <f t="shared" si="72"/>
        <v>#DIV/0!</v>
      </c>
      <c r="FJ63" s="296" t="e">
        <f t="shared" si="328"/>
        <v>#DIV/0!</v>
      </c>
      <c r="FK63" s="353">
        <f t="shared" si="73"/>
        <v>0</v>
      </c>
      <c r="FL63" s="353">
        <f t="shared" si="330"/>
        <v>0</v>
      </c>
      <c r="FM63" s="353"/>
      <c r="FN63" s="388" t="e">
        <f t="shared" si="331"/>
        <v>#DIV/0!</v>
      </c>
      <c r="FO63" s="388" t="e">
        <f t="shared" si="332"/>
        <v>#DIV/0!</v>
      </c>
      <c r="FP63" s="353">
        <f t="shared" si="75"/>
        <v>0</v>
      </c>
      <c r="FQ63" s="353">
        <f t="shared" si="333"/>
        <v>0</v>
      </c>
      <c r="FR63" s="353">
        <f t="shared" si="334"/>
        <v>0</v>
      </c>
      <c r="FS63" s="388" t="e">
        <f t="shared" si="335"/>
        <v>#DIV/0!</v>
      </c>
      <c r="FT63" s="388" t="e">
        <f t="shared" si="336"/>
        <v>#DIV/0!</v>
      </c>
      <c r="FU63" s="388"/>
      <c r="FV63" s="353" t="e">
        <f t="shared" si="337"/>
        <v>#DIV/0!</v>
      </c>
      <c r="FW63" s="353" t="e">
        <f t="shared" si="77"/>
        <v>#DIV/0!</v>
      </c>
      <c r="FX63" s="310">
        <f t="shared" ref="FX63:FX79" si="343">FY63+FZ63</f>
        <v>0</v>
      </c>
      <c r="FY63" s="310">
        <f>BD63</f>
        <v>0</v>
      </c>
      <c r="FZ63" s="310"/>
      <c r="GA63" s="396" t="e">
        <f t="shared" ref="GA63:GA79" si="344">FY63/FX63</f>
        <v>#DIV/0!</v>
      </c>
      <c r="GB63" s="396" t="e">
        <f t="shared" ref="GB63:GB79" si="345">FZ63/FX63</f>
        <v>#DIV/0!</v>
      </c>
      <c r="GC63" s="310">
        <f t="shared" si="80"/>
        <v>0</v>
      </c>
      <c r="GD63" s="310">
        <f t="shared" si="177"/>
        <v>0</v>
      </c>
      <c r="GE63" s="310">
        <f t="shared" si="178"/>
        <v>0</v>
      </c>
      <c r="GF63" s="396" t="e">
        <f t="shared" ref="GF63:GF79" si="346">GD63/GC63</f>
        <v>#DIV/0!</v>
      </c>
      <c r="GG63" s="396" t="e">
        <f t="shared" ref="GG63:GG79" si="347">GE63/GC63</f>
        <v>#DIV/0!</v>
      </c>
      <c r="GH63" s="396"/>
      <c r="GI63" s="311" t="e">
        <f t="shared" si="262"/>
        <v>#DIV/0!</v>
      </c>
      <c r="GJ63" s="344" t="e">
        <f t="shared" si="82"/>
        <v>#DIV/0!</v>
      </c>
      <c r="GK63" s="303" t="e">
        <f t="shared" si="30"/>
        <v>#DIV/0!</v>
      </c>
    </row>
    <row r="64" spans="2:193" s="37" customFormat="1" ht="15.6" customHeight="1" x14ac:dyDescent="0.25">
      <c r="B64" s="29"/>
      <c r="C64" s="30">
        <v>1</v>
      </c>
      <c r="D64" s="30"/>
      <c r="E64" s="493">
        <v>48</v>
      </c>
      <c r="F64" s="29"/>
      <c r="G64" s="30">
        <v>1</v>
      </c>
      <c r="H64" s="30">
        <v>1</v>
      </c>
      <c r="M64" s="493">
        <v>33</v>
      </c>
      <c r="N64" s="494" t="s">
        <v>29</v>
      </c>
      <c r="O64" s="494"/>
      <c r="P64" s="494">
        <f t="shared" si="49"/>
        <v>0</v>
      </c>
      <c r="Q64" s="494"/>
      <c r="R64" s="494"/>
      <c r="S64" s="494" t="s">
        <v>575</v>
      </c>
      <c r="T64" s="156">
        <v>3</v>
      </c>
      <c r="U64" s="493"/>
      <c r="V64" s="2">
        <f t="shared" si="31"/>
        <v>81301.163160000011</v>
      </c>
      <c r="W64" s="236">
        <v>0</v>
      </c>
      <c r="X64" s="198">
        <f t="shared" si="227"/>
        <v>13159.6</v>
      </c>
      <c r="Y64" s="198">
        <v>3940.5</v>
      </c>
      <c r="Z64" s="42">
        <v>9219.1</v>
      </c>
      <c r="AA64" s="2">
        <f>143812.757-75671.19384</f>
        <v>68141.563160000005</v>
      </c>
      <c r="AB64" s="567">
        <f t="shared" si="307"/>
        <v>81301.163160000011</v>
      </c>
      <c r="AC64" s="577">
        <v>0</v>
      </c>
      <c r="AD64" s="568">
        <f t="shared" si="229"/>
        <v>13159.6</v>
      </c>
      <c r="AE64" s="568">
        <v>3940.5</v>
      </c>
      <c r="AF64" s="569">
        <v>9219.1</v>
      </c>
      <c r="AG64" s="567">
        <f>143812.757-75671.19384</f>
        <v>68141.563160000005</v>
      </c>
      <c r="AH64" s="570"/>
      <c r="AI64" s="567">
        <f t="shared" si="308"/>
        <v>3820.3</v>
      </c>
      <c r="AJ64" s="567"/>
      <c r="AK64" s="568">
        <v>3820.3</v>
      </c>
      <c r="AL64" s="567"/>
      <c r="AM64" s="570"/>
      <c r="AN64" s="567">
        <f t="shared" si="309"/>
        <v>3820.3</v>
      </c>
      <c r="AO64" s="567"/>
      <c r="AP64" s="568">
        <v>3820.3</v>
      </c>
      <c r="AQ64" s="567"/>
      <c r="AR64" s="570"/>
      <c r="AS64" s="567">
        <f t="shared" si="310"/>
        <v>1661</v>
      </c>
      <c r="AT64" s="567"/>
      <c r="AU64" s="568">
        <v>1661</v>
      </c>
      <c r="AV64" s="567"/>
      <c r="AW64" s="570"/>
      <c r="AX64" s="425" t="s">
        <v>729</v>
      </c>
      <c r="AY64" s="567">
        <f t="shared" si="150"/>
        <v>80503.205379999999</v>
      </c>
      <c r="AZ64" s="567"/>
      <c r="BA64" s="568">
        <f t="shared" si="311"/>
        <v>12834.59463</v>
      </c>
      <c r="BB64" s="568">
        <f>3940.48939-324.99476</f>
        <v>3615.4946300000001</v>
      </c>
      <c r="BC64" s="569">
        <f>8894.10524+324.99476</f>
        <v>9219.1</v>
      </c>
      <c r="BD64" s="567">
        <f>143339.80459-75671.19384</f>
        <v>67668.610750000007</v>
      </c>
      <c r="BE64" s="570"/>
      <c r="BF64" s="567">
        <f t="shared" si="32"/>
        <v>797.95777999999791</v>
      </c>
      <c r="BG64" s="567">
        <f t="shared" si="33"/>
        <v>0</v>
      </c>
      <c r="BH64" s="567">
        <f t="shared" si="34"/>
        <v>325.00536999999986</v>
      </c>
      <c r="BI64" s="567">
        <f t="shared" si="35"/>
        <v>325.00536999999986</v>
      </c>
      <c r="BJ64" s="567">
        <f t="shared" si="36"/>
        <v>0</v>
      </c>
      <c r="BK64" s="567">
        <f t="shared" si="37"/>
        <v>472.95240999999805</v>
      </c>
      <c r="BL64" s="567" t="e">
        <f>#REF!-BE64</f>
        <v>#REF!</v>
      </c>
      <c r="BM64" s="567">
        <f t="shared" si="312"/>
        <v>4420.3</v>
      </c>
      <c r="BN64" s="567"/>
      <c r="BO64" s="568">
        <f>1661+2159.3+600</f>
        <v>4420.3</v>
      </c>
      <c r="BP64" s="567"/>
      <c r="BQ64" s="570"/>
      <c r="BR64" s="567">
        <f t="shared" si="313"/>
        <v>0</v>
      </c>
      <c r="BS64" s="567"/>
      <c r="BT64" s="568"/>
      <c r="BU64" s="567"/>
      <c r="BV64" s="570"/>
      <c r="BW64" s="567">
        <f t="shared" si="314"/>
        <v>78577.817850000007</v>
      </c>
      <c r="BX64" s="567"/>
      <c r="BY64" s="568">
        <f t="shared" si="38"/>
        <v>11118.257819999999</v>
      </c>
      <c r="BZ64" s="571">
        <f>1302.17651+685.92236</f>
        <v>1988.09887</v>
      </c>
      <c r="CA64" s="571">
        <f>5708.90496+3096.25923+324.99476</f>
        <v>9130.1589499999991</v>
      </c>
      <c r="CB64" s="567">
        <f>2009.36414+4284.52281+2772.66385+5360.89323+9658.57054+20587.82479+12050.98657+4466.15544+6268.57866</f>
        <v>67459.560030000008</v>
      </c>
      <c r="CC64" s="577"/>
      <c r="CD64" s="567">
        <f t="shared" si="315"/>
        <v>78577.817850000007</v>
      </c>
      <c r="CE64" s="567"/>
      <c r="CF64" s="568">
        <f t="shared" si="39"/>
        <v>11118.257819999999</v>
      </c>
      <c r="CG64" s="571">
        <f>1302.17651+685.92236</f>
        <v>1988.09887</v>
      </c>
      <c r="CH64" s="571">
        <f>5708.90496+3096.25923+324.99476</f>
        <v>9130.1589499999991</v>
      </c>
      <c r="CI64" s="567">
        <f>2009.36414+4284.52281+2772.66385+5360.89323+9658.57054+20587.82479+12050.98657+4466.15544+6268.57866</f>
        <v>67459.560030000008</v>
      </c>
      <c r="CJ64" s="577"/>
      <c r="CK64" s="567">
        <f t="shared" si="316"/>
        <v>11075.01872</v>
      </c>
      <c r="CL64" s="567"/>
      <c r="CM64" s="567">
        <v>1875.9878100000001</v>
      </c>
      <c r="CN64" s="567"/>
      <c r="CO64" s="567"/>
      <c r="CP64" s="567">
        <v>9199.0309099999995</v>
      </c>
      <c r="CQ64" s="567"/>
      <c r="CR64" s="573">
        <f t="shared" si="317"/>
        <v>89652.836570000014</v>
      </c>
      <c r="CS64" s="567">
        <f t="shared" si="40"/>
        <v>89652.836570000014</v>
      </c>
      <c r="CT64" s="567">
        <f t="shared" si="41"/>
        <v>0</v>
      </c>
      <c r="CU64" s="567">
        <f t="shared" si="42"/>
        <v>12994.245629999999</v>
      </c>
      <c r="CV64" s="567">
        <f t="shared" si="43"/>
        <v>76658.590940000009</v>
      </c>
      <c r="CW64" s="567">
        <f t="shared" si="318"/>
        <v>0</v>
      </c>
      <c r="CX64" s="567">
        <f t="shared" ca="1" si="182"/>
        <v>0</v>
      </c>
      <c r="CY64" s="567">
        <f t="shared" si="44"/>
        <v>0</v>
      </c>
      <c r="CZ64" s="567">
        <f t="shared" si="45"/>
        <v>0</v>
      </c>
      <c r="DA64" s="567">
        <f t="shared" si="46"/>
        <v>0</v>
      </c>
      <c r="DB64" s="2">
        <f t="shared" si="319"/>
        <v>0</v>
      </c>
      <c r="DC64" s="76"/>
      <c r="DD64" s="545">
        <f>BM64+BM65+BM68+BM71+BM74+BM76+BM77+BM78</f>
        <v>14901.1</v>
      </c>
      <c r="DE64" s="545">
        <f>DD64+DF78-BR71-BR78</f>
        <v>14901.1</v>
      </c>
      <c r="DF64" s="2">
        <f t="shared" si="320"/>
        <v>0</v>
      </c>
      <c r="DG64" s="2"/>
      <c r="DH64" s="198"/>
      <c r="DI64" s="2"/>
      <c r="DJ64" s="234"/>
      <c r="DK64" s="2">
        <f t="shared" si="321"/>
        <v>0</v>
      </c>
      <c r="DL64" s="2"/>
      <c r="DM64" s="198"/>
      <c r="DN64" s="2"/>
      <c r="DO64" s="234"/>
      <c r="DP64" s="2">
        <f t="shared" si="322"/>
        <v>0</v>
      </c>
      <c r="DQ64" s="2">
        <f t="shared" si="329"/>
        <v>0</v>
      </c>
      <c r="DR64" s="2">
        <f t="shared" si="329"/>
        <v>0</v>
      </c>
      <c r="DS64" s="2">
        <f t="shared" si="329"/>
        <v>0</v>
      </c>
      <c r="DT64" s="2">
        <f t="shared" si="329"/>
        <v>0</v>
      </c>
      <c r="DU64" s="2"/>
      <c r="DV64" s="2"/>
      <c r="DW64" s="2"/>
      <c r="DX64" s="2">
        <f t="shared" ca="1" si="323"/>
        <v>0</v>
      </c>
      <c r="DY64" s="46"/>
      <c r="DZ64" s="2">
        <f t="shared" si="324"/>
        <v>78577.817850000007</v>
      </c>
      <c r="EA64" s="2">
        <f t="shared" si="325"/>
        <v>78577.817850000007</v>
      </c>
      <c r="EB64" s="46"/>
      <c r="EC64" s="546">
        <f>EA64+EA65+EA68+EA71+EA74+EA76+EA77+EA78</f>
        <v>237937.30288</v>
      </c>
      <c r="ED64" s="546">
        <f ca="1">DX64+DX65+DX68+DX71+DX74+DX76+DX77+DX78</f>
        <v>0</v>
      </c>
      <c r="EE64" s="46"/>
      <c r="EF64" s="546">
        <f>DE64-EC64</f>
        <v>-223036.20288</v>
      </c>
      <c r="EG64" s="46"/>
      <c r="EH64" s="46"/>
      <c r="EI64" s="2">
        <f t="shared" si="10"/>
        <v>78577.817850000007</v>
      </c>
      <c r="EJ64" s="2"/>
      <c r="EK64" s="198">
        <f t="shared" si="48"/>
        <v>11118.257819999999</v>
      </c>
      <c r="EL64" s="446">
        <f>1302.17651+685.92236</f>
        <v>1988.09887</v>
      </c>
      <c r="EM64" s="446">
        <f>5708.90496+3096.25923+324.99476</f>
        <v>9130.1589499999991</v>
      </c>
      <c r="EN64" s="2">
        <f>2009.36414+4284.52281+2772.66385+5360.89323+9658.57054+20587.82479+12050.98657+4466.15544+6268.57866</f>
        <v>67459.560030000008</v>
      </c>
      <c r="EO64" s="236"/>
      <c r="EP64" s="2">
        <f t="shared" si="14"/>
        <v>11075.01872</v>
      </c>
      <c r="EQ64" s="2"/>
      <c r="ER64" s="2">
        <v>1875.9878100000001</v>
      </c>
      <c r="ES64" s="2">
        <f>475.03571+475.03571+200.24789</f>
        <v>1150.3193100000001</v>
      </c>
      <c r="ET64" s="2">
        <f>778.48704+422.21717</f>
        <v>1200.7042099999999</v>
      </c>
      <c r="EU64" s="2">
        <v>9199.0309099999995</v>
      </c>
      <c r="EV64" s="141"/>
      <c r="EW64" s="310">
        <f t="shared" si="338"/>
        <v>0</v>
      </c>
      <c r="EX64" s="310">
        <f>AZ64</f>
        <v>0</v>
      </c>
      <c r="EY64" s="310"/>
      <c r="EZ64" s="396" t="e">
        <f t="shared" si="339"/>
        <v>#DIV/0!</v>
      </c>
      <c r="FA64" s="396" t="e">
        <f t="shared" si="340"/>
        <v>#DIV/0!</v>
      </c>
      <c r="FB64" s="310">
        <f t="shared" si="70"/>
        <v>0</v>
      </c>
      <c r="FC64" s="310">
        <f t="shared" si="197"/>
        <v>0</v>
      </c>
      <c r="FD64" s="310">
        <f t="shared" si="198"/>
        <v>0</v>
      </c>
      <c r="FE64" s="396" t="e">
        <f t="shared" si="341"/>
        <v>#DIV/0!</v>
      </c>
      <c r="FF64" s="396" t="e">
        <f t="shared" si="342"/>
        <v>#DIV/0!</v>
      </c>
      <c r="FG64" s="396"/>
      <c r="FH64" s="311" t="e">
        <f>FB64*EZ64</f>
        <v>#DIV/0!</v>
      </c>
      <c r="FI64" s="310" t="e">
        <f>FC64-FH64</f>
        <v>#DIV/0!</v>
      </c>
      <c r="FJ64" s="296" t="e">
        <f t="shared" si="328"/>
        <v>#DIV/0!</v>
      </c>
      <c r="FK64" s="353">
        <f t="shared" si="73"/>
        <v>12834.59463</v>
      </c>
      <c r="FL64" s="353">
        <f t="shared" si="330"/>
        <v>12834.59463</v>
      </c>
      <c r="FM64" s="353"/>
      <c r="FN64" s="388">
        <f t="shared" si="331"/>
        <v>1</v>
      </c>
      <c r="FO64" s="388">
        <f t="shared" si="332"/>
        <v>0</v>
      </c>
      <c r="FP64" s="353">
        <f t="shared" si="75"/>
        <v>12994.245629999999</v>
      </c>
      <c r="FQ64" s="353">
        <f t="shared" si="333"/>
        <v>11118.257819999999</v>
      </c>
      <c r="FR64" s="353">
        <f t="shared" si="334"/>
        <v>1875.9878100000001</v>
      </c>
      <c r="FS64" s="388">
        <f t="shared" si="335"/>
        <v>0.85562934060066709</v>
      </c>
      <c r="FT64" s="388">
        <f t="shared" si="336"/>
        <v>0.14437065939933291</v>
      </c>
      <c r="FU64" s="388"/>
      <c r="FV64" s="353">
        <f t="shared" si="337"/>
        <v>12994.245629999999</v>
      </c>
      <c r="FW64" s="353">
        <f t="shared" si="77"/>
        <v>-1875.9878100000005</v>
      </c>
      <c r="FX64" s="310">
        <f t="shared" si="343"/>
        <v>67668.610750000007</v>
      </c>
      <c r="FY64" s="310">
        <f>BD64</f>
        <v>67668.610750000007</v>
      </c>
      <c r="FZ64" s="310"/>
      <c r="GA64" s="396">
        <f t="shared" si="344"/>
        <v>1</v>
      </c>
      <c r="GB64" s="396">
        <f t="shared" si="345"/>
        <v>0</v>
      </c>
      <c r="GC64" s="310">
        <f t="shared" si="80"/>
        <v>76658.590940000009</v>
      </c>
      <c r="GD64" s="310">
        <f t="shared" si="177"/>
        <v>67459.560030000008</v>
      </c>
      <c r="GE64" s="310">
        <f t="shared" si="178"/>
        <v>9199.0309099999995</v>
      </c>
      <c r="GF64" s="396">
        <f t="shared" si="346"/>
        <v>0.88000000003652556</v>
      </c>
      <c r="GG64" s="396">
        <f t="shared" si="347"/>
        <v>0.11999999996347439</v>
      </c>
      <c r="GH64" s="396"/>
      <c r="GI64" s="311">
        <f t="shared" si="262"/>
        <v>76658.590940000009</v>
      </c>
      <c r="GJ64" s="344">
        <f t="shared" si="82"/>
        <v>-9199.0309100000013</v>
      </c>
      <c r="GK64" s="303">
        <f t="shared" si="30"/>
        <v>0.96650299695417041</v>
      </c>
    </row>
    <row r="65" spans="2:193" s="37" customFormat="1" ht="15.6" customHeight="1" x14ac:dyDescent="0.25">
      <c r="B65" s="29"/>
      <c r="C65" s="30"/>
      <c r="D65" s="30">
        <v>1</v>
      </c>
      <c r="E65" s="493">
        <v>49</v>
      </c>
      <c r="F65" s="29"/>
      <c r="G65" s="30"/>
      <c r="H65" s="30">
        <v>1</v>
      </c>
      <c r="M65" s="493">
        <v>34</v>
      </c>
      <c r="N65" s="494" t="s">
        <v>38</v>
      </c>
      <c r="O65" s="494"/>
      <c r="P65" s="494">
        <f t="shared" si="49"/>
        <v>0</v>
      </c>
      <c r="Q65" s="494" t="s">
        <v>711</v>
      </c>
      <c r="R65" s="469" t="s">
        <v>699</v>
      </c>
      <c r="S65" s="494" t="s">
        <v>644</v>
      </c>
      <c r="T65" s="156">
        <v>3</v>
      </c>
      <c r="U65" s="493"/>
      <c r="V65" s="2">
        <f t="shared" si="31"/>
        <v>2935.3</v>
      </c>
      <c r="W65" s="2"/>
      <c r="X65" s="198">
        <f t="shared" si="227"/>
        <v>2935.3</v>
      </c>
      <c r="Y65" s="198">
        <v>611</v>
      </c>
      <c r="Z65" s="42">
        <v>2324.3000000000002</v>
      </c>
      <c r="AA65" s="2"/>
      <c r="AB65" s="567">
        <f t="shared" si="307"/>
        <v>2935.3</v>
      </c>
      <c r="AC65" s="567"/>
      <c r="AD65" s="568">
        <f t="shared" si="229"/>
        <v>2935.3</v>
      </c>
      <c r="AE65" s="568">
        <v>611</v>
      </c>
      <c r="AF65" s="569">
        <v>2324.3000000000002</v>
      </c>
      <c r="AG65" s="567"/>
      <c r="AH65" s="570"/>
      <c r="AI65" s="567">
        <f t="shared" si="308"/>
        <v>625.6</v>
      </c>
      <c r="AJ65" s="567"/>
      <c r="AK65" s="568">
        <v>625.6</v>
      </c>
      <c r="AL65" s="567"/>
      <c r="AM65" s="570"/>
      <c r="AN65" s="567">
        <f t="shared" si="309"/>
        <v>625.6</v>
      </c>
      <c r="AO65" s="567"/>
      <c r="AP65" s="568">
        <v>625.6</v>
      </c>
      <c r="AQ65" s="567"/>
      <c r="AR65" s="570"/>
      <c r="AS65" s="567">
        <f t="shared" si="310"/>
        <v>272</v>
      </c>
      <c r="AT65" s="567"/>
      <c r="AU65" s="568">
        <v>272</v>
      </c>
      <c r="AV65" s="567"/>
      <c r="AW65" s="570"/>
      <c r="AX65" s="409" t="s">
        <v>490</v>
      </c>
      <c r="AY65" s="567">
        <f t="shared" si="150"/>
        <v>2935.3</v>
      </c>
      <c r="AZ65" s="567"/>
      <c r="BA65" s="568">
        <f t="shared" si="311"/>
        <v>2935.3</v>
      </c>
      <c r="BB65" s="568">
        <v>611</v>
      </c>
      <c r="BC65" s="569">
        <v>2324.3000000000002</v>
      </c>
      <c r="BD65" s="567"/>
      <c r="BE65" s="570"/>
      <c r="BF65" s="567">
        <f t="shared" si="32"/>
        <v>0</v>
      </c>
      <c r="BG65" s="567">
        <f t="shared" si="33"/>
        <v>0</v>
      </c>
      <c r="BH65" s="567">
        <f t="shared" si="34"/>
        <v>0</v>
      </c>
      <c r="BI65" s="567">
        <f t="shared" si="35"/>
        <v>0</v>
      </c>
      <c r="BJ65" s="567">
        <f t="shared" si="36"/>
        <v>0</v>
      </c>
      <c r="BK65" s="567">
        <f t="shared" si="37"/>
        <v>0</v>
      </c>
      <c r="BL65" s="567" t="e">
        <f>#REF!-BE65</f>
        <v>#REF!</v>
      </c>
      <c r="BM65" s="567">
        <f t="shared" si="312"/>
        <v>625.6</v>
      </c>
      <c r="BN65" s="567"/>
      <c r="BO65" s="568">
        <f>272+353.6</f>
        <v>625.6</v>
      </c>
      <c r="BP65" s="567"/>
      <c r="BQ65" s="570"/>
      <c r="BR65" s="567">
        <f t="shared" si="313"/>
        <v>0</v>
      </c>
      <c r="BS65" s="567"/>
      <c r="BT65" s="567"/>
      <c r="BU65" s="567"/>
      <c r="BV65" s="570"/>
      <c r="BW65" s="567">
        <f t="shared" si="314"/>
        <v>2189.3174800000002</v>
      </c>
      <c r="BX65" s="567"/>
      <c r="BY65" s="568">
        <f t="shared" si="38"/>
        <v>2189.3174800000002</v>
      </c>
      <c r="BZ65" s="571">
        <v>387.98498000000001</v>
      </c>
      <c r="CA65" s="571">
        <v>1801.3325</v>
      </c>
      <c r="CB65" s="567"/>
      <c r="CC65" s="577"/>
      <c r="CD65" s="567">
        <f t="shared" si="315"/>
        <v>2189.3174800000002</v>
      </c>
      <c r="CE65" s="567"/>
      <c r="CF65" s="568">
        <f t="shared" si="39"/>
        <v>2189.3174800000002</v>
      </c>
      <c r="CG65" s="571">
        <v>387.98498000000001</v>
      </c>
      <c r="CH65" s="571">
        <v>1801.3325</v>
      </c>
      <c r="CI65" s="567"/>
      <c r="CJ65" s="577"/>
      <c r="CK65" s="567">
        <f t="shared" si="316"/>
        <v>560.22585000000004</v>
      </c>
      <c r="CL65" s="567"/>
      <c r="CM65" s="567">
        <v>560.22585000000004</v>
      </c>
      <c r="CN65" s="567"/>
      <c r="CO65" s="567"/>
      <c r="CP65" s="567"/>
      <c r="CQ65" s="567"/>
      <c r="CR65" s="573">
        <f t="shared" si="317"/>
        <v>2749.5433300000004</v>
      </c>
      <c r="CS65" s="567">
        <f t="shared" si="40"/>
        <v>2749.5433300000004</v>
      </c>
      <c r="CT65" s="567">
        <f t="shared" si="41"/>
        <v>0</v>
      </c>
      <c r="CU65" s="567">
        <f t="shared" si="42"/>
        <v>2749.5433300000004</v>
      </c>
      <c r="CV65" s="567">
        <f t="shared" si="43"/>
        <v>0</v>
      </c>
      <c r="CW65" s="567">
        <f t="shared" si="318"/>
        <v>0</v>
      </c>
      <c r="CX65" s="567">
        <f t="shared" ca="1" si="182"/>
        <v>0</v>
      </c>
      <c r="CY65" s="567">
        <f t="shared" si="44"/>
        <v>0</v>
      </c>
      <c r="CZ65" s="567">
        <f t="shared" si="45"/>
        <v>0</v>
      </c>
      <c r="DA65" s="567">
        <f t="shared" si="46"/>
        <v>0</v>
      </c>
      <c r="DB65" s="2">
        <f t="shared" si="319"/>
        <v>0</v>
      </c>
      <c r="DC65" s="76"/>
      <c r="DD65" s="253">
        <f>BM59-DD60-DD64</f>
        <v>11342.445000000002</v>
      </c>
      <c r="DE65" s="253">
        <f>DD65-BR62-BR75</f>
        <v>11342.445000000002</v>
      </c>
      <c r="DF65" s="2">
        <f t="shared" si="320"/>
        <v>0</v>
      </c>
      <c r="DG65" s="2"/>
      <c r="DH65" s="2"/>
      <c r="DI65" s="2"/>
      <c r="DJ65" s="234"/>
      <c r="DK65" s="2">
        <f t="shared" si="321"/>
        <v>0</v>
      </c>
      <c r="DL65" s="2"/>
      <c r="DM65" s="2"/>
      <c r="DN65" s="2"/>
      <c r="DO65" s="234"/>
      <c r="DP65" s="2">
        <f t="shared" si="322"/>
        <v>0</v>
      </c>
      <c r="DQ65" s="2">
        <f t="shared" si="329"/>
        <v>0</v>
      </c>
      <c r="DR65" s="2">
        <f t="shared" si="329"/>
        <v>0</v>
      </c>
      <c r="DS65" s="2">
        <f t="shared" si="329"/>
        <v>0</v>
      </c>
      <c r="DT65" s="2">
        <f t="shared" si="329"/>
        <v>0</v>
      </c>
      <c r="DU65" s="2"/>
      <c r="DV65" s="2"/>
      <c r="DW65" s="2"/>
      <c r="DX65" s="2">
        <f t="shared" ca="1" si="323"/>
        <v>0</v>
      </c>
      <c r="DY65" s="46"/>
      <c r="DZ65" s="2">
        <f t="shared" si="324"/>
        <v>2189.3174800000002</v>
      </c>
      <c r="EA65" s="2">
        <f t="shared" si="325"/>
        <v>2189.3174800000002</v>
      </c>
      <c r="EB65" s="46"/>
      <c r="EC65" s="2">
        <f>EA62+EA63+EA66+EA67+EA69+EA70+EA72+EA73+EA75+EA79+EA80</f>
        <v>24534.261160000002</v>
      </c>
      <c r="ED65" s="2">
        <f ca="1">DX62+DX63+DX66+DX67+DX69+DX70+DX72+DX73+DX75+DX79+DX80</f>
        <v>0</v>
      </c>
      <c r="EE65" s="46"/>
      <c r="EF65" s="2">
        <f>DE65-EC65</f>
        <v>-13191.81616</v>
      </c>
      <c r="EG65" s="46"/>
      <c r="EH65" s="46"/>
      <c r="EI65" s="2">
        <f t="shared" si="10"/>
        <v>2189.3174800000002</v>
      </c>
      <c r="EJ65" s="2"/>
      <c r="EK65" s="198">
        <f t="shared" si="48"/>
        <v>2189.3174800000002</v>
      </c>
      <c r="EL65" s="446">
        <v>387.98498000000001</v>
      </c>
      <c r="EM65" s="446">
        <v>1801.3325</v>
      </c>
      <c r="EN65" s="2"/>
      <c r="EO65" s="236"/>
      <c r="EP65" s="2">
        <f t="shared" si="14"/>
        <v>560.22585000000004</v>
      </c>
      <c r="EQ65" s="2"/>
      <c r="ER65" s="2">
        <v>560.22585000000004</v>
      </c>
      <c r="ES65" s="2">
        <v>396.85584999999998</v>
      </c>
      <c r="ET65" s="2">
        <v>163.37</v>
      </c>
      <c r="EU65" s="2"/>
      <c r="EV65" s="141"/>
      <c r="EW65" s="310"/>
      <c r="EX65" s="310"/>
      <c r="EY65" s="310"/>
      <c r="EZ65" s="396"/>
      <c r="FA65" s="396"/>
      <c r="FB65" s="310"/>
      <c r="FC65" s="310"/>
      <c r="FD65" s="310"/>
      <c r="FE65" s="396"/>
      <c r="FF65" s="396"/>
      <c r="FG65" s="396"/>
      <c r="FH65" s="311"/>
      <c r="FI65" s="310"/>
      <c r="FJ65" s="296" t="e">
        <f t="shared" si="328"/>
        <v>#DIV/0!</v>
      </c>
      <c r="FK65" s="353">
        <f t="shared" si="73"/>
        <v>2935.3</v>
      </c>
      <c r="FL65" s="353">
        <f t="shared" si="330"/>
        <v>2935.3</v>
      </c>
      <c r="FM65" s="353"/>
      <c r="FN65" s="388">
        <f t="shared" si="331"/>
        <v>1</v>
      </c>
      <c r="FO65" s="388">
        <f t="shared" si="332"/>
        <v>0</v>
      </c>
      <c r="FP65" s="353">
        <f t="shared" si="75"/>
        <v>2749.5433300000004</v>
      </c>
      <c r="FQ65" s="353">
        <f t="shared" si="333"/>
        <v>2189.3174800000002</v>
      </c>
      <c r="FR65" s="353">
        <f t="shared" si="334"/>
        <v>560.22585000000004</v>
      </c>
      <c r="FS65" s="388">
        <f t="shared" si="335"/>
        <v>0.79624767360912974</v>
      </c>
      <c r="FT65" s="388">
        <f t="shared" si="336"/>
        <v>0.20375232639087013</v>
      </c>
      <c r="FU65" s="388"/>
      <c r="FV65" s="353">
        <f t="shared" si="337"/>
        <v>2749.5433300000004</v>
      </c>
      <c r="FW65" s="353">
        <f t="shared" si="77"/>
        <v>-560.22585000000026</v>
      </c>
      <c r="FX65" s="310"/>
      <c r="FY65" s="310"/>
      <c r="FZ65" s="310"/>
      <c r="GA65" s="396"/>
      <c r="GB65" s="396"/>
      <c r="GC65" s="310"/>
      <c r="GD65" s="310"/>
      <c r="GE65" s="310"/>
      <c r="GF65" s="396"/>
      <c r="GG65" s="396"/>
      <c r="GH65" s="396"/>
      <c r="GI65" s="311"/>
      <c r="GJ65" s="344"/>
      <c r="GK65" s="303">
        <f t="shared" si="30"/>
        <v>0.74585816781930303</v>
      </c>
    </row>
    <row r="66" spans="2:193" s="37" customFormat="1" ht="15.6" customHeight="1" x14ac:dyDescent="0.25">
      <c r="B66" s="29"/>
      <c r="C66" s="30"/>
      <c r="D66" s="30">
        <v>1</v>
      </c>
      <c r="E66" s="493">
        <v>50</v>
      </c>
      <c r="F66" s="29"/>
      <c r="G66" s="30"/>
      <c r="H66" s="30">
        <v>1</v>
      </c>
      <c r="M66" s="493">
        <v>35</v>
      </c>
      <c r="N66" s="494" t="s">
        <v>316</v>
      </c>
      <c r="O66" s="494"/>
      <c r="P66" s="494">
        <f t="shared" si="49"/>
        <v>0</v>
      </c>
      <c r="Q66" s="494" t="s">
        <v>701</v>
      </c>
      <c r="R66" s="494" t="s">
        <v>699</v>
      </c>
      <c r="S66" s="494" t="s">
        <v>508</v>
      </c>
      <c r="T66" s="156">
        <v>2</v>
      </c>
      <c r="U66" s="493"/>
      <c r="V66" s="2">
        <f t="shared" si="31"/>
        <v>2086.6</v>
      </c>
      <c r="W66" s="2"/>
      <c r="X66" s="198">
        <f t="shared" si="227"/>
        <v>2086.6</v>
      </c>
      <c r="Y66" s="198">
        <v>657.4</v>
      </c>
      <c r="Z66" s="42">
        <v>1429.2</v>
      </c>
      <c r="AA66" s="2"/>
      <c r="AB66" s="567">
        <f t="shared" si="307"/>
        <v>2086.6</v>
      </c>
      <c r="AC66" s="567"/>
      <c r="AD66" s="568">
        <f t="shared" si="229"/>
        <v>2086.6</v>
      </c>
      <c r="AE66" s="568">
        <v>657.4</v>
      </c>
      <c r="AF66" s="569">
        <v>1429.2</v>
      </c>
      <c r="AG66" s="567"/>
      <c r="AH66" s="570"/>
      <c r="AI66" s="567">
        <f t="shared" si="308"/>
        <v>664.7</v>
      </c>
      <c r="AJ66" s="567"/>
      <c r="AK66" s="568">
        <v>664.7</v>
      </c>
      <c r="AL66" s="567"/>
      <c r="AM66" s="570"/>
      <c r="AN66" s="567">
        <f t="shared" si="309"/>
        <v>664.7</v>
      </c>
      <c r="AO66" s="567"/>
      <c r="AP66" s="568">
        <v>664.7</v>
      </c>
      <c r="AQ66" s="567"/>
      <c r="AR66" s="570"/>
      <c r="AS66" s="567">
        <f t="shared" si="310"/>
        <v>289</v>
      </c>
      <c r="AT66" s="567"/>
      <c r="AU66" s="568">
        <v>289</v>
      </c>
      <c r="AV66" s="567"/>
      <c r="AW66" s="570"/>
      <c r="AX66" s="409" t="s">
        <v>384</v>
      </c>
      <c r="AY66" s="567">
        <f t="shared" si="150"/>
        <v>2086.6</v>
      </c>
      <c r="AZ66" s="567"/>
      <c r="BA66" s="568">
        <f t="shared" si="311"/>
        <v>2086.6</v>
      </c>
      <c r="BB66" s="568">
        <v>657.4</v>
      </c>
      <c r="BC66" s="569">
        <v>1429.2</v>
      </c>
      <c r="BD66" s="567"/>
      <c r="BE66" s="567"/>
      <c r="BF66" s="567">
        <f t="shared" si="32"/>
        <v>0</v>
      </c>
      <c r="BG66" s="567">
        <f t="shared" si="33"/>
        <v>0</v>
      </c>
      <c r="BH66" s="567">
        <f t="shared" si="34"/>
        <v>0</v>
      </c>
      <c r="BI66" s="567">
        <f t="shared" si="35"/>
        <v>0</v>
      </c>
      <c r="BJ66" s="567">
        <f t="shared" si="36"/>
        <v>0</v>
      </c>
      <c r="BK66" s="567">
        <f t="shared" si="37"/>
        <v>0</v>
      </c>
      <c r="BL66" s="567" t="e">
        <f>#REF!-BE66</f>
        <v>#REF!</v>
      </c>
      <c r="BM66" s="567">
        <f t="shared" si="312"/>
        <v>0</v>
      </c>
      <c r="BN66" s="567"/>
      <c r="BO66" s="567"/>
      <c r="BP66" s="567"/>
      <c r="BQ66" s="567"/>
      <c r="BR66" s="567">
        <f t="shared" si="313"/>
        <v>0</v>
      </c>
      <c r="BS66" s="567"/>
      <c r="BT66" s="567"/>
      <c r="BU66" s="567"/>
      <c r="BV66" s="567"/>
      <c r="BW66" s="567">
        <f t="shared" si="314"/>
        <v>1858.95165</v>
      </c>
      <c r="BX66" s="567"/>
      <c r="BY66" s="578">
        <f t="shared" si="38"/>
        <v>1858.95165</v>
      </c>
      <c r="BZ66" s="571">
        <v>585.67773</v>
      </c>
      <c r="CA66" s="571">
        <v>1273.2739200000001</v>
      </c>
      <c r="CB66" s="567"/>
      <c r="CC66" s="567"/>
      <c r="CD66" s="567">
        <f t="shared" si="315"/>
        <v>1858.95165</v>
      </c>
      <c r="CE66" s="567"/>
      <c r="CF66" s="578">
        <f t="shared" si="39"/>
        <v>1858.95165</v>
      </c>
      <c r="CG66" s="571">
        <v>585.67773</v>
      </c>
      <c r="CH66" s="571">
        <v>1273.2739200000001</v>
      </c>
      <c r="CI66" s="567"/>
      <c r="CJ66" s="567"/>
      <c r="CK66" s="567">
        <f t="shared" si="316"/>
        <v>297.65231</v>
      </c>
      <c r="CL66" s="567"/>
      <c r="CM66" s="567">
        <v>297.65231</v>
      </c>
      <c r="CN66" s="567"/>
      <c r="CO66" s="567"/>
      <c r="CP66" s="567"/>
      <c r="CQ66" s="567"/>
      <c r="CR66" s="573">
        <f t="shared" si="317"/>
        <v>2156.6039599999999</v>
      </c>
      <c r="CS66" s="567">
        <f t="shared" si="40"/>
        <v>2156.6039599999999</v>
      </c>
      <c r="CT66" s="567">
        <f t="shared" si="41"/>
        <v>0</v>
      </c>
      <c r="CU66" s="567">
        <f t="shared" si="42"/>
        <v>2156.6039599999999</v>
      </c>
      <c r="CV66" s="567">
        <f t="shared" si="43"/>
        <v>0</v>
      </c>
      <c r="CW66" s="567">
        <f t="shared" si="318"/>
        <v>0</v>
      </c>
      <c r="CX66" s="567">
        <f t="shared" ca="1" si="182"/>
        <v>0</v>
      </c>
      <c r="CY66" s="567">
        <f t="shared" si="44"/>
        <v>0</v>
      </c>
      <c r="CZ66" s="567">
        <f t="shared" si="45"/>
        <v>0</v>
      </c>
      <c r="DA66" s="567">
        <f t="shared" si="46"/>
        <v>0</v>
      </c>
      <c r="DB66" s="2">
        <f t="shared" si="319"/>
        <v>0</v>
      </c>
      <c r="DC66" s="76"/>
      <c r="DD66" s="253"/>
      <c r="DE66" s="253"/>
      <c r="DF66" s="2">
        <f t="shared" si="320"/>
        <v>0</v>
      </c>
      <c r="DG66" s="2"/>
      <c r="DH66" s="2"/>
      <c r="DI66" s="2"/>
      <c r="DJ66" s="2"/>
      <c r="DK66" s="2">
        <f t="shared" si="321"/>
        <v>0</v>
      </c>
      <c r="DL66" s="2"/>
      <c r="DM66" s="2"/>
      <c r="DN66" s="2"/>
      <c r="DO66" s="2"/>
      <c r="DP66" s="2">
        <f t="shared" si="322"/>
        <v>0</v>
      </c>
      <c r="DQ66" s="2">
        <f t="shared" si="329"/>
        <v>0</v>
      </c>
      <c r="DR66" s="2">
        <f t="shared" si="329"/>
        <v>0</v>
      </c>
      <c r="DS66" s="2">
        <f t="shared" si="329"/>
        <v>0</v>
      </c>
      <c r="DT66" s="2">
        <f t="shared" si="329"/>
        <v>0</v>
      </c>
      <c r="DU66" s="2"/>
      <c r="DV66" s="2"/>
      <c r="DW66" s="2"/>
      <c r="DX66" s="2">
        <f t="shared" ca="1" si="323"/>
        <v>0</v>
      </c>
      <c r="DY66" s="46"/>
      <c r="DZ66" s="2">
        <f t="shared" si="324"/>
        <v>1858.95165</v>
      </c>
      <c r="EA66" s="2">
        <f t="shared" si="325"/>
        <v>1858.95165</v>
      </c>
      <c r="EB66" s="46"/>
      <c r="EC66" s="2"/>
      <c r="ED66" s="2"/>
      <c r="EE66" s="46"/>
      <c r="EF66" s="2"/>
      <c r="EG66" s="46"/>
      <c r="EH66" s="46"/>
      <c r="EI66" s="2">
        <f t="shared" si="10"/>
        <v>1858.95165</v>
      </c>
      <c r="EJ66" s="2"/>
      <c r="EK66" s="433">
        <f t="shared" si="48"/>
        <v>1858.95165</v>
      </c>
      <c r="EL66" s="446">
        <v>585.67773</v>
      </c>
      <c r="EM66" s="446">
        <v>1273.2739200000001</v>
      </c>
      <c r="EN66" s="2"/>
      <c r="EO66" s="2"/>
      <c r="EP66" s="2">
        <f t="shared" si="14"/>
        <v>297.65231</v>
      </c>
      <c r="EQ66" s="2"/>
      <c r="ER66" s="2">
        <v>297.65231</v>
      </c>
      <c r="ES66" s="2">
        <v>203.87973</v>
      </c>
      <c r="ET66" s="2">
        <v>203.87973</v>
      </c>
      <c r="EU66" s="2"/>
      <c r="EV66" s="141"/>
      <c r="EW66" s="310"/>
      <c r="EX66" s="310"/>
      <c r="EY66" s="310"/>
      <c r="EZ66" s="396"/>
      <c r="FA66" s="396"/>
      <c r="FB66" s="310"/>
      <c r="FC66" s="310"/>
      <c r="FD66" s="310"/>
      <c r="FE66" s="396"/>
      <c r="FF66" s="396"/>
      <c r="FG66" s="396"/>
      <c r="FH66" s="311"/>
      <c r="FI66" s="310"/>
      <c r="FJ66" s="296" t="e">
        <f t="shared" si="328"/>
        <v>#DIV/0!</v>
      </c>
      <c r="FK66" s="353">
        <f t="shared" si="73"/>
        <v>2086.6</v>
      </c>
      <c r="FL66" s="353">
        <f t="shared" si="330"/>
        <v>2086.6</v>
      </c>
      <c r="FM66" s="353"/>
      <c r="FN66" s="388">
        <f t="shared" si="331"/>
        <v>1</v>
      </c>
      <c r="FO66" s="388">
        <f t="shared" si="332"/>
        <v>0</v>
      </c>
      <c r="FP66" s="353">
        <f t="shared" si="75"/>
        <v>2156.6039599999999</v>
      </c>
      <c r="FQ66" s="353">
        <f t="shared" si="333"/>
        <v>1858.95165</v>
      </c>
      <c r="FR66" s="353">
        <f t="shared" si="334"/>
        <v>297.65231</v>
      </c>
      <c r="FS66" s="388">
        <f t="shared" si="335"/>
        <v>0.86198100554354917</v>
      </c>
      <c r="FT66" s="388">
        <f t="shared" si="336"/>
        <v>0.13801899445645088</v>
      </c>
      <c r="FU66" s="388"/>
      <c r="FV66" s="353">
        <f t="shared" si="337"/>
        <v>2156.6039599999999</v>
      </c>
      <c r="FW66" s="353">
        <f t="shared" si="77"/>
        <v>-297.65230999999994</v>
      </c>
      <c r="FX66" s="310"/>
      <c r="FY66" s="310"/>
      <c r="FZ66" s="310"/>
      <c r="GA66" s="396"/>
      <c r="GB66" s="396"/>
      <c r="GC66" s="310"/>
      <c r="GD66" s="310"/>
      <c r="GE66" s="310"/>
      <c r="GF66" s="396"/>
      <c r="GG66" s="396"/>
      <c r="GH66" s="396"/>
      <c r="GI66" s="311"/>
      <c r="GJ66" s="344"/>
      <c r="GK66" s="303">
        <f t="shared" si="30"/>
        <v>0.89089986101792396</v>
      </c>
    </row>
    <row r="67" spans="2:193" s="37" customFormat="1" ht="15.6" customHeight="1" x14ac:dyDescent="0.25">
      <c r="B67" s="29"/>
      <c r="C67" s="30"/>
      <c r="D67" s="30">
        <v>1</v>
      </c>
      <c r="E67" s="493">
        <v>51</v>
      </c>
      <c r="F67" s="29"/>
      <c r="G67" s="30"/>
      <c r="H67" s="30">
        <v>1</v>
      </c>
      <c r="M67" s="493">
        <v>36</v>
      </c>
      <c r="N67" s="494" t="s">
        <v>164</v>
      </c>
      <c r="O67" s="494"/>
      <c r="P67" s="494">
        <f t="shared" si="49"/>
        <v>0</v>
      </c>
      <c r="Q67" s="494"/>
      <c r="R67" s="494"/>
      <c r="S67" s="494" t="s">
        <v>595</v>
      </c>
      <c r="T67" s="156">
        <v>2</v>
      </c>
      <c r="U67" s="493"/>
      <c r="V67" s="2">
        <f t="shared" si="31"/>
        <v>8128.7000000000007</v>
      </c>
      <c r="W67" s="2"/>
      <c r="X67" s="198">
        <f t="shared" si="227"/>
        <v>8128.7000000000007</v>
      </c>
      <c r="Y67" s="198">
        <v>2561.1</v>
      </c>
      <c r="Z67" s="42">
        <v>5567.6</v>
      </c>
      <c r="AA67" s="2"/>
      <c r="AB67" s="567">
        <f t="shared" si="307"/>
        <v>8128.7</v>
      </c>
      <c r="AC67" s="567"/>
      <c r="AD67" s="568">
        <f t="shared" si="229"/>
        <v>8128.7</v>
      </c>
      <c r="AE67" s="568">
        <f>2561.1+1207.37492</f>
        <v>3768.4749199999997</v>
      </c>
      <c r="AF67" s="569">
        <f>5567.6-1207.37492</f>
        <v>4360.2250800000002</v>
      </c>
      <c r="AG67" s="567"/>
      <c r="AH67" s="570"/>
      <c r="AI67" s="567">
        <f t="shared" si="308"/>
        <v>8836.7999999999993</v>
      </c>
      <c r="AJ67" s="567"/>
      <c r="AK67" s="568">
        <v>2336.8000000000002</v>
      </c>
      <c r="AL67" s="567">
        <v>6500</v>
      </c>
      <c r="AM67" s="570"/>
      <c r="AN67" s="567">
        <f t="shared" si="309"/>
        <v>2336.8000000000002</v>
      </c>
      <c r="AO67" s="567"/>
      <c r="AP67" s="568">
        <v>2336.8000000000002</v>
      </c>
      <c r="AQ67" s="567"/>
      <c r="AR67" s="570"/>
      <c r="AS67" s="567">
        <f t="shared" si="310"/>
        <v>1016</v>
      </c>
      <c r="AT67" s="567"/>
      <c r="AU67" s="568">
        <v>1016</v>
      </c>
      <c r="AV67" s="567"/>
      <c r="AW67" s="570"/>
      <c r="AX67" s="409" t="s">
        <v>451</v>
      </c>
      <c r="AY67" s="567">
        <f t="shared" si="150"/>
        <v>8128.7</v>
      </c>
      <c r="AZ67" s="567"/>
      <c r="BA67" s="568">
        <f t="shared" si="311"/>
        <v>8128.7</v>
      </c>
      <c r="BB67" s="568">
        <f>2561.1+1207.37492</f>
        <v>3768.4749199999997</v>
      </c>
      <c r="BC67" s="569">
        <f>5567.6-1207.37492</f>
        <v>4360.2250800000002</v>
      </c>
      <c r="BD67" s="567"/>
      <c r="BE67" s="570"/>
      <c r="BF67" s="567">
        <f t="shared" si="32"/>
        <v>0</v>
      </c>
      <c r="BG67" s="567">
        <f t="shared" si="33"/>
        <v>0</v>
      </c>
      <c r="BH67" s="567">
        <f t="shared" si="34"/>
        <v>0</v>
      </c>
      <c r="BI67" s="567">
        <f t="shared" si="35"/>
        <v>0</v>
      </c>
      <c r="BJ67" s="567">
        <f t="shared" si="36"/>
        <v>0</v>
      </c>
      <c r="BK67" s="567">
        <f t="shared" si="37"/>
        <v>0</v>
      </c>
      <c r="BL67" s="567" t="e">
        <f>#REF!-BE67</f>
        <v>#REF!</v>
      </c>
      <c r="BM67" s="567">
        <f t="shared" si="312"/>
        <v>8836.7999999999993</v>
      </c>
      <c r="BN67" s="567"/>
      <c r="BO67" s="568">
        <f>1016+1320.8</f>
        <v>2336.8000000000002</v>
      </c>
      <c r="BP67" s="567">
        <v>6500</v>
      </c>
      <c r="BQ67" s="570"/>
      <c r="BR67" s="567">
        <f t="shared" si="313"/>
        <v>0</v>
      </c>
      <c r="BS67" s="567"/>
      <c r="BT67" s="568"/>
      <c r="BU67" s="567"/>
      <c r="BV67" s="570"/>
      <c r="BW67" s="567">
        <f t="shared" si="314"/>
        <v>6896.5660599999992</v>
      </c>
      <c r="BX67" s="567"/>
      <c r="BY67" s="568">
        <f t="shared" si="38"/>
        <v>6896.5660599999992</v>
      </c>
      <c r="BZ67" s="571">
        <f>1196.95453+1197.86542+981.05538</f>
        <v>3375.8753299999998</v>
      </c>
      <c r="CA67" s="571">
        <v>3520.6907299999998</v>
      </c>
      <c r="CB67" s="567"/>
      <c r="CC67" s="577"/>
      <c r="CD67" s="567">
        <f t="shared" si="315"/>
        <v>6896.5660599999992</v>
      </c>
      <c r="CE67" s="567"/>
      <c r="CF67" s="568">
        <f t="shared" si="39"/>
        <v>6896.5660599999992</v>
      </c>
      <c r="CG67" s="571">
        <f>1196.95453+1197.86542+981.05538</f>
        <v>3375.8753299999998</v>
      </c>
      <c r="CH67" s="571">
        <v>3520.6907299999998</v>
      </c>
      <c r="CI67" s="567"/>
      <c r="CJ67" s="577"/>
      <c r="CK67" s="567">
        <f t="shared" si="316"/>
        <v>1920.2743800000001</v>
      </c>
      <c r="CL67" s="567"/>
      <c r="CM67" s="567">
        <v>1920.2743800000001</v>
      </c>
      <c r="CN67" s="567"/>
      <c r="CO67" s="567"/>
      <c r="CP67" s="567"/>
      <c r="CQ67" s="567"/>
      <c r="CR67" s="573">
        <f t="shared" si="317"/>
        <v>8816.8404399999999</v>
      </c>
      <c r="CS67" s="567">
        <f t="shared" si="40"/>
        <v>8816.8404399999999</v>
      </c>
      <c r="CT67" s="567">
        <f t="shared" si="41"/>
        <v>0</v>
      </c>
      <c r="CU67" s="567">
        <f t="shared" si="42"/>
        <v>8816.8404399999999</v>
      </c>
      <c r="CV67" s="567">
        <f t="shared" si="43"/>
        <v>0</v>
      </c>
      <c r="CW67" s="567">
        <f t="shared" si="318"/>
        <v>0</v>
      </c>
      <c r="CX67" s="567">
        <f t="shared" ca="1" si="182"/>
        <v>0</v>
      </c>
      <c r="CY67" s="567">
        <f t="shared" si="44"/>
        <v>0</v>
      </c>
      <c r="CZ67" s="567">
        <f t="shared" si="45"/>
        <v>0</v>
      </c>
      <c r="DA67" s="567">
        <f t="shared" si="46"/>
        <v>0</v>
      </c>
      <c r="DB67" s="2">
        <f t="shared" si="319"/>
        <v>0</v>
      </c>
      <c r="DC67" s="76"/>
      <c r="DD67" s="253"/>
      <c r="DE67" s="253"/>
      <c r="DF67" s="2">
        <f t="shared" si="320"/>
        <v>0</v>
      </c>
      <c r="DG67" s="2"/>
      <c r="DH67" s="198"/>
      <c r="DI67" s="2"/>
      <c r="DJ67" s="234"/>
      <c r="DK67" s="2">
        <f t="shared" si="321"/>
        <v>0</v>
      </c>
      <c r="DL67" s="2"/>
      <c r="DM67" s="198"/>
      <c r="DN67" s="2"/>
      <c r="DO67" s="234"/>
      <c r="DP67" s="2">
        <f t="shared" si="322"/>
        <v>0</v>
      </c>
      <c r="DQ67" s="2">
        <f t="shared" si="329"/>
        <v>0</v>
      </c>
      <c r="DR67" s="2">
        <f t="shared" si="329"/>
        <v>0</v>
      </c>
      <c r="DS67" s="2">
        <f t="shared" si="329"/>
        <v>0</v>
      </c>
      <c r="DT67" s="2">
        <f t="shared" si="329"/>
        <v>0</v>
      </c>
      <c r="DU67" s="2"/>
      <c r="DV67" s="2"/>
      <c r="DW67" s="2"/>
      <c r="DX67" s="2">
        <f t="shared" ca="1" si="323"/>
        <v>0</v>
      </c>
      <c r="DY67" s="46"/>
      <c r="DZ67" s="2">
        <f t="shared" si="324"/>
        <v>6896.5660599999992</v>
      </c>
      <c r="EA67" s="2">
        <f t="shared" si="325"/>
        <v>6896.5660599999992</v>
      </c>
      <c r="EB67" s="46"/>
      <c r="EC67" s="2"/>
      <c r="ED67" s="2"/>
      <c r="EE67" s="46"/>
      <c r="EF67" s="2"/>
      <c r="EG67" s="46"/>
      <c r="EH67" s="46"/>
      <c r="EI67" s="2">
        <f t="shared" si="10"/>
        <v>6896.5660599999992</v>
      </c>
      <c r="EJ67" s="2"/>
      <c r="EK67" s="198">
        <f t="shared" si="48"/>
        <v>6896.5660599999992</v>
      </c>
      <c r="EL67" s="446">
        <f>1196.95453+1197.86542+981.05538</f>
        <v>3375.8753299999998</v>
      </c>
      <c r="EM67" s="446">
        <v>3520.6907299999998</v>
      </c>
      <c r="EN67" s="2"/>
      <c r="EO67" s="236"/>
      <c r="EP67" s="2">
        <f t="shared" si="14"/>
        <v>1920.2743800000001</v>
      </c>
      <c r="EQ67" s="2"/>
      <c r="ER67" s="2">
        <v>1920.2743800000001</v>
      </c>
      <c r="ES67" s="2">
        <f>334.87807+332.79406+274.47486</f>
        <v>942.14698999999996</v>
      </c>
      <c r="ET67" s="2">
        <v>978.12738999999999</v>
      </c>
      <c r="EU67" s="2"/>
      <c r="EV67" s="141"/>
      <c r="EW67" s="310"/>
      <c r="EX67" s="310"/>
      <c r="EY67" s="310"/>
      <c r="EZ67" s="396"/>
      <c r="FA67" s="396"/>
      <c r="FB67" s="310"/>
      <c r="FC67" s="310"/>
      <c r="FD67" s="310"/>
      <c r="FE67" s="396"/>
      <c r="FF67" s="396"/>
      <c r="FG67" s="396"/>
      <c r="FH67" s="311"/>
      <c r="FI67" s="310"/>
      <c r="FJ67" s="296" t="e">
        <f t="shared" si="328"/>
        <v>#DIV/0!</v>
      </c>
      <c r="FK67" s="353">
        <f t="shared" si="73"/>
        <v>8128.7</v>
      </c>
      <c r="FL67" s="353">
        <f t="shared" si="330"/>
        <v>8128.7</v>
      </c>
      <c r="FM67" s="353"/>
      <c r="FN67" s="388">
        <f t="shared" si="331"/>
        <v>1</v>
      </c>
      <c r="FO67" s="388">
        <f t="shared" si="332"/>
        <v>0</v>
      </c>
      <c r="FP67" s="353">
        <f t="shared" si="75"/>
        <v>8816.8404399999999</v>
      </c>
      <c r="FQ67" s="353">
        <f t="shared" si="333"/>
        <v>6896.5660599999992</v>
      </c>
      <c r="FR67" s="353">
        <f t="shared" si="334"/>
        <v>1920.2743800000001</v>
      </c>
      <c r="FS67" s="388">
        <f t="shared" si="335"/>
        <v>0.78220379589856781</v>
      </c>
      <c r="FT67" s="388">
        <f t="shared" si="336"/>
        <v>0.21779620410143205</v>
      </c>
      <c r="FU67" s="388"/>
      <c r="FV67" s="353">
        <f t="shared" si="337"/>
        <v>8816.8404399999999</v>
      </c>
      <c r="FW67" s="353">
        <f t="shared" si="77"/>
        <v>-1920.2743800000007</v>
      </c>
      <c r="FX67" s="310"/>
      <c r="FY67" s="310"/>
      <c r="FZ67" s="310"/>
      <c r="GA67" s="396"/>
      <c r="GB67" s="396"/>
      <c r="GC67" s="310"/>
      <c r="GD67" s="310"/>
      <c r="GE67" s="310"/>
      <c r="GF67" s="396"/>
      <c r="GG67" s="396"/>
      <c r="GH67" s="396"/>
      <c r="GI67" s="311"/>
      <c r="GJ67" s="344"/>
      <c r="GK67" s="303">
        <f t="shared" si="30"/>
        <v>0.84842177223910331</v>
      </c>
    </row>
    <row r="68" spans="2:193" s="37" customFormat="1" ht="15.6" customHeight="1" x14ac:dyDescent="0.25">
      <c r="B68" s="29"/>
      <c r="C68" s="30">
        <v>1</v>
      </c>
      <c r="D68" s="30"/>
      <c r="E68" s="493">
        <v>52</v>
      </c>
      <c r="F68" s="29"/>
      <c r="G68" s="30">
        <v>1</v>
      </c>
      <c r="H68" s="30">
        <v>1</v>
      </c>
      <c r="M68" s="493">
        <v>37</v>
      </c>
      <c r="N68" s="494" t="s">
        <v>39</v>
      </c>
      <c r="O68" s="494"/>
      <c r="P68" s="494">
        <f t="shared" si="49"/>
        <v>0</v>
      </c>
      <c r="Q68" s="494"/>
      <c r="R68" s="494"/>
      <c r="S68" s="494" t="s">
        <v>607</v>
      </c>
      <c r="T68" s="156">
        <v>2</v>
      </c>
      <c r="U68" s="493"/>
      <c r="V68" s="2">
        <f t="shared" si="31"/>
        <v>1381.3</v>
      </c>
      <c r="W68" s="2"/>
      <c r="X68" s="198">
        <f t="shared" si="227"/>
        <v>1381.3</v>
      </c>
      <c r="Y68" s="198">
        <v>369</v>
      </c>
      <c r="Z68" s="42">
        <v>1012.3</v>
      </c>
      <c r="AA68" s="2"/>
      <c r="AB68" s="567">
        <f t="shared" si="307"/>
        <v>1381.3</v>
      </c>
      <c r="AC68" s="567"/>
      <c r="AD68" s="568">
        <f t="shared" si="229"/>
        <v>1381.3</v>
      </c>
      <c r="AE68" s="568">
        <v>369</v>
      </c>
      <c r="AF68" s="569">
        <v>1012.3</v>
      </c>
      <c r="AG68" s="567"/>
      <c r="AH68" s="570"/>
      <c r="AI68" s="567">
        <f t="shared" si="308"/>
        <v>82.8</v>
      </c>
      <c r="AJ68" s="567"/>
      <c r="AK68" s="568">
        <v>82.8</v>
      </c>
      <c r="AL68" s="567"/>
      <c r="AM68" s="570"/>
      <c r="AN68" s="567">
        <f t="shared" si="309"/>
        <v>82.8</v>
      </c>
      <c r="AO68" s="567"/>
      <c r="AP68" s="568">
        <v>82.8</v>
      </c>
      <c r="AQ68" s="567"/>
      <c r="AR68" s="570"/>
      <c r="AS68" s="567">
        <f t="shared" si="310"/>
        <v>36</v>
      </c>
      <c r="AT68" s="567"/>
      <c r="AU68" s="568">
        <v>36</v>
      </c>
      <c r="AV68" s="567"/>
      <c r="AW68" s="570"/>
      <c r="AX68" s="409" t="s">
        <v>410</v>
      </c>
      <c r="AY68" s="567">
        <f t="shared" si="150"/>
        <v>1381.3</v>
      </c>
      <c r="AZ68" s="567"/>
      <c r="BA68" s="568">
        <f t="shared" si="311"/>
        <v>1381.3</v>
      </c>
      <c r="BB68" s="568">
        <v>369</v>
      </c>
      <c r="BC68" s="569">
        <v>1012.3</v>
      </c>
      <c r="BD68" s="567"/>
      <c r="BE68" s="570"/>
      <c r="BF68" s="567">
        <f t="shared" si="32"/>
        <v>0</v>
      </c>
      <c r="BG68" s="567">
        <f t="shared" si="33"/>
        <v>0</v>
      </c>
      <c r="BH68" s="567">
        <f t="shared" si="34"/>
        <v>0</v>
      </c>
      <c r="BI68" s="567">
        <f t="shared" si="35"/>
        <v>0</v>
      </c>
      <c r="BJ68" s="567">
        <f t="shared" si="36"/>
        <v>0</v>
      </c>
      <c r="BK68" s="567">
        <f t="shared" si="37"/>
        <v>0</v>
      </c>
      <c r="BL68" s="567" t="e">
        <f>#REF!-BE68</f>
        <v>#REF!</v>
      </c>
      <c r="BM68" s="567">
        <f t="shared" si="312"/>
        <v>382.8</v>
      </c>
      <c r="BN68" s="567"/>
      <c r="BO68" s="568">
        <f>36+46.8+300</f>
        <v>382.8</v>
      </c>
      <c r="BP68" s="567"/>
      <c r="BQ68" s="570"/>
      <c r="BR68" s="567">
        <f t="shared" si="313"/>
        <v>0</v>
      </c>
      <c r="BS68" s="567"/>
      <c r="BT68" s="568"/>
      <c r="BU68" s="567"/>
      <c r="BV68" s="570"/>
      <c r="BW68" s="567">
        <f t="shared" si="314"/>
        <v>1381.3</v>
      </c>
      <c r="BX68" s="567"/>
      <c r="BY68" s="568">
        <f t="shared" si="38"/>
        <v>1381.3</v>
      </c>
      <c r="BZ68" s="571">
        <v>369</v>
      </c>
      <c r="CA68" s="571">
        <v>1012.3</v>
      </c>
      <c r="CB68" s="567"/>
      <c r="CC68" s="577"/>
      <c r="CD68" s="567">
        <f t="shared" si="315"/>
        <v>1381.3</v>
      </c>
      <c r="CE68" s="567"/>
      <c r="CF68" s="568">
        <f t="shared" si="39"/>
        <v>1381.3</v>
      </c>
      <c r="CG68" s="571">
        <v>369</v>
      </c>
      <c r="CH68" s="571">
        <v>1012.3</v>
      </c>
      <c r="CI68" s="567"/>
      <c r="CJ68" s="577"/>
      <c r="CK68" s="567">
        <f t="shared" si="316"/>
        <v>393.50099999999998</v>
      </c>
      <c r="CL68" s="567"/>
      <c r="CM68" s="567">
        <f t="shared" si="102"/>
        <v>393.50099999999998</v>
      </c>
      <c r="CN68" s="567">
        <v>130.23099999999999</v>
      </c>
      <c r="CO68" s="567">
        <v>263.27</v>
      </c>
      <c r="CP68" s="567"/>
      <c r="CQ68" s="567"/>
      <c r="CR68" s="573">
        <f t="shared" si="317"/>
        <v>1774.8009999999999</v>
      </c>
      <c r="CS68" s="567">
        <f t="shared" si="40"/>
        <v>1774.8009999999999</v>
      </c>
      <c r="CT68" s="567">
        <f t="shared" si="41"/>
        <v>0</v>
      </c>
      <c r="CU68" s="567">
        <f t="shared" si="42"/>
        <v>1774.8009999999999</v>
      </c>
      <c r="CV68" s="567">
        <f t="shared" si="43"/>
        <v>0</v>
      </c>
      <c r="CW68" s="567">
        <f t="shared" si="318"/>
        <v>0</v>
      </c>
      <c r="CX68" s="567">
        <f t="shared" ca="1" si="182"/>
        <v>0</v>
      </c>
      <c r="CY68" s="567">
        <f t="shared" si="44"/>
        <v>0</v>
      </c>
      <c r="CZ68" s="567">
        <f t="shared" si="45"/>
        <v>0</v>
      </c>
      <c r="DA68" s="567">
        <f t="shared" si="46"/>
        <v>0</v>
      </c>
      <c r="DB68" s="2">
        <f t="shared" si="319"/>
        <v>0</v>
      </c>
      <c r="DC68" s="76"/>
      <c r="DD68" s="253"/>
      <c r="DE68" s="253"/>
      <c r="DF68" s="2">
        <f t="shared" si="320"/>
        <v>0</v>
      </c>
      <c r="DG68" s="2"/>
      <c r="DH68" s="198"/>
      <c r="DI68" s="2"/>
      <c r="DJ68" s="234"/>
      <c r="DK68" s="2">
        <f t="shared" si="321"/>
        <v>0</v>
      </c>
      <c r="DL68" s="2"/>
      <c r="DM68" s="198"/>
      <c r="DN68" s="2"/>
      <c r="DO68" s="234"/>
      <c r="DP68" s="2">
        <f t="shared" si="322"/>
        <v>0</v>
      </c>
      <c r="DQ68" s="2">
        <f t="shared" si="329"/>
        <v>0</v>
      </c>
      <c r="DR68" s="2">
        <f t="shared" si="329"/>
        <v>0</v>
      </c>
      <c r="DS68" s="2">
        <f t="shared" si="329"/>
        <v>0</v>
      </c>
      <c r="DT68" s="2">
        <f t="shared" si="329"/>
        <v>0</v>
      </c>
      <c r="DU68" s="2"/>
      <c r="DV68" s="2"/>
      <c r="DW68" s="2"/>
      <c r="DX68" s="2">
        <f t="shared" ca="1" si="323"/>
        <v>0</v>
      </c>
      <c r="DY68" s="46"/>
      <c r="DZ68" s="2">
        <f t="shared" si="324"/>
        <v>1381.3</v>
      </c>
      <c r="EA68" s="2">
        <f t="shared" si="325"/>
        <v>1381.3</v>
      </c>
      <c r="EB68" s="46"/>
      <c r="EC68" s="2"/>
      <c r="ED68" s="2"/>
      <c r="EE68" s="46"/>
      <c r="EF68" s="2"/>
      <c r="EG68" s="46"/>
      <c r="EH68" s="46"/>
      <c r="EI68" s="2">
        <f t="shared" si="10"/>
        <v>1381.3</v>
      </c>
      <c r="EJ68" s="2"/>
      <c r="EK68" s="198">
        <f t="shared" si="48"/>
        <v>1381.3</v>
      </c>
      <c r="EL68" s="446">
        <v>369</v>
      </c>
      <c r="EM68" s="446">
        <v>1012.3</v>
      </c>
      <c r="EN68" s="2"/>
      <c r="EO68" s="236"/>
      <c r="EP68" s="2">
        <f t="shared" si="14"/>
        <v>393.50099999999998</v>
      </c>
      <c r="EQ68" s="2"/>
      <c r="ER68" s="2">
        <f t="shared" si="104"/>
        <v>393.50099999999998</v>
      </c>
      <c r="ES68" s="2">
        <v>130.23099999999999</v>
      </c>
      <c r="ET68" s="2">
        <v>263.27</v>
      </c>
      <c r="EU68" s="2"/>
      <c r="EV68" s="141"/>
      <c r="EW68" s="310"/>
      <c r="EX68" s="310"/>
      <c r="EY68" s="310"/>
      <c r="EZ68" s="396"/>
      <c r="FA68" s="396"/>
      <c r="FB68" s="310"/>
      <c r="FC68" s="310"/>
      <c r="FD68" s="310"/>
      <c r="FE68" s="396"/>
      <c r="FF68" s="396"/>
      <c r="FG68" s="396"/>
      <c r="FH68" s="311"/>
      <c r="FI68" s="310"/>
      <c r="FJ68" s="296" t="e">
        <f t="shared" si="328"/>
        <v>#DIV/0!</v>
      </c>
      <c r="FK68" s="353">
        <f t="shared" si="73"/>
        <v>1381.3</v>
      </c>
      <c r="FL68" s="353">
        <f t="shared" si="330"/>
        <v>1381.3</v>
      </c>
      <c r="FM68" s="353"/>
      <c r="FN68" s="388">
        <f t="shared" si="331"/>
        <v>1</v>
      </c>
      <c r="FO68" s="388">
        <f t="shared" si="332"/>
        <v>0</v>
      </c>
      <c r="FP68" s="353">
        <f t="shared" si="75"/>
        <v>1774.8009999999999</v>
      </c>
      <c r="FQ68" s="353">
        <f t="shared" si="333"/>
        <v>1381.3</v>
      </c>
      <c r="FR68" s="353">
        <f t="shared" si="334"/>
        <v>393.50099999999998</v>
      </c>
      <c r="FS68" s="388">
        <f t="shared" si="335"/>
        <v>0.77828443864974162</v>
      </c>
      <c r="FT68" s="388">
        <f t="shared" si="336"/>
        <v>0.22171556135025841</v>
      </c>
      <c r="FU68" s="388"/>
      <c r="FV68" s="353">
        <f t="shared" si="337"/>
        <v>1774.8009999999999</v>
      </c>
      <c r="FW68" s="353">
        <f t="shared" si="77"/>
        <v>-393.50099999999998</v>
      </c>
      <c r="FX68" s="310">
        <f t="shared" si="343"/>
        <v>0</v>
      </c>
      <c r="FY68" s="310">
        <f>BD68</f>
        <v>0</v>
      </c>
      <c r="FZ68" s="310"/>
      <c r="GA68" s="396" t="e">
        <f t="shared" si="344"/>
        <v>#DIV/0!</v>
      </c>
      <c r="GB68" s="396" t="e">
        <f t="shared" si="345"/>
        <v>#DIV/0!</v>
      </c>
      <c r="GC68" s="310">
        <f t="shared" si="80"/>
        <v>0</v>
      </c>
      <c r="GD68" s="310">
        <f t="shared" si="177"/>
        <v>0</v>
      </c>
      <c r="GE68" s="310">
        <f t="shared" si="178"/>
        <v>0</v>
      </c>
      <c r="GF68" s="396" t="e">
        <f t="shared" si="346"/>
        <v>#DIV/0!</v>
      </c>
      <c r="GG68" s="396" t="e">
        <f t="shared" si="347"/>
        <v>#DIV/0!</v>
      </c>
      <c r="GH68" s="396"/>
      <c r="GI68" s="311" t="e">
        <f t="shared" si="262"/>
        <v>#DIV/0!</v>
      </c>
      <c r="GJ68" s="344" t="e">
        <f t="shared" si="82"/>
        <v>#DIV/0!</v>
      </c>
      <c r="GK68" s="303">
        <f t="shared" si="30"/>
        <v>1</v>
      </c>
    </row>
    <row r="69" spans="2:193" s="37" customFormat="1" ht="15.75" hidden="1" customHeight="1" x14ac:dyDescent="0.25">
      <c r="B69" s="29"/>
      <c r="C69" s="30"/>
      <c r="D69" s="30">
        <v>1</v>
      </c>
      <c r="E69" s="493">
        <v>53</v>
      </c>
      <c r="F69" s="29"/>
      <c r="G69" s="30"/>
      <c r="H69" s="30">
        <v>1</v>
      </c>
      <c r="M69" s="493">
        <v>42</v>
      </c>
      <c r="N69" s="494" t="s">
        <v>201</v>
      </c>
      <c r="O69" s="494"/>
      <c r="P69" s="494">
        <f t="shared" si="49"/>
        <v>0</v>
      </c>
      <c r="Q69" s="494"/>
      <c r="R69" s="494"/>
      <c r="S69" s="494"/>
      <c r="T69" s="156"/>
      <c r="U69" s="493"/>
      <c r="V69" s="2">
        <f t="shared" si="31"/>
        <v>0</v>
      </c>
      <c r="W69" s="2"/>
      <c r="X69" s="198">
        <f t="shared" si="227"/>
        <v>0</v>
      </c>
      <c r="Y69" s="198"/>
      <c r="Z69" s="42"/>
      <c r="AA69" s="2"/>
      <c r="AB69" s="567">
        <f t="shared" si="307"/>
        <v>0</v>
      </c>
      <c r="AC69" s="567"/>
      <c r="AD69" s="568">
        <f t="shared" si="229"/>
        <v>0</v>
      </c>
      <c r="AE69" s="568"/>
      <c r="AF69" s="569"/>
      <c r="AG69" s="567"/>
      <c r="AH69" s="580"/>
      <c r="AI69" s="567">
        <f t="shared" si="308"/>
        <v>0</v>
      </c>
      <c r="AJ69" s="567"/>
      <c r="AK69" s="568">
        <v>0</v>
      </c>
      <c r="AL69" s="567"/>
      <c r="AM69" s="580"/>
      <c r="AN69" s="567">
        <f t="shared" si="309"/>
        <v>0</v>
      </c>
      <c r="AO69" s="567"/>
      <c r="AP69" s="568">
        <v>0</v>
      </c>
      <c r="AQ69" s="567"/>
      <c r="AR69" s="580"/>
      <c r="AS69" s="567">
        <f t="shared" si="310"/>
        <v>0</v>
      </c>
      <c r="AT69" s="567"/>
      <c r="AU69" s="568">
        <v>0</v>
      </c>
      <c r="AV69" s="567"/>
      <c r="AW69" s="580"/>
      <c r="AX69" s="425"/>
      <c r="AY69" s="567">
        <f t="shared" si="150"/>
        <v>0</v>
      </c>
      <c r="AZ69" s="567"/>
      <c r="BA69" s="567">
        <f t="shared" si="311"/>
        <v>0</v>
      </c>
      <c r="BB69" s="567"/>
      <c r="BC69" s="567"/>
      <c r="BD69" s="567"/>
      <c r="BE69" s="567"/>
      <c r="BF69" s="567">
        <f t="shared" si="32"/>
        <v>0</v>
      </c>
      <c r="BG69" s="567">
        <f t="shared" si="33"/>
        <v>0</v>
      </c>
      <c r="BH69" s="567">
        <f t="shared" si="34"/>
        <v>0</v>
      </c>
      <c r="BI69" s="567">
        <f t="shared" si="35"/>
        <v>0</v>
      </c>
      <c r="BJ69" s="567">
        <f t="shared" si="36"/>
        <v>0</v>
      </c>
      <c r="BK69" s="567">
        <f t="shared" si="37"/>
        <v>0</v>
      </c>
      <c r="BL69" s="567" t="e">
        <f>#REF!-BE69</f>
        <v>#REF!</v>
      </c>
      <c r="BM69" s="567">
        <f t="shared" si="312"/>
        <v>0</v>
      </c>
      <c r="BN69" s="567"/>
      <c r="BO69" s="567"/>
      <c r="BP69" s="567"/>
      <c r="BQ69" s="567"/>
      <c r="BR69" s="567">
        <f t="shared" si="313"/>
        <v>0</v>
      </c>
      <c r="BS69" s="567"/>
      <c r="BT69" s="567"/>
      <c r="BU69" s="567"/>
      <c r="BV69" s="567"/>
      <c r="BW69" s="567">
        <f t="shared" si="314"/>
        <v>0</v>
      </c>
      <c r="BX69" s="567"/>
      <c r="BY69" s="567">
        <f t="shared" si="38"/>
        <v>0</v>
      </c>
      <c r="BZ69" s="574"/>
      <c r="CA69" s="574"/>
      <c r="CB69" s="567"/>
      <c r="CC69" s="567"/>
      <c r="CD69" s="567">
        <f t="shared" si="315"/>
        <v>0</v>
      </c>
      <c r="CE69" s="567"/>
      <c r="CF69" s="567">
        <f t="shared" si="39"/>
        <v>0</v>
      </c>
      <c r="CG69" s="574"/>
      <c r="CH69" s="574"/>
      <c r="CI69" s="567"/>
      <c r="CJ69" s="567"/>
      <c r="CK69" s="567">
        <f t="shared" si="316"/>
        <v>0</v>
      </c>
      <c r="CL69" s="567"/>
      <c r="CM69" s="567">
        <f t="shared" si="102"/>
        <v>0</v>
      </c>
      <c r="CN69" s="567"/>
      <c r="CO69" s="567"/>
      <c r="CP69" s="567"/>
      <c r="CQ69" s="567"/>
      <c r="CR69" s="573">
        <f t="shared" si="317"/>
        <v>0</v>
      </c>
      <c r="CS69" s="567">
        <f t="shared" si="40"/>
        <v>0</v>
      </c>
      <c r="CT69" s="567">
        <f t="shared" si="41"/>
        <v>0</v>
      </c>
      <c r="CU69" s="567">
        <f t="shared" si="42"/>
        <v>0</v>
      </c>
      <c r="CV69" s="567">
        <f t="shared" si="43"/>
        <v>0</v>
      </c>
      <c r="CW69" s="567">
        <f t="shared" si="318"/>
        <v>0</v>
      </c>
      <c r="CX69" s="567">
        <f t="shared" ca="1" si="182"/>
        <v>0</v>
      </c>
      <c r="CY69" s="567">
        <f t="shared" si="44"/>
        <v>0</v>
      </c>
      <c r="CZ69" s="567">
        <f t="shared" si="45"/>
        <v>0</v>
      </c>
      <c r="DA69" s="567">
        <f t="shared" si="46"/>
        <v>0</v>
      </c>
      <c r="DB69" s="2">
        <f t="shared" si="319"/>
        <v>0</v>
      </c>
      <c r="DC69" s="76"/>
      <c r="DD69" s="253"/>
      <c r="DE69" s="253"/>
      <c r="DF69" s="2">
        <f t="shared" si="320"/>
        <v>0</v>
      </c>
      <c r="DG69" s="2"/>
      <c r="DH69" s="2"/>
      <c r="DI69" s="2"/>
      <c r="DJ69" s="2"/>
      <c r="DK69" s="2">
        <f t="shared" si="321"/>
        <v>0</v>
      </c>
      <c r="DL69" s="2"/>
      <c r="DM69" s="2"/>
      <c r="DN69" s="2"/>
      <c r="DO69" s="2"/>
      <c r="DP69" s="2">
        <f t="shared" si="322"/>
        <v>0</v>
      </c>
      <c r="DQ69" s="2">
        <f t="shared" si="329"/>
        <v>0</v>
      </c>
      <c r="DR69" s="2">
        <f t="shared" si="329"/>
        <v>0</v>
      </c>
      <c r="DS69" s="2">
        <f t="shared" si="329"/>
        <v>0</v>
      </c>
      <c r="DT69" s="2">
        <f t="shared" si="329"/>
        <v>0</v>
      </c>
      <c r="DU69" s="2"/>
      <c r="DV69" s="2"/>
      <c r="DW69" s="2"/>
      <c r="DX69" s="2">
        <f t="shared" ca="1" si="323"/>
        <v>0</v>
      </c>
      <c r="DY69" s="46"/>
      <c r="DZ69" s="2">
        <f t="shared" si="324"/>
        <v>0</v>
      </c>
      <c r="EA69" s="2">
        <f t="shared" si="325"/>
        <v>0</v>
      </c>
      <c r="EB69" s="46"/>
      <c r="EC69" s="2"/>
      <c r="ED69" s="2"/>
      <c r="EE69" s="46"/>
      <c r="EF69" s="2"/>
      <c r="EG69" s="46"/>
      <c r="EH69" s="46"/>
      <c r="EI69" s="2">
        <f t="shared" si="10"/>
        <v>0</v>
      </c>
      <c r="EJ69" s="2"/>
      <c r="EK69" s="2">
        <f t="shared" si="48"/>
        <v>0</v>
      </c>
      <c r="EL69" s="432"/>
      <c r="EM69" s="432"/>
      <c r="EN69" s="2"/>
      <c r="EO69" s="2"/>
      <c r="EP69" s="2">
        <f t="shared" si="14"/>
        <v>0</v>
      </c>
      <c r="EQ69" s="2"/>
      <c r="ER69" s="2">
        <f t="shared" si="104"/>
        <v>0</v>
      </c>
      <c r="ES69" s="2"/>
      <c r="ET69" s="2"/>
      <c r="EU69" s="2"/>
      <c r="EV69" s="141"/>
      <c r="EW69" s="310"/>
      <c r="EX69" s="310"/>
      <c r="EY69" s="310"/>
      <c r="EZ69" s="396"/>
      <c r="FA69" s="396"/>
      <c r="FB69" s="310"/>
      <c r="FC69" s="310"/>
      <c r="FD69" s="310"/>
      <c r="FE69" s="396"/>
      <c r="FF69" s="396"/>
      <c r="FG69" s="396"/>
      <c r="FH69" s="311"/>
      <c r="FI69" s="310"/>
      <c r="FJ69" s="296" t="e">
        <f t="shared" si="328"/>
        <v>#DIV/0!</v>
      </c>
      <c r="FK69" s="353"/>
      <c r="FL69" s="353"/>
      <c r="FM69" s="353"/>
      <c r="FN69" s="388"/>
      <c r="FO69" s="388"/>
      <c r="FP69" s="353"/>
      <c r="FQ69" s="353"/>
      <c r="FR69" s="353"/>
      <c r="FS69" s="388"/>
      <c r="FT69" s="388"/>
      <c r="FU69" s="388"/>
      <c r="FV69" s="353"/>
      <c r="FW69" s="353">
        <f t="shared" si="77"/>
        <v>0</v>
      </c>
      <c r="FX69" s="310"/>
      <c r="FY69" s="310"/>
      <c r="FZ69" s="310"/>
      <c r="GA69" s="396"/>
      <c r="GB69" s="396"/>
      <c r="GC69" s="310"/>
      <c r="GD69" s="310"/>
      <c r="GE69" s="310"/>
      <c r="GF69" s="396"/>
      <c r="GG69" s="396"/>
      <c r="GH69" s="396"/>
      <c r="GI69" s="311"/>
      <c r="GJ69" s="344"/>
      <c r="GK69" s="303" t="e">
        <f t="shared" si="30"/>
        <v>#DIV/0!</v>
      </c>
    </row>
    <row r="70" spans="2:193" s="37" customFormat="1" ht="15.6" customHeight="1" x14ac:dyDescent="0.25">
      <c r="B70" s="29"/>
      <c r="C70" s="30"/>
      <c r="D70" s="30">
        <v>1</v>
      </c>
      <c r="E70" s="493">
        <v>54</v>
      </c>
      <c r="F70" s="29"/>
      <c r="G70" s="30"/>
      <c r="H70" s="30"/>
      <c r="M70" s="493">
        <v>38</v>
      </c>
      <c r="N70" s="494" t="s">
        <v>202</v>
      </c>
      <c r="O70" s="494"/>
      <c r="P70" s="494">
        <f t="shared" si="49"/>
        <v>0</v>
      </c>
      <c r="Q70" s="494"/>
      <c r="R70" s="494"/>
      <c r="S70" s="494" t="s">
        <v>617</v>
      </c>
      <c r="T70" s="156">
        <v>2</v>
      </c>
      <c r="U70" s="493"/>
      <c r="V70" s="2">
        <f t="shared" si="31"/>
        <v>2291.3000000000002</v>
      </c>
      <c r="W70" s="2"/>
      <c r="X70" s="198">
        <f t="shared" si="227"/>
        <v>2291.3000000000002</v>
      </c>
      <c r="Y70" s="198">
        <v>721.9</v>
      </c>
      <c r="Z70" s="42">
        <v>1569.4</v>
      </c>
      <c r="AA70" s="2"/>
      <c r="AB70" s="567">
        <f t="shared" si="307"/>
        <v>2291.3000000000002</v>
      </c>
      <c r="AC70" s="567"/>
      <c r="AD70" s="568">
        <f t="shared" si="229"/>
        <v>2291.3000000000002</v>
      </c>
      <c r="AE70" s="568">
        <v>721.9</v>
      </c>
      <c r="AF70" s="569">
        <v>1569.4</v>
      </c>
      <c r="AG70" s="567"/>
      <c r="AH70" s="580"/>
      <c r="AI70" s="567">
        <f t="shared" si="308"/>
        <v>740.6</v>
      </c>
      <c r="AJ70" s="567"/>
      <c r="AK70" s="568">
        <v>740.6</v>
      </c>
      <c r="AL70" s="567"/>
      <c r="AM70" s="580"/>
      <c r="AN70" s="567">
        <f t="shared" si="309"/>
        <v>740.6</v>
      </c>
      <c r="AO70" s="567"/>
      <c r="AP70" s="568">
        <v>740.6</v>
      </c>
      <c r="AQ70" s="567"/>
      <c r="AR70" s="580"/>
      <c r="AS70" s="567">
        <f t="shared" si="310"/>
        <v>322</v>
      </c>
      <c r="AT70" s="567"/>
      <c r="AU70" s="568">
        <v>322</v>
      </c>
      <c r="AV70" s="567"/>
      <c r="AW70" s="580"/>
      <c r="AX70" s="425" t="s">
        <v>470</v>
      </c>
      <c r="AY70" s="567">
        <f t="shared" si="150"/>
        <v>2291.3000000000002</v>
      </c>
      <c r="AZ70" s="567"/>
      <c r="BA70" s="568">
        <f t="shared" si="311"/>
        <v>2291.3000000000002</v>
      </c>
      <c r="BB70" s="568">
        <v>721.9</v>
      </c>
      <c r="BC70" s="569">
        <v>1569.4</v>
      </c>
      <c r="BD70" s="567"/>
      <c r="BE70" s="567"/>
      <c r="BF70" s="567">
        <f t="shared" si="32"/>
        <v>0</v>
      </c>
      <c r="BG70" s="567">
        <f t="shared" si="33"/>
        <v>0</v>
      </c>
      <c r="BH70" s="567">
        <f t="shared" si="34"/>
        <v>0</v>
      </c>
      <c r="BI70" s="567">
        <f t="shared" si="35"/>
        <v>0</v>
      </c>
      <c r="BJ70" s="567">
        <f t="shared" si="36"/>
        <v>0</v>
      </c>
      <c r="BK70" s="567">
        <f t="shared" si="37"/>
        <v>0</v>
      </c>
      <c r="BL70" s="567" t="e">
        <f>#REF!-BE70</f>
        <v>#REF!</v>
      </c>
      <c r="BM70" s="567">
        <f t="shared" si="312"/>
        <v>0</v>
      </c>
      <c r="BN70" s="567"/>
      <c r="BO70" s="567"/>
      <c r="BP70" s="567"/>
      <c r="BQ70" s="567"/>
      <c r="BR70" s="567">
        <f t="shared" si="313"/>
        <v>0</v>
      </c>
      <c r="BS70" s="567"/>
      <c r="BT70" s="567"/>
      <c r="BU70" s="567"/>
      <c r="BV70" s="567"/>
      <c r="BW70" s="567">
        <f t="shared" si="314"/>
        <v>2217.97829</v>
      </c>
      <c r="BX70" s="567"/>
      <c r="BY70" s="567">
        <f t="shared" si="38"/>
        <v>2217.97829</v>
      </c>
      <c r="BZ70" s="574">
        <v>698.79920000000004</v>
      </c>
      <c r="CA70" s="574">
        <v>1519.1790900000001</v>
      </c>
      <c r="CB70" s="567"/>
      <c r="CC70" s="567"/>
      <c r="CD70" s="567">
        <f t="shared" si="315"/>
        <v>2217.97829</v>
      </c>
      <c r="CE70" s="567"/>
      <c r="CF70" s="567">
        <f t="shared" si="39"/>
        <v>2217.97829</v>
      </c>
      <c r="CG70" s="574">
        <v>698.79920000000004</v>
      </c>
      <c r="CH70" s="574">
        <v>1519.1790900000001</v>
      </c>
      <c r="CI70" s="567"/>
      <c r="CJ70" s="567"/>
      <c r="CK70" s="567">
        <f t="shared" si="316"/>
        <v>626.51571000000001</v>
      </c>
      <c r="CL70" s="567"/>
      <c r="CM70" s="567">
        <v>626.51571000000001</v>
      </c>
      <c r="CN70" s="567"/>
      <c r="CO70" s="567"/>
      <c r="CP70" s="567"/>
      <c r="CQ70" s="567"/>
      <c r="CR70" s="573">
        <f t="shared" si="317"/>
        <v>2844.4940000000001</v>
      </c>
      <c r="CS70" s="567">
        <f t="shared" si="40"/>
        <v>2844.4940000000001</v>
      </c>
      <c r="CT70" s="567">
        <f t="shared" si="41"/>
        <v>0</v>
      </c>
      <c r="CU70" s="567">
        <f t="shared" si="42"/>
        <v>2844.4940000000001</v>
      </c>
      <c r="CV70" s="567">
        <f t="shared" si="43"/>
        <v>0</v>
      </c>
      <c r="CW70" s="567">
        <f t="shared" si="318"/>
        <v>0</v>
      </c>
      <c r="CX70" s="567">
        <f t="shared" ca="1" si="182"/>
        <v>0</v>
      </c>
      <c r="CY70" s="567">
        <f t="shared" si="44"/>
        <v>0</v>
      </c>
      <c r="CZ70" s="567">
        <f t="shared" si="45"/>
        <v>0</v>
      </c>
      <c r="DA70" s="567">
        <f t="shared" si="46"/>
        <v>0</v>
      </c>
      <c r="DB70" s="2">
        <f t="shared" si="319"/>
        <v>0</v>
      </c>
      <c r="DC70" s="76"/>
      <c r="DD70" s="253"/>
      <c r="DE70" s="253"/>
      <c r="DF70" s="2">
        <f t="shared" si="320"/>
        <v>0</v>
      </c>
      <c r="DG70" s="2"/>
      <c r="DH70" s="2"/>
      <c r="DI70" s="2"/>
      <c r="DJ70" s="2"/>
      <c r="DK70" s="2">
        <f t="shared" si="321"/>
        <v>0</v>
      </c>
      <c r="DL70" s="2"/>
      <c r="DM70" s="2"/>
      <c r="DN70" s="2"/>
      <c r="DO70" s="2"/>
      <c r="DP70" s="2">
        <f t="shared" si="322"/>
        <v>0</v>
      </c>
      <c r="DQ70" s="2">
        <f t="shared" si="329"/>
        <v>0</v>
      </c>
      <c r="DR70" s="2">
        <f t="shared" si="329"/>
        <v>0</v>
      </c>
      <c r="DS70" s="2">
        <f t="shared" si="329"/>
        <v>0</v>
      </c>
      <c r="DT70" s="2">
        <f t="shared" si="329"/>
        <v>0</v>
      </c>
      <c r="DU70" s="2"/>
      <c r="DV70" s="2"/>
      <c r="DW70" s="2"/>
      <c r="DX70" s="2">
        <f t="shared" ca="1" si="323"/>
        <v>0</v>
      </c>
      <c r="DY70" s="46"/>
      <c r="DZ70" s="2">
        <f t="shared" si="324"/>
        <v>2217.97829</v>
      </c>
      <c r="EA70" s="2">
        <f t="shared" si="325"/>
        <v>2217.97829</v>
      </c>
      <c r="EB70" s="46"/>
      <c r="EC70" s="2"/>
      <c r="ED70" s="2"/>
      <c r="EE70" s="46"/>
      <c r="EF70" s="2"/>
      <c r="EG70" s="46"/>
      <c r="EH70" s="46"/>
      <c r="EI70" s="2">
        <f t="shared" si="10"/>
        <v>2217.97829</v>
      </c>
      <c r="EJ70" s="2"/>
      <c r="EK70" s="2">
        <f t="shared" si="48"/>
        <v>2217.97829</v>
      </c>
      <c r="EL70" s="432">
        <v>698.79920000000004</v>
      </c>
      <c r="EM70" s="432">
        <v>1519.1790900000001</v>
      </c>
      <c r="EN70" s="2"/>
      <c r="EO70" s="2"/>
      <c r="EP70" s="2">
        <f t="shared" si="14"/>
        <v>626.51571000000001</v>
      </c>
      <c r="EQ70" s="2"/>
      <c r="ER70" s="2">
        <v>626.51571000000001</v>
      </c>
      <c r="ES70" s="2">
        <v>239.12504000000001</v>
      </c>
      <c r="ET70" s="2">
        <v>387.39067</v>
      </c>
      <c r="EU70" s="2"/>
      <c r="EV70" s="141"/>
      <c r="EW70" s="310"/>
      <c r="EX70" s="310"/>
      <c r="EY70" s="310"/>
      <c r="EZ70" s="396"/>
      <c r="FA70" s="396"/>
      <c r="FB70" s="310"/>
      <c r="FC70" s="310"/>
      <c r="FD70" s="310"/>
      <c r="FE70" s="396"/>
      <c r="FF70" s="396"/>
      <c r="FG70" s="396"/>
      <c r="FH70" s="311"/>
      <c r="FI70" s="310"/>
      <c r="FJ70" s="296" t="e">
        <f t="shared" si="328"/>
        <v>#DIV/0!</v>
      </c>
      <c r="FK70" s="353"/>
      <c r="FL70" s="353"/>
      <c r="FM70" s="353"/>
      <c r="FN70" s="388"/>
      <c r="FO70" s="388"/>
      <c r="FP70" s="353"/>
      <c r="FQ70" s="353"/>
      <c r="FR70" s="353"/>
      <c r="FS70" s="388"/>
      <c r="FT70" s="388"/>
      <c r="FU70" s="388"/>
      <c r="FV70" s="353"/>
      <c r="FW70" s="353">
        <f t="shared" si="77"/>
        <v>0</v>
      </c>
      <c r="FX70" s="310"/>
      <c r="FY70" s="310"/>
      <c r="FZ70" s="310"/>
      <c r="GA70" s="396"/>
      <c r="GB70" s="396"/>
      <c r="GC70" s="310"/>
      <c r="GD70" s="310"/>
      <c r="GE70" s="310"/>
      <c r="GF70" s="396"/>
      <c r="GG70" s="396"/>
      <c r="GH70" s="396"/>
      <c r="GI70" s="311"/>
      <c r="GJ70" s="344"/>
      <c r="GK70" s="303">
        <f t="shared" si="30"/>
        <v>0.9679999519923187</v>
      </c>
    </row>
    <row r="71" spans="2:193" s="37" customFormat="1" ht="15.6" customHeight="1" x14ac:dyDescent="0.25">
      <c r="B71" s="29"/>
      <c r="C71" s="30">
        <v>1</v>
      </c>
      <c r="D71" s="30"/>
      <c r="E71" s="493">
        <v>55</v>
      </c>
      <c r="F71" s="29"/>
      <c r="G71" s="30">
        <v>1</v>
      </c>
      <c r="H71" s="30">
        <v>1</v>
      </c>
      <c r="I71" s="493"/>
      <c r="J71" s="494"/>
      <c r="K71" s="494"/>
      <c r="L71" s="53"/>
      <c r="M71" s="493">
        <v>39</v>
      </c>
      <c r="N71" s="494" t="s">
        <v>174</v>
      </c>
      <c r="O71" s="494"/>
      <c r="P71" s="494">
        <f t="shared" si="49"/>
        <v>0</v>
      </c>
      <c r="Q71" s="494" t="s">
        <v>701</v>
      </c>
      <c r="R71" s="494" t="s">
        <v>699</v>
      </c>
      <c r="S71" s="494" t="s">
        <v>690</v>
      </c>
      <c r="T71" s="156">
        <v>2</v>
      </c>
      <c r="U71" s="493">
        <v>2</v>
      </c>
      <c r="V71" s="2">
        <f t="shared" si="31"/>
        <v>5039.0770000000002</v>
      </c>
      <c r="W71" s="2">
        <v>3675.777</v>
      </c>
      <c r="X71" s="198">
        <f t="shared" si="227"/>
        <v>1363.3</v>
      </c>
      <c r="Y71" s="198">
        <v>429.5</v>
      </c>
      <c r="Z71" s="42">
        <v>933.8</v>
      </c>
      <c r="AA71" s="2"/>
      <c r="AB71" s="567">
        <f t="shared" si="307"/>
        <v>5039.0770000000002</v>
      </c>
      <c r="AC71" s="567">
        <v>3675.777</v>
      </c>
      <c r="AD71" s="568">
        <f t="shared" si="229"/>
        <v>1363.3</v>
      </c>
      <c r="AE71" s="568">
        <v>429.5</v>
      </c>
      <c r="AF71" s="569">
        <v>933.8</v>
      </c>
      <c r="AG71" s="567"/>
      <c r="AH71" s="570"/>
      <c r="AI71" s="567">
        <f t="shared" si="308"/>
        <v>542.79999999999995</v>
      </c>
      <c r="AJ71" s="567"/>
      <c r="AK71" s="568">
        <v>542.79999999999995</v>
      </c>
      <c r="AL71" s="567"/>
      <c r="AM71" s="570"/>
      <c r="AN71" s="567">
        <f t="shared" si="309"/>
        <v>542.79999999999995</v>
      </c>
      <c r="AO71" s="567"/>
      <c r="AP71" s="568">
        <v>542.79999999999995</v>
      </c>
      <c r="AQ71" s="567"/>
      <c r="AR71" s="570"/>
      <c r="AS71" s="567">
        <f t="shared" si="310"/>
        <v>236</v>
      </c>
      <c r="AT71" s="567"/>
      <c r="AU71" s="568">
        <v>236</v>
      </c>
      <c r="AV71" s="567"/>
      <c r="AW71" s="570"/>
      <c r="AX71" s="425" t="s">
        <v>656</v>
      </c>
      <c r="AY71" s="567">
        <f t="shared" si="150"/>
        <v>5039.0770000000002</v>
      </c>
      <c r="AZ71" s="567">
        <v>3675.777</v>
      </c>
      <c r="BA71" s="568">
        <f t="shared" si="311"/>
        <v>1363.3</v>
      </c>
      <c r="BB71" s="568">
        <v>429.5</v>
      </c>
      <c r="BC71" s="569">
        <v>933.8</v>
      </c>
      <c r="BD71" s="567"/>
      <c r="BE71" s="570"/>
      <c r="BF71" s="567">
        <f t="shared" si="32"/>
        <v>0</v>
      </c>
      <c r="BG71" s="567">
        <f t="shared" si="33"/>
        <v>0</v>
      </c>
      <c r="BH71" s="567">
        <f t="shared" si="34"/>
        <v>0</v>
      </c>
      <c r="BI71" s="567">
        <f t="shared" si="35"/>
        <v>0</v>
      </c>
      <c r="BJ71" s="567">
        <f t="shared" si="36"/>
        <v>0</v>
      </c>
      <c r="BK71" s="567">
        <f t="shared" si="37"/>
        <v>0</v>
      </c>
      <c r="BL71" s="567" t="e">
        <f>#REF!-BE71</f>
        <v>#REF!</v>
      </c>
      <c r="BM71" s="567">
        <f t="shared" si="312"/>
        <v>542.79999999999995</v>
      </c>
      <c r="BN71" s="567"/>
      <c r="BO71" s="568">
        <v>542.79999999999995</v>
      </c>
      <c r="BP71" s="567"/>
      <c r="BQ71" s="570"/>
      <c r="BR71" s="567">
        <f t="shared" si="313"/>
        <v>0</v>
      </c>
      <c r="BS71" s="567"/>
      <c r="BT71" s="568"/>
      <c r="BU71" s="567"/>
      <c r="BV71" s="570"/>
      <c r="BW71" s="567">
        <f t="shared" si="314"/>
        <v>5018.2712799999999</v>
      </c>
      <c r="BX71" s="567">
        <v>3675.777</v>
      </c>
      <c r="BY71" s="567">
        <f t="shared" si="38"/>
        <v>1342.4942799999999</v>
      </c>
      <c r="BZ71" s="574">
        <v>410.96204</v>
      </c>
      <c r="CA71" s="574">
        <f>707.02386+224.50838</f>
        <v>931.53224</v>
      </c>
      <c r="CB71" s="567"/>
      <c r="CC71" s="577"/>
      <c r="CD71" s="567">
        <f t="shared" si="315"/>
        <v>5018.2712799999999</v>
      </c>
      <c r="CE71" s="567">
        <v>3675.777</v>
      </c>
      <c r="CF71" s="567">
        <f t="shared" si="39"/>
        <v>1342.4942799999999</v>
      </c>
      <c r="CG71" s="574">
        <v>410.96204</v>
      </c>
      <c r="CH71" s="574">
        <f>707.02386+224.50838</f>
        <v>931.53224</v>
      </c>
      <c r="CI71" s="567"/>
      <c r="CJ71" s="577"/>
      <c r="CK71" s="567">
        <f t="shared" si="316"/>
        <v>360.61576000000002</v>
      </c>
      <c r="CL71" s="567">
        <v>113.727</v>
      </c>
      <c r="CM71" s="567">
        <f t="shared" si="102"/>
        <v>246.88875999999999</v>
      </c>
      <c r="CN71" s="567">
        <v>124.38898</v>
      </c>
      <c r="CO71" s="567">
        <f>29.52364+92.97614</f>
        <v>122.49978</v>
      </c>
      <c r="CP71" s="567"/>
      <c r="CQ71" s="567"/>
      <c r="CR71" s="573">
        <f t="shared" si="317"/>
        <v>5378.8870399999996</v>
      </c>
      <c r="CS71" s="567">
        <f t="shared" si="40"/>
        <v>5378.8870399999996</v>
      </c>
      <c r="CT71" s="567">
        <f t="shared" si="41"/>
        <v>3789.5039999999999</v>
      </c>
      <c r="CU71" s="567">
        <f t="shared" si="42"/>
        <v>1589.3830399999999</v>
      </c>
      <c r="CV71" s="567">
        <f t="shared" si="43"/>
        <v>0</v>
      </c>
      <c r="CW71" s="567">
        <f t="shared" si="318"/>
        <v>0</v>
      </c>
      <c r="CX71" s="567">
        <f t="shared" ca="1" si="182"/>
        <v>0</v>
      </c>
      <c r="CY71" s="567">
        <f t="shared" si="44"/>
        <v>0</v>
      </c>
      <c r="CZ71" s="567">
        <f t="shared" si="45"/>
        <v>0</v>
      </c>
      <c r="DA71" s="567">
        <f t="shared" si="46"/>
        <v>0</v>
      </c>
      <c r="DB71" s="2">
        <f t="shared" si="319"/>
        <v>0</v>
      </c>
      <c r="DC71" s="76"/>
      <c r="DD71" s="253"/>
      <c r="DE71" s="253"/>
      <c r="DF71" s="2">
        <f t="shared" si="320"/>
        <v>0</v>
      </c>
      <c r="DG71" s="2"/>
      <c r="DH71" s="198"/>
      <c r="DI71" s="2"/>
      <c r="DJ71" s="234"/>
      <c r="DK71" s="2">
        <f t="shared" si="321"/>
        <v>0</v>
      </c>
      <c r="DL71" s="2"/>
      <c r="DM71" s="198"/>
      <c r="DN71" s="2"/>
      <c r="DO71" s="234"/>
      <c r="DP71" s="2">
        <f t="shared" si="322"/>
        <v>0</v>
      </c>
      <c r="DQ71" s="2">
        <f t="shared" si="329"/>
        <v>0</v>
      </c>
      <c r="DR71" s="2">
        <f t="shared" si="329"/>
        <v>0</v>
      </c>
      <c r="DS71" s="2">
        <f t="shared" si="329"/>
        <v>0</v>
      </c>
      <c r="DT71" s="2">
        <f t="shared" si="329"/>
        <v>0</v>
      </c>
      <c r="DU71" s="2"/>
      <c r="DV71" s="2"/>
      <c r="DW71" s="2"/>
      <c r="DX71" s="2">
        <f t="shared" ca="1" si="323"/>
        <v>0</v>
      </c>
      <c r="DY71" s="46"/>
      <c r="DZ71" s="2">
        <f t="shared" si="324"/>
        <v>5018.2712799999999</v>
      </c>
      <c r="EA71" s="2">
        <f t="shared" si="325"/>
        <v>5018.2712799999999</v>
      </c>
      <c r="EB71" s="46"/>
      <c r="EC71" s="2"/>
      <c r="ED71" s="2"/>
      <c r="EE71" s="46"/>
      <c r="EF71" s="2"/>
      <c r="EG71" s="46"/>
      <c r="EH71" s="46"/>
      <c r="EI71" s="2">
        <f t="shared" si="10"/>
        <v>5018.2712799999999</v>
      </c>
      <c r="EJ71" s="2">
        <v>3675.777</v>
      </c>
      <c r="EK71" s="2">
        <f t="shared" si="48"/>
        <v>1342.4942799999999</v>
      </c>
      <c r="EL71" s="432">
        <v>410.96204</v>
      </c>
      <c r="EM71" s="432">
        <f>707.02386+224.50838</f>
        <v>931.53224</v>
      </c>
      <c r="EN71" s="2"/>
      <c r="EO71" s="236"/>
      <c r="EP71" s="2">
        <f t="shared" si="14"/>
        <v>360.61576000000002</v>
      </c>
      <c r="EQ71" s="2">
        <v>113.727</v>
      </c>
      <c r="ER71" s="2">
        <f t="shared" si="104"/>
        <v>246.88875999999999</v>
      </c>
      <c r="ES71" s="2">
        <v>124.38898</v>
      </c>
      <c r="ET71" s="2">
        <f>29.52364+92.97614</f>
        <v>122.49978</v>
      </c>
      <c r="EU71" s="2"/>
      <c r="EV71" s="141"/>
      <c r="EW71" s="310">
        <f t="shared" ref="EW71" si="348">EX71+EY71</f>
        <v>3675.777</v>
      </c>
      <c r="EX71" s="310">
        <f>AZ71</f>
        <v>3675.777</v>
      </c>
      <c r="EY71" s="310"/>
      <c r="EZ71" s="396">
        <f t="shared" ref="EZ71" si="349">EX71/EW71</f>
        <v>1</v>
      </c>
      <c r="FA71" s="396">
        <f t="shared" ref="FA71" si="350">EY71/EW71</f>
        <v>0</v>
      </c>
      <c r="FB71" s="310">
        <f t="shared" ref="FB71" si="351">FC71+FD71</f>
        <v>3789.5039999999999</v>
      </c>
      <c r="FC71" s="310">
        <f t="shared" ref="FC71" si="352">EJ71</f>
        <v>3675.777</v>
      </c>
      <c r="FD71" s="310">
        <f t="shared" ref="FD71" si="353">EQ71</f>
        <v>113.727</v>
      </c>
      <c r="FE71" s="396">
        <f t="shared" ref="FE71" si="354">FC71/FB71</f>
        <v>0.96998894842174599</v>
      </c>
      <c r="FF71" s="396">
        <f t="shared" ref="FF71" si="355">FD71/FB71</f>
        <v>3.0011051578254042E-2</v>
      </c>
      <c r="FG71" s="396"/>
      <c r="FH71" s="311">
        <f>FB71*EZ71</f>
        <v>3789.5039999999999</v>
      </c>
      <c r="FI71" s="310">
        <f>FC71-FH71</f>
        <v>-113.72699999999986</v>
      </c>
      <c r="FJ71" s="296">
        <f t="shared" si="328"/>
        <v>3906.7496657212882</v>
      </c>
      <c r="FK71" s="353">
        <f t="shared" si="73"/>
        <v>1363.3</v>
      </c>
      <c r="FL71" s="353">
        <f t="shared" ref="FL71:FL81" si="356">BA71</f>
        <v>1363.3</v>
      </c>
      <c r="FM71" s="353"/>
      <c r="FN71" s="388">
        <f t="shared" si="331"/>
        <v>1</v>
      </c>
      <c r="FO71" s="388">
        <f t="shared" si="332"/>
        <v>0</v>
      </c>
      <c r="FP71" s="353">
        <f t="shared" si="75"/>
        <v>1589.3830399999999</v>
      </c>
      <c r="FQ71" s="353">
        <f t="shared" si="333"/>
        <v>1342.4942799999999</v>
      </c>
      <c r="FR71" s="353">
        <f t="shared" si="334"/>
        <v>246.88875999999999</v>
      </c>
      <c r="FS71" s="388">
        <f t="shared" si="335"/>
        <v>0.84466377595170505</v>
      </c>
      <c r="FT71" s="388">
        <f t="shared" si="336"/>
        <v>0.15533622404829486</v>
      </c>
      <c r="FU71" s="388"/>
      <c r="FV71" s="353">
        <f t="shared" si="337"/>
        <v>1589.3830399999999</v>
      </c>
      <c r="FW71" s="353">
        <f t="shared" si="77"/>
        <v>-246.88876000000005</v>
      </c>
      <c r="FX71" s="310"/>
      <c r="FY71" s="310"/>
      <c r="FZ71" s="310"/>
      <c r="GA71" s="396"/>
      <c r="GB71" s="396"/>
      <c r="GC71" s="310"/>
      <c r="GD71" s="310"/>
      <c r="GE71" s="310"/>
      <c r="GF71" s="396"/>
      <c r="GG71" s="396"/>
      <c r="GH71" s="396"/>
      <c r="GI71" s="311"/>
      <c r="GJ71" s="344"/>
      <c r="GK71" s="303">
        <f t="shared" si="30"/>
        <v>0.99587112481115092</v>
      </c>
    </row>
    <row r="72" spans="2:193" s="37" customFormat="1" ht="15.6" customHeight="1" x14ac:dyDescent="0.25">
      <c r="B72" s="29"/>
      <c r="C72" s="30"/>
      <c r="D72" s="30">
        <v>1</v>
      </c>
      <c r="E72" s="493">
        <v>56</v>
      </c>
      <c r="F72" s="29"/>
      <c r="G72" s="30"/>
      <c r="H72" s="30"/>
      <c r="M72" s="493">
        <v>40</v>
      </c>
      <c r="N72" s="494" t="s">
        <v>362</v>
      </c>
      <c r="O72" s="494"/>
      <c r="P72" s="494">
        <f t="shared" si="49"/>
        <v>0</v>
      </c>
      <c r="Q72" s="494"/>
      <c r="R72" s="494"/>
      <c r="S72" s="494" t="s">
        <v>523</v>
      </c>
      <c r="T72" s="156">
        <v>2</v>
      </c>
      <c r="U72" s="493">
        <v>1</v>
      </c>
      <c r="V72" s="2">
        <f t="shared" si="31"/>
        <v>947.19999999999993</v>
      </c>
      <c r="W72" s="2"/>
      <c r="X72" s="198">
        <f t="shared" si="227"/>
        <v>947.19999999999993</v>
      </c>
      <c r="Y72" s="198">
        <v>298.39999999999998</v>
      </c>
      <c r="Z72" s="42">
        <v>648.79999999999995</v>
      </c>
      <c r="AA72" s="2"/>
      <c r="AB72" s="567">
        <f t="shared" si="307"/>
        <v>947.19999999999993</v>
      </c>
      <c r="AC72" s="567"/>
      <c r="AD72" s="568">
        <f t="shared" si="229"/>
        <v>947.19999999999993</v>
      </c>
      <c r="AE72" s="568">
        <v>298.39999999999998</v>
      </c>
      <c r="AF72" s="569">
        <v>648.79999999999995</v>
      </c>
      <c r="AG72" s="567"/>
      <c r="AH72" s="580"/>
      <c r="AI72" s="567">
        <f t="shared" si="308"/>
        <v>239.2</v>
      </c>
      <c r="AJ72" s="567"/>
      <c r="AK72" s="568">
        <v>239.2</v>
      </c>
      <c r="AL72" s="567"/>
      <c r="AM72" s="580"/>
      <c r="AN72" s="567">
        <f t="shared" si="309"/>
        <v>239.2</v>
      </c>
      <c r="AO72" s="567"/>
      <c r="AP72" s="568">
        <v>239.2</v>
      </c>
      <c r="AQ72" s="567"/>
      <c r="AR72" s="580"/>
      <c r="AS72" s="567">
        <f t="shared" si="310"/>
        <v>104</v>
      </c>
      <c r="AT72" s="567"/>
      <c r="AU72" s="568">
        <v>104</v>
      </c>
      <c r="AV72" s="567"/>
      <c r="AW72" s="580"/>
      <c r="AX72" s="425" t="s">
        <v>396</v>
      </c>
      <c r="AY72" s="567">
        <f t="shared" si="150"/>
        <v>947.19974999999999</v>
      </c>
      <c r="AZ72" s="567"/>
      <c r="BA72" s="568">
        <f t="shared" si="311"/>
        <v>947.19974999999999</v>
      </c>
      <c r="BB72" s="568">
        <v>298.39974999999998</v>
      </c>
      <c r="BC72" s="569">
        <v>648.79999999999995</v>
      </c>
      <c r="BD72" s="567"/>
      <c r="BE72" s="567"/>
      <c r="BF72" s="567">
        <f t="shared" si="32"/>
        <v>2.4999999999408828E-4</v>
      </c>
      <c r="BG72" s="567">
        <f t="shared" si="33"/>
        <v>0</v>
      </c>
      <c r="BH72" s="567">
        <f t="shared" si="34"/>
        <v>2.4999999999408828E-4</v>
      </c>
      <c r="BI72" s="567">
        <f t="shared" si="35"/>
        <v>2.4999999999408828E-4</v>
      </c>
      <c r="BJ72" s="567">
        <f t="shared" si="36"/>
        <v>0</v>
      </c>
      <c r="BK72" s="567">
        <f t="shared" si="37"/>
        <v>0</v>
      </c>
      <c r="BL72" s="567" t="e">
        <f>#REF!-BE72</f>
        <v>#REF!</v>
      </c>
      <c r="BM72" s="567">
        <f t="shared" si="312"/>
        <v>0</v>
      </c>
      <c r="BN72" s="567"/>
      <c r="BO72" s="567"/>
      <c r="BP72" s="567"/>
      <c r="BQ72" s="567"/>
      <c r="BR72" s="567">
        <f t="shared" si="313"/>
        <v>0</v>
      </c>
      <c r="BS72" s="567"/>
      <c r="BT72" s="567"/>
      <c r="BU72" s="567"/>
      <c r="BV72" s="567"/>
      <c r="BW72" s="567">
        <f t="shared" si="314"/>
        <v>267.06767000000002</v>
      </c>
      <c r="BX72" s="567"/>
      <c r="BY72" s="567">
        <f t="shared" si="38"/>
        <v>267.06767000000002</v>
      </c>
      <c r="BZ72" s="574">
        <v>267.06767000000002</v>
      </c>
      <c r="CA72" s="574"/>
      <c r="CB72" s="567"/>
      <c r="CC72" s="567"/>
      <c r="CD72" s="567">
        <f t="shared" si="315"/>
        <v>267.06767000000002</v>
      </c>
      <c r="CE72" s="567"/>
      <c r="CF72" s="567">
        <f t="shared" si="39"/>
        <v>267.06767000000002</v>
      </c>
      <c r="CG72" s="574">
        <v>267.06767000000002</v>
      </c>
      <c r="CH72" s="574"/>
      <c r="CI72" s="567"/>
      <c r="CJ72" s="567"/>
      <c r="CK72" s="567">
        <f t="shared" si="316"/>
        <v>14.0562</v>
      </c>
      <c r="CL72" s="567"/>
      <c r="CM72" s="567">
        <v>14.0562</v>
      </c>
      <c r="CN72" s="567"/>
      <c r="CO72" s="567"/>
      <c r="CP72" s="567"/>
      <c r="CQ72" s="567"/>
      <c r="CR72" s="573">
        <f t="shared" si="317"/>
        <v>281.12387000000001</v>
      </c>
      <c r="CS72" s="567">
        <f t="shared" si="40"/>
        <v>281.12387000000001</v>
      </c>
      <c r="CT72" s="567">
        <f t="shared" si="41"/>
        <v>0</v>
      </c>
      <c r="CU72" s="567">
        <f t="shared" si="42"/>
        <v>281.12387000000001</v>
      </c>
      <c r="CV72" s="567">
        <f t="shared" si="43"/>
        <v>0</v>
      </c>
      <c r="CW72" s="567">
        <f t="shared" si="318"/>
        <v>0</v>
      </c>
      <c r="CX72" s="567">
        <f t="shared" ca="1" si="182"/>
        <v>0</v>
      </c>
      <c r="CY72" s="567">
        <f t="shared" si="44"/>
        <v>0</v>
      </c>
      <c r="CZ72" s="567">
        <f t="shared" si="45"/>
        <v>0</v>
      </c>
      <c r="DA72" s="567">
        <f t="shared" si="46"/>
        <v>0</v>
      </c>
      <c r="DB72" s="2">
        <f t="shared" si="319"/>
        <v>0</v>
      </c>
      <c r="DC72" s="76"/>
      <c r="DD72" s="253"/>
      <c r="DE72" s="253"/>
      <c r="DF72" s="2">
        <f t="shared" si="320"/>
        <v>0</v>
      </c>
      <c r="DG72" s="2"/>
      <c r="DH72" s="2"/>
      <c r="DI72" s="2"/>
      <c r="DJ72" s="2"/>
      <c r="DK72" s="2">
        <f t="shared" si="321"/>
        <v>0</v>
      </c>
      <c r="DL72" s="2"/>
      <c r="DM72" s="2"/>
      <c r="DN72" s="2"/>
      <c r="DO72" s="2"/>
      <c r="DP72" s="2">
        <f t="shared" si="322"/>
        <v>0</v>
      </c>
      <c r="DQ72" s="2">
        <f t="shared" si="329"/>
        <v>0</v>
      </c>
      <c r="DR72" s="2">
        <f t="shared" si="329"/>
        <v>0</v>
      </c>
      <c r="DS72" s="2">
        <f t="shared" si="329"/>
        <v>0</v>
      </c>
      <c r="DT72" s="2">
        <f t="shared" si="329"/>
        <v>0</v>
      </c>
      <c r="DU72" s="2"/>
      <c r="DV72" s="2"/>
      <c r="DW72" s="2"/>
      <c r="DX72" s="2">
        <f t="shared" ca="1" si="323"/>
        <v>0</v>
      </c>
      <c r="DY72" s="46"/>
      <c r="DZ72" s="2">
        <f t="shared" si="324"/>
        <v>267.06767000000002</v>
      </c>
      <c r="EA72" s="2">
        <f t="shared" si="325"/>
        <v>267.06767000000002</v>
      </c>
      <c r="EB72" s="46"/>
      <c r="EC72" s="2"/>
      <c r="ED72" s="2"/>
      <c r="EE72" s="46"/>
      <c r="EF72" s="2"/>
      <c r="EG72" s="46"/>
      <c r="EH72" s="46"/>
      <c r="EI72" s="2">
        <f t="shared" ref="EI72:EI135" si="357">EJ72+EK72+EN72</f>
        <v>267.06767000000002</v>
      </c>
      <c r="EJ72" s="2"/>
      <c r="EK72" s="2">
        <f t="shared" si="48"/>
        <v>267.06767000000002</v>
      </c>
      <c r="EL72" s="432">
        <v>267.06767000000002</v>
      </c>
      <c r="EM72" s="432"/>
      <c r="EN72" s="2"/>
      <c r="EO72" s="2"/>
      <c r="EP72" s="2">
        <f t="shared" ref="EP72:EP135" si="358">EQ72+ER72+EU72</f>
        <v>14.0562</v>
      </c>
      <c r="EQ72" s="2"/>
      <c r="ER72" s="2">
        <v>14.0562</v>
      </c>
      <c r="ES72" s="2">
        <v>14.0562</v>
      </c>
      <c r="ET72" s="2"/>
      <c r="EU72" s="2"/>
      <c r="EV72" s="141"/>
      <c r="EW72" s="310"/>
      <c r="EX72" s="310"/>
      <c r="EY72" s="310"/>
      <c r="EZ72" s="396"/>
      <c r="FA72" s="396"/>
      <c r="FB72" s="310"/>
      <c r="FC72" s="310"/>
      <c r="FD72" s="310"/>
      <c r="FE72" s="396"/>
      <c r="FF72" s="396"/>
      <c r="FG72" s="396"/>
      <c r="FH72" s="311"/>
      <c r="FI72" s="310"/>
      <c r="FJ72" s="296" t="e">
        <f t="shared" si="328"/>
        <v>#DIV/0!</v>
      </c>
      <c r="FK72" s="353">
        <f t="shared" ref="FK72" si="359">FL72+FM72</f>
        <v>947.19974999999999</v>
      </c>
      <c r="FL72" s="353">
        <f t="shared" si="356"/>
        <v>947.19974999999999</v>
      </c>
      <c r="FM72" s="353"/>
      <c r="FN72" s="388">
        <f t="shared" ref="FN72" si="360">FL72/FK72</f>
        <v>1</v>
      </c>
      <c r="FO72" s="388">
        <f t="shared" ref="FO72" si="361">FM72/FK72</f>
        <v>0</v>
      </c>
      <c r="FP72" s="353">
        <f t="shared" ref="FP72" si="362">FQ72+FR72</f>
        <v>281.12387000000001</v>
      </c>
      <c r="FQ72" s="353">
        <f t="shared" ref="FQ72" si="363">EK72</f>
        <v>267.06767000000002</v>
      </c>
      <c r="FR72" s="353">
        <f t="shared" ref="FR72" si="364">ER72</f>
        <v>14.0562</v>
      </c>
      <c r="FS72" s="388">
        <f t="shared" ref="FS72" si="365">FQ72/FP72</f>
        <v>0.94999997687851978</v>
      </c>
      <c r="FT72" s="388">
        <f t="shared" ref="FT72" si="366">FR72/FP72</f>
        <v>5.0000023121480219E-2</v>
      </c>
      <c r="FU72" s="388"/>
      <c r="FV72" s="353">
        <f t="shared" ref="FV72" si="367">FP72*FN72</f>
        <v>281.12387000000001</v>
      </c>
      <c r="FW72" s="353">
        <f t="shared" si="77"/>
        <v>-14.05619999999999</v>
      </c>
      <c r="FX72" s="310"/>
      <c r="FY72" s="310"/>
      <c r="FZ72" s="310"/>
      <c r="GA72" s="396"/>
      <c r="GB72" s="396"/>
      <c r="GC72" s="310"/>
      <c r="GD72" s="310"/>
      <c r="GE72" s="310"/>
      <c r="GF72" s="396"/>
      <c r="GG72" s="396"/>
      <c r="GH72" s="396"/>
      <c r="GI72" s="311"/>
      <c r="GJ72" s="344"/>
      <c r="GK72" s="303">
        <f t="shared" ref="GK72:GK135" si="368">BW72/AB72</f>
        <v>0.28195488809121627</v>
      </c>
    </row>
    <row r="73" spans="2:193" s="37" customFormat="1" ht="15.6" customHeight="1" x14ac:dyDescent="0.25">
      <c r="B73" s="29"/>
      <c r="C73" s="30"/>
      <c r="D73" s="30">
        <v>1</v>
      </c>
      <c r="E73" s="493">
        <v>57</v>
      </c>
      <c r="F73" s="29"/>
      <c r="G73" s="30"/>
      <c r="H73" s="30"/>
      <c r="M73" s="493">
        <v>41</v>
      </c>
      <c r="N73" s="494" t="s">
        <v>203</v>
      </c>
      <c r="O73" s="494"/>
      <c r="P73" s="494">
        <f t="shared" si="49"/>
        <v>0</v>
      </c>
      <c r="Q73" s="494" t="s">
        <v>701</v>
      </c>
      <c r="R73" s="494" t="s">
        <v>699</v>
      </c>
      <c r="S73" s="494" t="s">
        <v>522</v>
      </c>
      <c r="T73" s="156">
        <v>2</v>
      </c>
      <c r="U73" s="493"/>
      <c r="V73" s="2">
        <f t="shared" ref="V73:V136" si="369">W73+X73+AA73</f>
        <v>537.6</v>
      </c>
      <c r="W73" s="2"/>
      <c r="X73" s="198">
        <f t="shared" si="227"/>
        <v>537.6</v>
      </c>
      <c r="Y73" s="198">
        <v>169.4</v>
      </c>
      <c r="Z73" s="42">
        <v>368.2</v>
      </c>
      <c r="AA73" s="2"/>
      <c r="AB73" s="567">
        <f t="shared" si="307"/>
        <v>537.6</v>
      </c>
      <c r="AC73" s="567"/>
      <c r="AD73" s="568">
        <f t="shared" si="229"/>
        <v>537.6</v>
      </c>
      <c r="AE73" s="568">
        <v>169.4</v>
      </c>
      <c r="AF73" s="569">
        <v>368.2</v>
      </c>
      <c r="AG73" s="567"/>
      <c r="AH73" s="580"/>
      <c r="AI73" s="567">
        <f t="shared" si="308"/>
        <v>6.9</v>
      </c>
      <c r="AJ73" s="567"/>
      <c r="AK73" s="568">
        <v>6.9</v>
      </c>
      <c r="AL73" s="567"/>
      <c r="AM73" s="580"/>
      <c r="AN73" s="567">
        <f t="shared" si="309"/>
        <v>6.9</v>
      </c>
      <c r="AO73" s="567"/>
      <c r="AP73" s="568">
        <v>6.9</v>
      </c>
      <c r="AQ73" s="567"/>
      <c r="AR73" s="580"/>
      <c r="AS73" s="567">
        <f t="shared" si="310"/>
        <v>3</v>
      </c>
      <c r="AT73" s="567"/>
      <c r="AU73" s="568">
        <v>3</v>
      </c>
      <c r="AV73" s="567"/>
      <c r="AW73" s="580"/>
      <c r="AX73" s="425" t="s">
        <v>395</v>
      </c>
      <c r="AY73" s="567">
        <f t="shared" si="150"/>
        <v>537.6</v>
      </c>
      <c r="AZ73" s="567"/>
      <c r="BA73" s="568">
        <f t="shared" si="311"/>
        <v>537.6</v>
      </c>
      <c r="BB73" s="568">
        <v>169.4</v>
      </c>
      <c r="BC73" s="569">
        <v>368.2</v>
      </c>
      <c r="BD73" s="567"/>
      <c r="BE73" s="567"/>
      <c r="BF73" s="567">
        <f t="shared" ref="BF73:BF136" si="370">BG73+BH73+BK73</f>
        <v>0</v>
      </c>
      <c r="BG73" s="567">
        <f t="shared" ref="BG73:BG136" si="371">AC73-AZ73</f>
        <v>0</v>
      </c>
      <c r="BH73" s="567">
        <f t="shared" ref="BH73:BH136" si="372">BI73+BJ73</f>
        <v>0</v>
      </c>
      <c r="BI73" s="567">
        <f t="shared" ref="BI73:BI136" si="373">AE73-BB73</f>
        <v>0</v>
      </c>
      <c r="BJ73" s="567">
        <f t="shared" ref="BJ73:BJ136" si="374">AF73-BC73</f>
        <v>0</v>
      </c>
      <c r="BK73" s="567">
        <f t="shared" ref="BK73:BK136" si="375">AG73-BD73</f>
        <v>0</v>
      </c>
      <c r="BL73" s="567" t="e">
        <f>#REF!-BE73</f>
        <v>#REF!</v>
      </c>
      <c r="BM73" s="567">
        <f t="shared" si="312"/>
        <v>0</v>
      </c>
      <c r="BN73" s="567"/>
      <c r="BO73" s="567"/>
      <c r="BP73" s="567"/>
      <c r="BQ73" s="567"/>
      <c r="BR73" s="567">
        <f t="shared" si="313"/>
        <v>0</v>
      </c>
      <c r="BS73" s="567"/>
      <c r="BT73" s="567"/>
      <c r="BU73" s="567"/>
      <c r="BV73" s="567"/>
      <c r="BW73" s="567">
        <f t="shared" si="314"/>
        <v>537.6</v>
      </c>
      <c r="BX73" s="567"/>
      <c r="BY73" s="578">
        <f t="shared" ref="BY73:BY136" si="376">BZ73+CA73</f>
        <v>537.6</v>
      </c>
      <c r="BZ73" s="571">
        <v>169.4</v>
      </c>
      <c r="CA73" s="571">
        <v>368.2</v>
      </c>
      <c r="CB73" s="567"/>
      <c r="CC73" s="567"/>
      <c r="CD73" s="567">
        <f t="shared" si="315"/>
        <v>537.6</v>
      </c>
      <c r="CE73" s="567"/>
      <c r="CF73" s="578">
        <f t="shared" ref="CF73:CF136" si="377">CG73+CH73</f>
        <v>537.6</v>
      </c>
      <c r="CG73" s="571">
        <v>169.4</v>
      </c>
      <c r="CH73" s="571">
        <v>368.2</v>
      </c>
      <c r="CI73" s="567"/>
      <c r="CJ73" s="567"/>
      <c r="CK73" s="567">
        <f t="shared" si="316"/>
        <v>69.141599999999997</v>
      </c>
      <c r="CL73" s="567"/>
      <c r="CM73" s="567">
        <f t="shared" ref="CM73:CM133" si="378">CN73+CO73</f>
        <v>69.141599999999997</v>
      </c>
      <c r="CN73" s="567">
        <v>27.055599999999998</v>
      </c>
      <c r="CO73" s="567">
        <v>42.085999999999999</v>
      </c>
      <c r="CP73" s="567"/>
      <c r="CQ73" s="567"/>
      <c r="CR73" s="573">
        <f t="shared" si="317"/>
        <v>606.74160000000006</v>
      </c>
      <c r="CS73" s="567">
        <f t="shared" ref="CS73:CS136" si="379">CT73+CU73+CV73</f>
        <v>606.74160000000006</v>
      </c>
      <c r="CT73" s="567">
        <f t="shared" ref="CT73:CT136" si="380">CE73+CL73</f>
        <v>0</v>
      </c>
      <c r="CU73" s="567">
        <f t="shared" ref="CU73:CU136" si="381">CF73+CM73</f>
        <v>606.74160000000006</v>
      </c>
      <c r="CV73" s="567">
        <f t="shared" ref="CV73:CV136" si="382">CI73+CP73</f>
        <v>0</v>
      </c>
      <c r="CW73" s="567">
        <f t="shared" si="318"/>
        <v>0</v>
      </c>
      <c r="CX73" s="567">
        <f t="shared" ca="1" si="182"/>
        <v>0</v>
      </c>
      <c r="CY73" s="567">
        <f t="shared" ref="CY73:CY136" si="383">BX73-CE73</f>
        <v>0</v>
      </c>
      <c r="CZ73" s="567">
        <f t="shared" ref="CZ73:CZ136" si="384">BY73-CF73</f>
        <v>0</v>
      </c>
      <c r="DA73" s="567">
        <f t="shared" ref="DA73:DA136" si="385">CB73-CI73</f>
        <v>0</v>
      </c>
      <c r="DB73" s="2">
        <f t="shared" si="319"/>
        <v>0</v>
      </c>
      <c r="DC73" s="76"/>
      <c r="DD73" s="253"/>
      <c r="DE73" s="253"/>
      <c r="DF73" s="2">
        <f t="shared" si="320"/>
        <v>0</v>
      </c>
      <c r="DG73" s="2"/>
      <c r="DH73" s="2"/>
      <c r="DI73" s="2"/>
      <c r="DJ73" s="2"/>
      <c r="DK73" s="2">
        <f t="shared" si="321"/>
        <v>0</v>
      </c>
      <c r="DL73" s="2"/>
      <c r="DM73" s="2"/>
      <c r="DN73" s="2"/>
      <c r="DO73" s="2"/>
      <c r="DP73" s="2">
        <f t="shared" si="322"/>
        <v>0</v>
      </c>
      <c r="DQ73" s="2">
        <f t="shared" si="329"/>
        <v>0</v>
      </c>
      <c r="DR73" s="2">
        <f t="shared" si="329"/>
        <v>0</v>
      </c>
      <c r="DS73" s="2">
        <f t="shared" si="329"/>
        <v>0</v>
      </c>
      <c r="DT73" s="2">
        <f t="shared" si="329"/>
        <v>0</v>
      </c>
      <c r="DU73" s="2"/>
      <c r="DV73" s="2"/>
      <c r="DW73" s="2"/>
      <c r="DX73" s="2">
        <f t="shared" ca="1" si="323"/>
        <v>0</v>
      </c>
      <c r="DY73" s="46"/>
      <c r="DZ73" s="2">
        <f t="shared" si="324"/>
        <v>537.6</v>
      </c>
      <c r="EA73" s="2">
        <f t="shared" si="325"/>
        <v>537.6</v>
      </c>
      <c r="EB73" s="46"/>
      <c r="EC73" s="2"/>
      <c r="ED73" s="2"/>
      <c r="EE73" s="46"/>
      <c r="EF73" s="2"/>
      <c r="EG73" s="46"/>
      <c r="EH73" s="46"/>
      <c r="EI73" s="2">
        <f t="shared" si="357"/>
        <v>537.6</v>
      </c>
      <c r="EJ73" s="2"/>
      <c r="EK73" s="433">
        <f t="shared" ref="EK73:EK136" si="386">EL73+EM73</f>
        <v>537.6</v>
      </c>
      <c r="EL73" s="446">
        <v>169.4</v>
      </c>
      <c r="EM73" s="446">
        <v>368.2</v>
      </c>
      <c r="EN73" s="2"/>
      <c r="EO73" s="2"/>
      <c r="EP73" s="2">
        <f t="shared" si="358"/>
        <v>69.141599999999997</v>
      </c>
      <c r="EQ73" s="2"/>
      <c r="ER73" s="2">
        <f t="shared" ref="ER73:ER133" si="387">ES73+ET73</f>
        <v>69.141599999999997</v>
      </c>
      <c r="ES73" s="2">
        <v>27.055599999999998</v>
      </c>
      <c r="ET73" s="2">
        <v>42.085999999999999</v>
      </c>
      <c r="EU73" s="2"/>
      <c r="EV73" s="141"/>
      <c r="EW73" s="310"/>
      <c r="EX73" s="310"/>
      <c r="EY73" s="310"/>
      <c r="EZ73" s="396"/>
      <c r="FA73" s="396"/>
      <c r="FB73" s="310"/>
      <c r="FC73" s="310"/>
      <c r="FD73" s="310"/>
      <c r="FE73" s="396"/>
      <c r="FF73" s="396"/>
      <c r="FG73" s="396"/>
      <c r="FH73" s="311"/>
      <c r="FI73" s="310"/>
      <c r="FJ73" s="296" t="e">
        <f t="shared" si="328"/>
        <v>#DIV/0!</v>
      </c>
      <c r="FK73" s="353">
        <f t="shared" si="73"/>
        <v>537.6</v>
      </c>
      <c r="FL73" s="353">
        <f t="shared" si="356"/>
        <v>537.6</v>
      </c>
      <c r="FM73" s="353"/>
      <c r="FN73" s="388">
        <f t="shared" si="331"/>
        <v>1</v>
      </c>
      <c r="FO73" s="388">
        <f t="shared" si="332"/>
        <v>0</v>
      </c>
      <c r="FP73" s="353">
        <f t="shared" si="75"/>
        <v>606.74160000000006</v>
      </c>
      <c r="FQ73" s="353">
        <f t="shared" si="333"/>
        <v>537.6</v>
      </c>
      <c r="FR73" s="353">
        <f t="shared" si="334"/>
        <v>69.141599999999997</v>
      </c>
      <c r="FS73" s="388">
        <f t="shared" si="335"/>
        <v>0.88604440506469306</v>
      </c>
      <c r="FT73" s="388">
        <f t="shared" si="336"/>
        <v>0.11395559493530688</v>
      </c>
      <c r="FU73" s="388"/>
      <c r="FV73" s="353">
        <f t="shared" si="337"/>
        <v>606.74160000000006</v>
      </c>
      <c r="FW73" s="353">
        <f t="shared" si="77"/>
        <v>-69.141600000000039</v>
      </c>
      <c r="FX73" s="310"/>
      <c r="FY73" s="310"/>
      <c r="FZ73" s="310"/>
      <c r="GA73" s="396"/>
      <c r="GB73" s="396"/>
      <c r="GC73" s="310"/>
      <c r="GD73" s="310"/>
      <c r="GE73" s="310"/>
      <c r="GF73" s="396"/>
      <c r="GG73" s="396"/>
      <c r="GH73" s="396"/>
      <c r="GI73" s="311"/>
      <c r="GJ73" s="344"/>
      <c r="GK73" s="303">
        <f t="shared" si="368"/>
        <v>1</v>
      </c>
    </row>
    <row r="74" spans="2:193" s="37" customFormat="1" ht="15.75" customHeight="1" x14ac:dyDescent="0.25">
      <c r="B74" s="29"/>
      <c r="C74" s="30">
        <v>1</v>
      </c>
      <c r="D74" s="30"/>
      <c r="E74" s="493">
        <v>58</v>
      </c>
      <c r="F74" s="29"/>
      <c r="G74" s="30">
        <v>1</v>
      </c>
      <c r="H74" s="30"/>
      <c r="M74" s="493">
        <v>42</v>
      </c>
      <c r="N74" s="494" t="s">
        <v>40</v>
      </c>
      <c r="O74" s="494"/>
      <c r="P74" s="494">
        <f t="shared" ref="P74:P137" si="388">BW74-CD74</f>
        <v>0</v>
      </c>
      <c r="Q74" s="494"/>
      <c r="R74" s="494"/>
      <c r="S74" s="494" t="s">
        <v>652</v>
      </c>
      <c r="T74" s="156">
        <v>2</v>
      </c>
      <c r="U74" s="493"/>
      <c r="V74" s="2">
        <f t="shared" si="369"/>
        <v>1805</v>
      </c>
      <c r="W74" s="2"/>
      <c r="X74" s="198">
        <f t="shared" si="227"/>
        <v>1805</v>
      </c>
      <c r="Y74" s="198">
        <v>568.70000000000005</v>
      </c>
      <c r="Z74" s="42">
        <v>1236.3</v>
      </c>
      <c r="AA74" s="2"/>
      <c r="AB74" s="567">
        <f t="shared" si="307"/>
        <v>1805</v>
      </c>
      <c r="AC74" s="567"/>
      <c r="AD74" s="568">
        <f t="shared" si="229"/>
        <v>1805</v>
      </c>
      <c r="AE74" s="568">
        <v>568.70000000000005</v>
      </c>
      <c r="AF74" s="569">
        <v>1236.3</v>
      </c>
      <c r="AG74" s="567"/>
      <c r="AH74" s="580"/>
      <c r="AI74" s="567">
        <f t="shared" si="308"/>
        <v>547.4</v>
      </c>
      <c r="AJ74" s="567"/>
      <c r="AK74" s="568">
        <v>547.4</v>
      </c>
      <c r="AL74" s="567"/>
      <c r="AM74" s="580"/>
      <c r="AN74" s="567">
        <f t="shared" si="309"/>
        <v>547.4</v>
      </c>
      <c r="AO74" s="567"/>
      <c r="AP74" s="568">
        <v>547.4</v>
      </c>
      <c r="AQ74" s="567"/>
      <c r="AR74" s="580"/>
      <c r="AS74" s="567">
        <f t="shared" si="310"/>
        <v>238</v>
      </c>
      <c r="AT74" s="567"/>
      <c r="AU74" s="568">
        <v>238</v>
      </c>
      <c r="AV74" s="567"/>
      <c r="AW74" s="580"/>
      <c r="AX74" s="425" t="s">
        <v>495</v>
      </c>
      <c r="AY74" s="567">
        <f t="shared" si="150"/>
        <v>1805</v>
      </c>
      <c r="AZ74" s="567"/>
      <c r="BA74" s="568">
        <f t="shared" si="311"/>
        <v>1805</v>
      </c>
      <c r="BB74" s="568">
        <v>568.70000000000005</v>
      </c>
      <c r="BC74" s="569">
        <v>1236.3</v>
      </c>
      <c r="BD74" s="567"/>
      <c r="BE74" s="567"/>
      <c r="BF74" s="567">
        <f t="shared" si="370"/>
        <v>0</v>
      </c>
      <c r="BG74" s="567">
        <f t="shared" si="371"/>
        <v>0</v>
      </c>
      <c r="BH74" s="567">
        <f t="shared" si="372"/>
        <v>0</v>
      </c>
      <c r="BI74" s="567">
        <f t="shared" si="373"/>
        <v>0</v>
      </c>
      <c r="BJ74" s="567">
        <f t="shared" si="374"/>
        <v>0</v>
      </c>
      <c r="BK74" s="567">
        <f t="shared" si="375"/>
        <v>0</v>
      </c>
      <c r="BL74" s="567" t="e">
        <f>#REF!-BE74</f>
        <v>#REF!</v>
      </c>
      <c r="BM74" s="567">
        <f t="shared" si="312"/>
        <v>547.4</v>
      </c>
      <c r="BN74" s="567"/>
      <c r="BO74" s="568">
        <v>547.4</v>
      </c>
      <c r="BP74" s="567"/>
      <c r="BQ74" s="567"/>
      <c r="BR74" s="567">
        <f t="shared" si="313"/>
        <v>0</v>
      </c>
      <c r="BS74" s="567"/>
      <c r="BT74" s="567"/>
      <c r="BU74" s="567"/>
      <c r="BV74" s="567"/>
      <c r="BW74" s="567">
        <f t="shared" si="314"/>
        <v>321.31549999999999</v>
      </c>
      <c r="BX74" s="567"/>
      <c r="BY74" s="578">
        <f t="shared" si="376"/>
        <v>321.31549999999999</v>
      </c>
      <c r="BZ74" s="571">
        <v>321.31549999999999</v>
      </c>
      <c r="CA74" s="571"/>
      <c r="CB74" s="567"/>
      <c r="CC74" s="567"/>
      <c r="CD74" s="567">
        <f t="shared" si="315"/>
        <v>321.31549999999999</v>
      </c>
      <c r="CE74" s="567"/>
      <c r="CF74" s="578">
        <f t="shared" si="377"/>
        <v>321.31549999999999</v>
      </c>
      <c r="CG74" s="571">
        <v>321.31549999999999</v>
      </c>
      <c r="CH74" s="571"/>
      <c r="CI74" s="567"/>
      <c r="CJ74" s="567"/>
      <c r="CK74" s="567">
        <f t="shared" si="316"/>
        <v>282.5</v>
      </c>
      <c r="CL74" s="567"/>
      <c r="CM74" s="567">
        <v>282.5</v>
      </c>
      <c r="CN74" s="567"/>
      <c r="CO74" s="567"/>
      <c r="CP74" s="567"/>
      <c r="CQ74" s="567"/>
      <c r="CR74" s="573">
        <f t="shared" si="317"/>
        <v>603.81549999999993</v>
      </c>
      <c r="CS74" s="567">
        <f t="shared" si="379"/>
        <v>603.81549999999993</v>
      </c>
      <c r="CT74" s="567">
        <f t="shared" si="380"/>
        <v>0</v>
      </c>
      <c r="CU74" s="567">
        <f t="shared" si="381"/>
        <v>603.81549999999993</v>
      </c>
      <c r="CV74" s="567">
        <f t="shared" si="382"/>
        <v>0</v>
      </c>
      <c r="CW74" s="567">
        <f t="shared" si="318"/>
        <v>0</v>
      </c>
      <c r="CX74" s="567">
        <f t="shared" ca="1" si="182"/>
        <v>0</v>
      </c>
      <c r="CY74" s="567">
        <f t="shared" si="383"/>
        <v>0</v>
      </c>
      <c r="CZ74" s="567">
        <f t="shared" si="384"/>
        <v>0</v>
      </c>
      <c r="DA74" s="567">
        <f t="shared" si="385"/>
        <v>0</v>
      </c>
      <c r="DB74" s="2">
        <f t="shared" si="319"/>
        <v>0</v>
      </c>
      <c r="DC74" s="76"/>
      <c r="DD74" s="253"/>
      <c r="DE74" s="253"/>
      <c r="DF74" s="2">
        <f t="shared" si="320"/>
        <v>0</v>
      </c>
      <c r="DG74" s="2"/>
      <c r="DH74" s="2"/>
      <c r="DI74" s="2"/>
      <c r="DJ74" s="2"/>
      <c r="DK74" s="2">
        <f t="shared" si="321"/>
        <v>0</v>
      </c>
      <c r="DL74" s="2"/>
      <c r="DM74" s="2"/>
      <c r="DN74" s="2"/>
      <c r="DO74" s="2"/>
      <c r="DP74" s="2">
        <f t="shared" si="322"/>
        <v>0</v>
      </c>
      <c r="DQ74" s="2">
        <f t="shared" si="329"/>
        <v>0</v>
      </c>
      <c r="DR74" s="2">
        <f t="shared" si="329"/>
        <v>0</v>
      </c>
      <c r="DS74" s="2">
        <f t="shared" si="329"/>
        <v>0</v>
      </c>
      <c r="DT74" s="2">
        <f t="shared" si="329"/>
        <v>0</v>
      </c>
      <c r="DU74" s="2"/>
      <c r="DV74" s="2"/>
      <c r="DW74" s="2"/>
      <c r="DX74" s="2">
        <f t="shared" ca="1" si="323"/>
        <v>0</v>
      </c>
      <c r="DY74" s="46"/>
      <c r="DZ74" s="2">
        <f t="shared" si="324"/>
        <v>321.31549999999999</v>
      </c>
      <c r="EA74" s="2">
        <f t="shared" si="325"/>
        <v>321.31549999999999</v>
      </c>
      <c r="EB74" s="46"/>
      <c r="EC74" s="2"/>
      <c r="ED74" s="2"/>
      <c r="EE74" s="46"/>
      <c r="EF74" s="2"/>
      <c r="EG74" s="46"/>
      <c r="EH74" s="46"/>
      <c r="EI74" s="2">
        <f t="shared" si="357"/>
        <v>321.31549999999999</v>
      </c>
      <c r="EJ74" s="2"/>
      <c r="EK74" s="433">
        <f t="shared" si="386"/>
        <v>321.31549999999999</v>
      </c>
      <c r="EL74" s="446">
        <v>321.31549999999999</v>
      </c>
      <c r="EM74" s="446"/>
      <c r="EN74" s="2"/>
      <c r="EO74" s="2"/>
      <c r="EP74" s="2">
        <f t="shared" si="358"/>
        <v>282.5</v>
      </c>
      <c r="EQ74" s="2"/>
      <c r="ER74" s="2">
        <v>282.5</v>
      </c>
      <c r="ES74" s="2">
        <v>282.5</v>
      </c>
      <c r="ET74" s="2"/>
      <c r="EU74" s="2"/>
      <c r="EV74" s="141"/>
      <c r="EW74" s="310"/>
      <c r="EX74" s="310"/>
      <c r="EY74" s="310"/>
      <c r="EZ74" s="396"/>
      <c r="FA74" s="396"/>
      <c r="FB74" s="310"/>
      <c r="FC74" s="310"/>
      <c r="FD74" s="310"/>
      <c r="FE74" s="396"/>
      <c r="FF74" s="396"/>
      <c r="FG74" s="396"/>
      <c r="FH74" s="311"/>
      <c r="FI74" s="310"/>
      <c r="FJ74" s="296" t="e">
        <f t="shared" si="328"/>
        <v>#DIV/0!</v>
      </c>
      <c r="FK74" s="353">
        <f t="shared" ref="FK74:FK137" si="389">FL74+FM74</f>
        <v>1805</v>
      </c>
      <c r="FL74" s="353">
        <f t="shared" si="356"/>
        <v>1805</v>
      </c>
      <c r="FM74" s="353"/>
      <c r="FN74" s="388">
        <f t="shared" si="331"/>
        <v>1</v>
      </c>
      <c r="FO74" s="388">
        <f t="shared" si="332"/>
        <v>0</v>
      </c>
      <c r="FP74" s="353">
        <f t="shared" ref="FP74:FP137" si="390">FQ74+FR74</f>
        <v>603.81549999999993</v>
      </c>
      <c r="FQ74" s="353">
        <f t="shared" si="333"/>
        <v>321.31549999999999</v>
      </c>
      <c r="FR74" s="353">
        <f t="shared" si="334"/>
        <v>282.5</v>
      </c>
      <c r="FS74" s="388">
        <f t="shared" si="335"/>
        <v>0.53214185458968843</v>
      </c>
      <c r="FT74" s="388">
        <f t="shared" si="336"/>
        <v>0.46785814541031162</v>
      </c>
      <c r="FU74" s="388"/>
      <c r="FV74" s="353">
        <f t="shared" si="337"/>
        <v>603.81549999999993</v>
      </c>
      <c r="FW74" s="353">
        <f t="shared" ref="FW74:FW137" si="391">FQ74-FV74</f>
        <v>-282.49999999999994</v>
      </c>
      <c r="FX74" s="310"/>
      <c r="FY74" s="310"/>
      <c r="FZ74" s="310"/>
      <c r="GA74" s="396"/>
      <c r="GB74" s="396"/>
      <c r="GC74" s="310"/>
      <c r="GD74" s="310"/>
      <c r="GE74" s="310"/>
      <c r="GF74" s="396"/>
      <c r="GG74" s="396"/>
      <c r="GH74" s="396"/>
      <c r="GI74" s="311"/>
      <c r="GJ74" s="344"/>
      <c r="GK74" s="303">
        <f t="shared" si="368"/>
        <v>0.17801412742382269</v>
      </c>
    </row>
    <row r="75" spans="2:193" s="37" customFormat="1" ht="15.6" customHeight="1" x14ac:dyDescent="0.25">
      <c r="B75" s="29"/>
      <c r="C75" s="30"/>
      <c r="D75" s="30">
        <v>1</v>
      </c>
      <c r="E75" s="493">
        <v>59</v>
      </c>
      <c r="F75" s="29"/>
      <c r="G75" s="30"/>
      <c r="H75" s="30">
        <v>1</v>
      </c>
      <c r="I75" s="493"/>
      <c r="J75" s="494"/>
      <c r="K75" s="494"/>
      <c r="L75" s="53"/>
      <c r="M75" s="493">
        <v>43</v>
      </c>
      <c r="N75" s="494" t="s">
        <v>95</v>
      </c>
      <c r="O75" s="494"/>
      <c r="P75" s="494">
        <f t="shared" si="388"/>
        <v>0</v>
      </c>
      <c r="Q75" s="494"/>
      <c r="R75" s="494"/>
      <c r="S75" s="494" t="s">
        <v>613</v>
      </c>
      <c r="T75" s="156">
        <v>3</v>
      </c>
      <c r="U75" s="493"/>
      <c r="V75" s="2">
        <f t="shared" si="369"/>
        <v>5740.7719999999999</v>
      </c>
      <c r="W75" s="2"/>
      <c r="X75" s="198">
        <f t="shared" si="227"/>
        <v>4330.5</v>
      </c>
      <c r="Y75" s="198">
        <f>796.6+1153.5</f>
        <v>1950.1</v>
      </c>
      <c r="Z75" s="42">
        <v>2380.4</v>
      </c>
      <c r="AA75" s="2">
        <v>1410.2719999999999</v>
      </c>
      <c r="AB75" s="567">
        <f t="shared" si="307"/>
        <v>5740.7719999999999</v>
      </c>
      <c r="AC75" s="567"/>
      <c r="AD75" s="568">
        <f t="shared" si="229"/>
        <v>4330.5</v>
      </c>
      <c r="AE75" s="568">
        <f>796.6+1153.5</f>
        <v>1950.1</v>
      </c>
      <c r="AF75" s="569">
        <v>2380.4</v>
      </c>
      <c r="AG75" s="567">
        <v>1410.2719999999999</v>
      </c>
      <c r="AH75" s="570"/>
      <c r="AI75" s="567">
        <f t="shared" si="308"/>
        <v>816.5</v>
      </c>
      <c r="AJ75" s="567"/>
      <c r="AK75" s="568">
        <v>816.5</v>
      </c>
      <c r="AL75" s="567"/>
      <c r="AM75" s="570"/>
      <c r="AN75" s="567">
        <f t="shared" si="309"/>
        <v>816.5</v>
      </c>
      <c r="AO75" s="567"/>
      <c r="AP75" s="568">
        <v>816.5</v>
      </c>
      <c r="AQ75" s="567"/>
      <c r="AR75" s="570"/>
      <c r="AS75" s="567">
        <f t="shared" si="310"/>
        <v>355</v>
      </c>
      <c r="AT75" s="567"/>
      <c r="AU75" s="568">
        <v>355</v>
      </c>
      <c r="AV75" s="567"/>
      <c r="AW75" s="570"/>
      <c r="AX75" s="409" t="s">
        <v>467</v>
      </c>
      <c r="AY75" s="567">
        <f t="shared" si="150"/>
        <v>5740.7716700000001</v>
      </c>
      <c r="AZ75" s="567"/>
      <c r="BA75" s="568">
        <f t="shared" si="311"/>
        <v>4330.4999900000003</v>
      </c>
      <c r="BB75" s="568">
        <f>796.6+1153.49999</f>
        <v>1950.0999900000002</v>
      </c>
      <c r="BC75" s="569">
        <v>2380.4</v>
      </c>
      <c r="BD75" s="567">
        <v>1410.2716800000001</v>
      </c>
      <c r="BE75" s="570"/>
      <c r="BF75" s="567">
        <f t="shared" si="370"/>
        <v>3.2999999962157744E-4</v>
      </c>
      <c r="BG75" s="567">
        <f t="shared" si="371"/>
        <v>0</v>
      </c>
      <c r="BH75" s="567">
        <f t="shared" si="372"/>
        <v>9.9999997473787516E-6</v>
      </c>
      <c r="BI75" s="567">
        <f t="shared" si="373"/>
        <v>9.9999997473787516E-6</v>
      </c>
      <c r="BJ75" s="567">
        <f t="shared" si="374"/>
        <v>0</v>
      </c>
      <c r="BK75" s="567">
        <f t="shared" si="375"/>
        <v>3.1999999987419869E-4</v>
      </c>
      <c r="BL75" s="567" t="e">
        <f>#REF!-BE75</f>
        <v>#REF!</v>
      </c>
      <c r="BM75" s="567">
        <f t="shared" si="312"/>
        <v>1213.2449999999999</v>
      </c>
      <c r="BN75" s="567"/>
      <c r="BO75" s="568">
        <f>355+461.5+396.745</f>
        <v>1213.2449999999999</v>
      </c>
      <c r="BP75" s="567"/>
      <c r="BQ75" s="570"/>
      <c r="BR75" s="567">
        <f t="shared" si="313"/>
        <v>0</v>
      </c>
      <c r="BS75" s="567"/>
      <c r="BT75" s="570"/>
      <c r="BU75" s="567"/>
      <c r="BV75" s="570"/>
      <c r="BW75" s="567">
        <f t="shared" si="314"/>
        <v>4368.71749</v>
      </c>
      <c r="BX75" s="567"/>
      <c r="BY75" s="568">
        <f t="shared" si="376"/>
        <v>3416.35421</v>
      </c>
      <c r="BZ75" s="571">
        <f>701.80015+797.62513-463.47107</f>
        <v>1035.9542099999999</v>
      </c>
      <c r="CA75" s="571">
        <f>246.02553+782.69428+347.59701+540.61211+463.47107</f>
        <v>2380.4</v>
      </c>
      <c r="CB75" s="574">
        <v>952.36328000000003</v>
      </c>
      <c r="CC75" s="577"/>
      <c r="CD75" s="567">
        <f t="shared" si="315"/>
        <v>4368.71749</v>
      </c>
      <c r="CE75" s="567"/>
      <c r="CF75" s="568">
        <f t="shared" si="377"/>
        <v>3416.35421</v>
      </c>
      <c r="CG75" s="571">
        <f>701.80015+797.62513-463.47107</f>
        <v>1035.9542099999999</v>
      </c>
      <c r="CH75" s="571">
        <f>246.02553+782.69428+347.59701+540.61211+463.47107</f>
        <v>2380.4</v>
      </c>
      <c r="CI75" s="574">
        <v>952.36328000000003</v>
      </c>
      <c r="CJ75" s="577"/>
      <c r="CK75" s="567">
        <f t="shared" si="316"/>
        <v>558.70887000000005</v>
      </c>
      <c r="CL75" s="567"/>
      <c r="CM75" s="567">
        <f t="shared" si="378"/>
        <v>475.89467000000002</v>
      </c>
      <c r="CN75" s="567">
        <f>102.24116+109.79167</f>
        <v>212.03282999999999</v>
      </c>
      <c r="CO75" s="567">
        <f>33.86497+107.73647+47.84611+74.41429</f>
        <v>263.86184000000003</v>
      </c>
      <c r="CP75" s="567">
        <v>82.8142</v>
      </c>
      <c r="CQ75" s="567"/>
      <c r="CR75" s="573">
        <f t="shared" si="317"/>
        <v>4927.4263600000004</v>
      </c>
      <c r="CS75" s="567">
        <f t="shared" si="379"/>
        <v>4927.4263600000004</v>
      </c>
      <c r="CT75" s="567">
        <f t="shared" si="380"/>
        <v>0</v>
      </c>
      <c r="CU75" s="567">
        <f t="shared" si="381"/>
        <v>3892.2488800000001</v>
      </c>
      <c r="CV75" s="567">
        <f t="shared" si="382"/>
        <v>1035.1774800000001</v>
      </c>
      <c r="CW75" s="567">
        <f t="shared" si="318"/>
        <v>0</v>
      </c>
      <c r="CX75" s="567">
        <f t="shared" ca="1" si="182"/>
        <v>0</v>
      </c>
      <c r="CY75" s="567">
        <f t="shared" si="383"/>
        <v>0</v>
      </c>
      <c r="CZ75" s="567">
        <f t="shared" si="384"/>
        <v>0</v>
      </c>
      <c r="DA75" s="567">
        <f t="shared" si="385"/>
        <v>0</v>
      </c>
      <c r="DB75" s="2">
        <f t="shared" si="319"/>
        <v>0</v>
      </c>
      <c r="DC75" s="76"/>
      <c r="DD75" s="253"/>
      <c r="DE75" s="253"/>
      <c r="DF75" s="2">
        <f t="shared" si="320"/>
        <v>0</v>
      </c>
      <c r="DG75" s="2"/>
      <c r="DH75" s="234"/>
      <c r="DI75" s="2"/>
      <c r="DJ75" s="234"/>
      <c r="DK75" s="2">
        <f t="shared" si="321"/>
        <v>0</v>
      </c>
      <c r="DL75" s="2"/>
      <c r="DM75" s="234"/>
      <c r="DN75" s="2"/>
      <c r="DO75" s="234"/>
      <c r="DP75" s="2">
        <f t="shared" si="322"/>
        <v>0</v>
      </c>
      <c r="DQ75" s="2">
        <f t="shared" si="329"/>
        <v>0</v>
      </c>
      <c r="DR75" s="2">
        <f t="shared" si="329"/>
        <v>0</v>
      </c>
      <c r="DS75" s="2">
        <f t="shared" si="329"/>
        <v>0</v>
      </c>
      <c r="DT75" s="2">
        <f t="shared" si="329"/>
        <v>0</v>
      </c>
      <c r="DU75" s="2"/>
      <c r="DV75" s="2"/>
      <c r="DW75" s="2"/>
      <c r="DX75" s="2">
        <f t="shared" ca="1" si="323"/>
        <v>0</v>
      </c>
      <c r="DY75" s="46"/>
      <c r="DZ75" s="2">
        <f t="shared" si="324"/>
        <v>4368.71749</v>
      </c>
      <c r="EA75" s="2">
        <f t="shared" si="325"/>
        <v>4368.71749</v>
      </c>
      <c r="EB75" s="46"/>
      <c r="EC75" s="2"/>
      <c r="ED75" s="2"/>
      <c r="EE75" s="46"/>
      <c r="EF75" s="2"/>
      <c r="EG75" s="46"/>
      <c r="EH75" s="46"/>
      <c r="EI75" s="2">
        <f t="shared" si="357"/>
        <v>4368.71749</v>
      </c>
      <c r="EJ75" s="2"/>
      <c r="EK75" s="198">
        <f t="shared" si="386"/>
        <v>3416.35421</v>
      </c>
      <c r="EL75" s="446">
        <f>701.80015+797.62513-463.47107</f>
        <v>1035.9542099999999</v>
      </c>
      <c r="EM75" s="446">
        <f>246.02553+782.69428+347.59701+540.61211+463.47107</f>
        <v>2380.4</v>
      </c>
      <c r="EN75" s="432">
        <v>952.36328000000003</v>
      </c>
      <c r="EO75" s="236"/>
      <c r="EP75" s="2">
        <f t="shared" si="358"/>
        <v>558.70887000000005</v>
      </c>
      <c r="EQ75" s="2"/>
      <c r="ER75" s="2">
        <f t="shared" si="387"/>
        <v>475.89467000000002</v>
      </c>
      <c r="ES75" s="2">
        <f>102.24116+109.79167</f>
        <v>212.03282999999999</v>
      </c>
      <c r="ET75" s="2">
        <f>33.86497+107.73647+47.84611+74.41429</f>
        <v>263.86184000000003</v>
      </c>
      <c r="EU75" s="2">
        <v>82.8142</v>
      </c>
      <c r="EV75" s="141"/>
      <c r="EW75" s="310"/>
      <c r="EX75" s="310"/>
      <c r="EY75" s="310"/>
      <c r="EZ75" s="396"/>
      <c r="FA75" s="396"/>
      <c r="FB75" s="310"/>
      <c r="FC75" s="310"/>
      <c r="FD75" s="310"/>
      <c r="FE75" s="396"/>
      <c r="FF75" s="396"/>
      <c r="FG75" s="396"/>
      <c r="FH75" s="311"/>
      <c r="FI75" s="310"/>
      <c r="FJ75" s="296" t="e">
        <f t="shared" si="328"/>
        <v>#DIV/0!</v>
      </c>
      <c r="FK75" s="353">
        <f t="shared" si="389"/>
        <v>4330.4999900000003</v>
      </c>
      <c r="FL75" s="353">
        <f t="shared" si="356"/>
        <v>4330.4999900000003</v>
      </c>
      <c r="FM75" s="353"/>
      <c r="FN75" s="388">
        <f t="shared" si="331"/>
        <v>1</v>
      </c>
      <c r="FO75" s="388">
        <f t="shared" si="332"/>
        <v>0</v>
      </c>
      <c r="FP75" s="353">
        <f t="shared" si="390"/>
        <v>3892.2488800000001</v>
      </c>
      <c r="FQ75" s="353">
        <f t="shared" si="333"/>
        <v>3416.35421</v>
      </c>
      <c r="FR75" s="353">
        <f t="shared" si="334"/>
        <v>475.89467000000002</v>
      </c>
      <c r="FS75" s="388">
        <f t="shared" si="335"/>
        <v>0.87773272350456677</v>
      </c>
      <c r="FT75" s="388">
        <f t="shared" si="336"/>
        <v>0.12226727649543315</v>
      </c>
      <c r="FU75" s="388"/>
      <c r="FV75" s="353">
        <f t="shared" si="337"/>
        <v>3892.2488800000001</v>
      </c>
      <c r="FW75" s="353">
        <f t="shared" si="391"/>
        <v>-475.89467000000013</v>
      </c>
      <c r="FX75" s="310">
        <f t="shared" ref="FX75" si="392">FY75+FZ75</f>
        <v>1410.2716800000001</v>
      </c>
      <c r="FY75" s="310">
        <f>BD75</f>
        <v>1410.2716800000001</v>
      </c>
      <c r="FZ75" s="310"/>
      <c r="GA75" s="396">
        <f t="shared" ref="GA75" si="393">FY75/FX75</f>
        <v>1</v>
      </c>
      <c r="GB75" s="396">
        <f t="shared" ref="GB75" si="394">FZ75/FX75</f>
        <v>0</v>
      </c>
      <c r="GC75" s="310">
        <f t="shared" ref="GC75" si="395">GD75+GE75</f>
        <v>1035.1774800000001</v>
      </c>
      <c r="GD75" s="310">
        <f t="shared" ref="GD75" si="396">EN75</f>
        <v>952.36328000000003</v>
      </c>
      <c r="GE75" s="310">
        <f t="shared" ref="GE75" si="397">EU75</f>
        <v>82.8142</v>
      </c>
      <c r="GF75" s="396">
        <f t="shared" ref="GF75" si="398">GD75/GC75</f>
        <v>0.9199999984543713</v>
      </c>
      <c r="GG75" s="396">
        <f t="shared" ref="GG75" si="399">GE75/GC75</f>
        <v>8.0000001545628668E-2</v>
      </c>
      <c r="GH75" s="396"/>
      <c r="GI75" s="311">
        <f t="shared" ref="GI75" si="400">GC75*GA75</f>
        <v>1035.1774800000001</v>
      </c>
      <c r="GJ75" s="344">
        <f t="shared" ref="GJ75" si="401">GD75-GI75</f>
        <v>-82.814200000000028</v>
      </c>
      <c r="GK75" s="303">
        <f t="shared" si="368"/>
        <v>0.76099825772561602</v>
      </c>
    </row>
    <row r="76" spans="2:193" s="37" customFormat="1" ht="16.149999999999999" hidden="1" customHeight="1" x14ac:dyDescent="0.25">
      <c r="B76" s="29"/>
      <c r="C76" s="30">
        <v>1</v>
      </c>
      <c r="D76" s="30"/>
      <c r="E76" s="493">
        <v>60</v>
      </c>
      <c r="F76" s="29"/>
      <c r="G76" s="30">
        <v>1</v>
      </c>
      <c r="H76" s="30">
        <v>1</v>
      </c>
      <c r="I76" s="493"/>
      <c r="J76" s="494"/>
      <c r="K76" s="494"/>
      <c r="L76" s="53"/>
      <c r="M76" s="493">
        <v>44</v>
      </c>
      <c r="N76" s="494" t="s">
        <v>41</v>
      </c>
      <c r="O76" s="494"/>
      <c r="P76" s="494">
        <f t="shared" si="388"/>
        <v>0</v>
      </c>
      <c r="Q76" s="494"/>
      <c r="R76" s="494"/>
      <c r="S76" s="494"/>
      <c r="T76" s="156"/>
      <c r="U76" s="493"/>
      <c r="V76" s="2">
        <f t="shared" si="369"/>
        <v>0</v>
      </c>
      <c r="W76" s="2"/>
      <c r="X76" s="198">
        <f t="shared" si="227"/>
        <v>0</v>
      </c>
      <c r="Y76" s="198">
        <f>1568.9-1568.9</f>
        <v>0</v>
      </c>
      <c r="Z76" s="42">
        <f>3410.7-3410.7</f>
        <v>0</v>
      </c>
      <c r="AA76" s="2"/>
      <c r="AB76" s="567">
        <f t="shared" si="307"/>
        <v>0</v>
      </c>
      <c r="AC76" s="567"/>
      <c r="AD76" s="568">
        <f t="shared" si="229"/>
        <v>0</v>
      </c>
      <c r="AE76" s="568">
        <f>1568.9-1568.9</f>
        <v>0</v>
      </c>
      <c r="AF76" s="569">
        <f>3410.7-3410.7</f>
        <v>0</v>
      </c>
      <c r="AG76" s="567"/>
      <c r="AH76" s="570"/>
      <c r="AI76" s="567">
        <f t="shared" si="308"/>
        <v>1446.7</v>
      </c>
      <c r="AJ76" s="567"/>
      <c r="AK76" s="568">
        <v>1446.7</v>
      </c>
      <c r="AL76" s="567"/>
      <c r="AM76" s="570"/>
      <c r="AN76" s="567">
        <f t="shared" si="309"/>
        <v>1446.7</v>
      </c>
      <c r="AO76" s="567"/>
      <c r="AP76" s="568">
        <v>1446.7</v>
      </c>
      <c r="AQ76" s="567"/>
      <c r="AR76" s="570"/>
      <c r="AS76" s="567">
        <f t="shared" si="310"/>
        <v>629</v>
      </c>
      <c r="AT76" s="567"/>
      <c r="AU76" s="568">
        <v>629</v>
      </c>
      <c r="AV76" s="567"/>
      <c r="AW76" s="570"/>
      <c r="AX76" s="425"/>
      <c r="AY76" s="567">
        <f t="shared" si="150"/>
        <v>0</v>
      </c>
      <c r="AZ76" s="567"/>
      <c r="BA76" s="568">
        <f t="shared" si="311"/>
        <v>0</v>
      </c>
      <c r="BB76" s="568"/>
      <c r="BC76" s="569"/>
      <c r="BD76" s="567"/>
      <c r="BE76" s="570"/>
      <c r="BF76" s="567">
        <f t="shared" si="370"/>
        <v>0</v>
      </c>
      <c r="BG76" s="567">
        <f t="shared" si="371"/>
        <v>0</v>
      </c>
      <c r="BH76" s="567">
        <f t="shared" si="372"/>
        <v>0</v>
      </c>
      <c r="BI76" s="567">
        <f t="shared" si="373"/>
        <v>0</v>
      </c>
      <c r="BJ76" s="567">
        <f t="shared" si="374"/>
        <v>0</v>
      </c>
      <c r="BK76" s="567">
        <f t="shared" si="375"/>
        <v>0</v>
      </c>
      <c r="BL76" s="567" t="e">
        <f>#REF!-BE76</f>
        <v>#REF!</v>
      </c>
      <c r="BM76" s="567">
        <f t="shared" si="312"/>
        <v>2126.6999999999998</v>
      </c>
      <c r="BN76" s="567"/>
      <c r="BO76" s="568">
        <f>629+817.7</f>
        <v>1446.7</v>
      </c>
      <c r="BP76" s="567">
        <v>680</v>
      </c>
      <c r="BQ76" s="570"/>
      <c r="BR76" s="567">
        <f t="shared" si="313"/>
        <v>0</v>
      </c>
      <c r="BS76" s="567"/>
      <c r="BT76" s="568"/>
      <c r="BU76" s="567"/>
      <c r="BV76" s="570"/>
      <c r="BW76" s="567">
        <f t="shared" si="314"/>
        <v>0</v>
      </c>
      <c r="BX76" s="567"/>
      <c r="BY76" s="578">
        <f t="shared" si="376"/>
        <v>0</v>
      </c>
      <c r="BZ76" s="571"/>
      <c r="CA76" s="571"/>
      <c r="CB76" s="567"/>
      <c r="CC76" s="577"/>
      <c r="CD76" s="567">
        <f t="shared" si="315"/>
        <v>0</v>
      </c>
      <c r="CE76" s="567"/>
      <c r="CF76" s="578">
        <f t="shared" si="377"/>
        <v>0</v>
      </c>
      <c r="CG76" s="571"/>
      <c r="CH76" s="571"/>
      <c r="CI76" s="567"/>
      <c r="CJ76" s="577"/>
      <c r="CK76" s="567">
        <f t="shared" si="316"/>
        <v>0</v>
      </c>
      <c r="CL76" s="567"/>
      <c r="CM76" s="568">
        <f t="shared" si="378"/>
        <v>0</v>
      </c>
      <c r="CN76" s="569"/>
      <c r="CO76" s="569"/>
      <c r="CP76" s="567"/>
      <c r="CQ76" s="567"/>
      <c r="CR76" s="573">
        <f t="shared" si="317"/>
        <v>0</v>
      </c>
      <c r="CS76" s="567">
        <f t="shared" si="379"/>
        <v>0</v>
      </c>
      <c r="CT76" s="567">
        <f t="shared" si="380"/>
        <v>0</v>
      </c>
      <c r="CU76" s="567">
        <f t="shared" si="381"/>
        <v>0</v>
      </c>
      <c r="CV76" s="567">
        <f t="shared" si="382"/>
        <v>0</v>
      </c>
      <c r="CW76" s="567">
        <f t="shared" si="318"/>
        <v>0</v>
      </c>
      <c r="CX76" s="567">
        <f t="shared" ca="1" si="182"/>
        <v>0</v>
      </c>
      <c r="CY76" s="567">
        <f t="shared" si="383"/>
        <v>0</v>
      </c>
      <c r="CZ76" s="567">
        <f t="shared" si="384"/>
        <v>0</v>
      </c>
      <c r="DA76" s="567">
        <f t="shared" si="385"/>
        <v>0</v>
      </c>
      <c r="DB76" s="2">
        <f t="shared" si="319"/>
        <v>0</v>
      </c>
      <c r="DC76" s="76"/>
      <c r="DD76" s="253"/>
      <c r="DE76" s="253"/>
      <c r="DF76" s="2">
        <f t="shared" si="320"/>
        <v>0</v>
      </c>
      <c r="DG76" s="2"/>
      <c r="DH76" s="198"/>
      <c r="DI76" s="2"/>
      <c r="DJ76" s="234"/>
      <c r="DK76" s="2">
        <f t="shared" si="321"/>
        <v>0</v>
      </c>
      <c r="DL76" s="2"/>
      <c r="DM76" s="198"/>
      <c r="DN76" s="2"/>
      <c r="DO76" s="234"/>
      <c r="DP76" s="2">
        <f t="shared" si="322"/>
        <v>0</v>
      </c>
      <c r="DQ76" s="2">
        <f t="shared" si="329"/>
        <v>0</v>
      </c>
      <c r="DR76" s="2">
        <f t="shared" si="329"/>
        <v>0</v>
      </c>
      <c r="DS76" s="2">
        <f t="shared" si="329"/>
        <v>0</v>
      </c>
      <c r="DT76" s="2">
        <f t="shared" si="329"/>
        <v>0</v>
      </c>
      <c r="DU76" s="2"/>
      <c r="DV76" s="2"/>
      <c r="DW76" s="2"/>
      <c r="DX76" s="2">
        <f t="shared" ca="1" si="323"/>
        <v>0</v>
      </c>
      <c r="DY76" s="46"/>
      <c r="DZ76" s="2">
        <f t="shared" si="324"/>
        <v>0</v>
      </c>
      <c r="EA76" s="2">
        <f t="shared" si="325"/>
        <v>0</v>
      </c>
      <c r="EB76" s="46"/>
      <c r="EC76" s="2"/>
      <c r="ED76" s="2"/>
      <c r="EE76" s="46"/>
      <c r="EF76" s="2"/>
      <c r="EG76" s="46"/>
      <c r="EH76" s="46"/>
      <c r="EI76" s="2">
        <f t="shared" si="357"/>
        <v>0</v>
      </c>
      <c r="EJ76" s="2"/>
      <c r="EK76" s="433">
        <f t="shared" si="386"/>
        <v>0</v>
      </c>
      <c r="EL76" s="446"/>
      <c r="EM76" s="446"/>
      <c r="EN76" s="2"/>
      <c r="EO76" s="236"/>
      <c r="EP76" s="2">
        <f t="shared" si="358"/>
        <v>0</v>
      </c>
      <c r="EQ76" s="2"/>
      <c r="ER76" s="198">
        <f t="shared" si="387"/>
        <v>0</v>
      </c>
      <c r="ES76" s="42"/>
      <c r="ET76" s="42"/>
      <c r="EU76" s="2"/>
      <c r="EV76" s="141"/>
      <c r="EW76" s="310"/>
      <c r="EX76" s="310"/>
      <c r="EY76" s="317"/>
      <c r="EZ76" s="396"/>
      <c r="FA76" s="396"/>
      <c r="FB76" s="310"/>
      <c r="FC76" s="310"/>
      <c r="FD76" s="317"/>
      <c r="FE76" s="396"/>
      <c r="FF76" s="396"/>
      <c r="FG76" s="396"/>
      <c r="FH76" s="311"/>
      <c r="FI76" s="310"/>
      <c r="FJ76" s="296" t="e">
        <f t="shared" si="328"/>
        <v>#DIV/0!</v>
      </c>
      <c r="FK76" s="353">
        <f t="shared" si="389"/>
        <v>0</v>
      </c>
      <c r="FL76" s="353">
        <f t="shared" si="356"/>
        <v>0</v>
      </c>
      <c r="FM76" s="358"/>
      <c r="FN76" s="388" t="e">
        <f t="shared" si="331"/>
        <v>#DIV/0!</v>
      </c>
      <c r="FO76" s="388" t="e">
        <f t="shared" si="332"/>
        <v>#DIV/0!</v>
      </c>
      <c r="FP76" s="353">
        <f t="shared" si="390"/>
        <v>0</v>
      </c>
      <c r="FQ76" s="353">
        <f t="shared" si="333"/>
        <v>0</v>
      </c>
      <c r="FR76" s="358">
        <f t="shared" si="334"/>
        <v>0</v>
      </c>
      <c r="FS76" s="388" t="e">
        <f t="shared" si="335"/>
        <v>#DIV/0!</v>
      </c>
      <c r="FT76" s="388" t="e">
        <f t="shared" si="336"/>
        <v>#DIV/0!</v>
      </c>
      <c r="FU76" s="388"/>
      <c r="FV76" s="353" t="e">
        <f t="shared" si="337"/>
        <v>#DIV/0!</v>
      </c>
      <c r="FW76" s="353" t="e">
        <f t="shared" si="391"/>
        <v>#DIV/0!</v>
      </c>
      <c r="FX76" s="310"/>
      <c r="FY76" s="310"/>
      <c r="FZ76" s="317"/>
      <c r="GA76" s="396"/>
      <c r="GB76" s="396"/>
      <c r="GC76" s="310"/>
      <c r="GD76" s="310"/>
      <c r="GE76" s="317"/>
      <c r="GF76" s="396"/>
      <c r="GG76" s="396"/>
      <c r="GH76" s="396"/>
      <c r="GI76" s="311"/>
      <c r="GJ76" s="344"/>
      <c r="GK76" s="303" t="e">
        <f t="shared" si="368"/>
        <v>#DIV/0!</v>
      </c>
    </row>
    <row r="77" spans="2:193" s="37" customFormat="1" ht="15.6" customHeight="1" x14ac:dyDescent="0.25">
      <c r="B77" s="29"/>
      <c r="C77" s="30">
        <v>1</v>
      </c>
      <c r="D77" s="30"/>
      <c r="E77" s="493">
        <v>61</v>
      </c>
      <c r="F77" s="29"/>
      <c r="G77" s="30">
        <v>1</v>
      </c>
      <c r="H77" s="30">
        <v>1</v>
      </c>
      <c r="I77" s="733"/>
      <c r="J77" s="734"/>
      <c r="K77" s="734"/>
      <c r="L77" s="734"/>
      <c r="M77" s="493">
        <v>45</v>
      </c>
      <c r="N77" s="494" t="s">
        <v>30</v>
      </c>
      <c r="O77" s="494"/>
      <c r="P77" s="494">
        <f t="shared" si="388"/>
        <v>0</v>
      </c>
      <c r="Q77" s="494" t="s">
        <v>713</v>
      </c>
      <c r="R77" s="469"/>
      <c r="S77" s="494" t="s">
        <v>499</v>
      </c>
      <c r="T77" s="156">
        <v>3</v>
      </c>
      <c r="U77" s="493">
        <v>1</v>
      </c>
      <c r="V77" s="2">
        <f t="shared" si="369"/>
        <v>160434.09154000002</v>
      </c>
      <c r="W77" s="2">
        <v>158129.89154000001</v>
      </c>
      <c r="X77" s="198">
        <f t="shared" si="227"/>
        <v>2304.1999999999998</v>
      </c>
      <c r="Y77" s="198">
        <v>726</v>
      </c>
      <c r="Z77" s="42">
        <v>1578.2</v>
      </c>
      <c r="AA77" s="2"/>
      <c r="AB77" s="567">
        <f t="shared" si="307"/>
        <v>160434.09154000002</v>
      </c>
      <c r="AC77" s="567">
        <v>158129.89154000001</v>
      </c>
      <c r="AD77" s="568">
        <f t="shared" si="229"/>
        <v>2304.1999999999998</v>
      </c>
      <c r="AE77" s="568">
        <v>726</v>
      </c>
      <c r="AF77" s="569">
        <v>1578.2</v>
      </c>
      <c r="AG77" s="567"/>
      <c r="AH77" s="570"/>
      <c r="AI77" s="567">
        <f t="shared" si="308"/>
        <v>742.9</v>
      </c>
      <c r="AJ77" s="567"/>
      <c r="AK77" s="568">
        <v>742.9</v>
      </c>
      <c r="AL77" s="567"/>
      <c r="AM77" s="570"/>
      <c r="AN77" s="567">
        <f t="shared" si="309"/>
        <v>742.9</v>
      </c>
      <c r="AO77" s="567"/>
      <c r="AP77" s="568">
        <v>742.9</v>
      </c>
      <c r="AQ77" s="567"/>
      <c r="AR77" s="570"/>
      <c r="AS77" s="567">
        <f t="shared" si="310"/>
        <v>323</v>
      </c>
      <c r="AT77" s="567"/>
      <c r="AU77" s="568">
        <v>323</v>
      </c>
      <c r="AV77" s="567"/>
      <c r="AW77" s="570"/>
      <c r="AX77" s="425" t="s">
        <v>728</v>
      </c>
      <c r="AY77" s="567">
        <f t="shared" si="150"/>
        <v>160434.09153999999</v>
      </c>
      <c r="AZ77" s="567">
        <f>85454.97789+86885.74011-14210.82646</f>
        <v>158129.89153999998</v>
      </c>
      <c r="BA77" s="568">
        <f t="shared" si="311"/>
        <v>2304.1999999999998</v>
      </c>
      <c r="BB77" s="568">
        <v>726</v>
      </c>
      <c r="BC77" s="569">
        <v>1578.2</v>
      </c>
      <c r="BD77" s="567"/>
      <c r="BE77" s="570"/>
      <c r="BF77" s="567">
        <f t="shared" si="370"/>
        <v>0</v>
      </c>
      <c r="BG77" s="567">
        <f t="shared" si="371"/>
        <v>0</v>
      </c>
      <c r="BH77" s="567">
        <f t="shared" si="372"/>
        <v>0</v>
      </c>
      <c r="BI77" s="567">
        <f t="shared" si="373"/>
        <v>0</v>
      </c>
      <c r="BJ77" s="567">
        <f t="shared" si="374"/>
        <v>0</v>
      </c>
      <c r="BK77" s="567">
        <f t="shared" si="375"/>
        <v>0</v>
      </c>
      <c r="BL77" s="567" t="e">
        <f>#REF!-BE77</f>
        <v>#REF!</v>
      </c>
      <c r="BM77" s="567">
        <f t="shared" si="312"/>
        <v>742.9</v>
      </c>
      <c r="BN77" s="567"/>
      <c r="BO77" s="568">
        <f>323+419.9</f>
        <v>742.9</v>
      </c>
      <c r="BP77" s="567"/>
      <c r="BQ77" s="570"/>
      <c r="BR77" s="567">
        <f t="shared" si="313"/>
        <v>0</v>
      </c>
      <c r="BS77" s="567"/>
      <c r="BT77" s="568"/>
      <c r="BU77" s="567"/>
      <c r="BV77" s="570"/>
      <c r="BW77" s="567">
        <f t="shared" si="314"/>
        <v>147536.09783000001</v>
      </c>
      <c r="BX77" s="567">
        <f>20167.77564+19239.59516+29729.75965+8978.43313+6912.13152+39410.77582+20793.42691</f>
        <v>145231.89783</v>
      </c>
      <c r="BY77" s="568">
        <f t="shared" si="376"/>
        <v>2304.1999999999998</v>
      </c>
      <c r="BZ77" s="571">
        <v>726</v>
      </c>
      <c r="CA77" s="571">
        <v>1578.2</v>
      </c>
      <c r="CB77" s="567"/>
      <c r="CC77" s="577"/>
      <c r="CD77" s="567">
        <f t="shared" si="315"/>
        <v>147536.09783000001</v>
      </c>
      <c r="CE77" s="567">
        <f>20167.77564+19239.59516+29729.75965+8978.43313+6912.13152+39410.77582+20793.42691</f>
        <v>145231.89783</v>
      </c>
      <c r="CF77" s="568">
        <f t="shared" si="377"/>
        <v>2304.1999999999998</v>
      </c>
      <c r="CG77" s="571">
        <v>726</v>
      </c>
      <c r="CH77" s="571">
        <v>1578.2</v>
      </c>
      <c r="CI77" s="567"/>
      <c r="CJ77" s="577"/>
      <c r="CK77" s="567">
        <f t="shared" si="316"/>
        <v>12128.823199999999</v>
      </c>
      <c r="CL77" s="567">
        <v>10931.433199999999</v>
      </c>
      <c r="CM77" s="567">
        <f t="shared" si="378"/>
        <v>1197.3899999999999</v>
      </c>
      <c r="CN77" s="567">
        <v>1040.3</v>
      </c>
      <c r="CO77" s="567">
        <v>157.09</v>
      </c>
      <c r="CP77" s="567"/>
      <c r="CQ77" s="567"/>
      <c r="CR77" s="573">
        <f t="shared" si="317"/>
        <v>159664.92103</v>
      </c>
      <c r="CS77" s="567">
        <f t="shared" si="379"/>
        <v>159664.92103</v>
      </c>
      <c r="CT77" s="567">
        <f t="shared" si="380"/>
        <v>156163.33103</v>
      </c>
      <c r="CU77" s="567">
        <f t="shared" si="381"/>
        <v>3501.5899999999997</v>
      </c>
      <c r="CV77" s="567">
        <f t="shared" si="382"/>
        <v>0</v>
      </c>
      <c r="CW77" s="567">
        <f t="shared" si="318"/>
        <v>0</v>
      </c>
      <c r="CX77" s="567">
        <f t="shared" ca="1" si="182"/>
        <v>0</v>
      </c>
      <c r="CY77" s="567">
        <f t="shared" si="383"/>
        <v>0</v>
      </c>
      <c r="CZ77" s="567">
        <f t="shared" si="384"/>
        <v>0</v>
      </c>
      <c r="DA77" s="567">
        <f t="shared" si="385"/>
        <v>0</v>
      </c>
      <c r="DB77" s="2">
        <f t="shared" si="319"/>
        <v>0</v>
      </c>
      <c r="DC77" s="76"/>
      <c r="DD77" s="253"/>
      <c r="DE77" s="253"/>
      <c r="DF77" s="2">
        <f t="shared" si="320"/>
        <v>0</v>
      </c>
      <c r="DG77" s="2"/>
      <c r="DH77" s="198"/>
      <c r="DI77" s="2"/>
      <c r="DJ77" s="234"/>
      <c r="DK77" s="2">
        <f t="shared" si="321"/>
        <v>0</v>
      </c>
      <c r="DL77" s="2"/>
      <c r="DM77" s="198"/>
      <c r="DN77" s="2"/>
      <c r="DO77" s="234"/>
      <c r="DP77" s="2">
        <f t="shared" si="322"/>
        <v>0</v>
      </c>
      <c r="DQ77" s="2">
        <f t="shared" si="329"/>
        <v>0</v>
      </c>
      <c r="DR77" s="2">
        <f t="shared" si="329"/>
        <v>0</v>
      </c>
      <c r="DS77" s="2">
        <f t="shared" si="329"/>
        <v>0</v>
      </c>
      <c r="DT77" s="2">
        <f t="shared" si="329"/>
        <v>0</v>
      </c>
      <c r="DU77" s="2"/>
      <c r="DV77" s="2"/>
      <c r="DW77" s="2"/>
      <c r="DX77" s="2">
        <f t="shared" ca="1" si="323"/>
        <v>0</v>
      </c>
      <c r="DY77" s="46"/>
      <c r="DZ77" s="2">
        <f t="shared" si="324"/>
        <v>147536.09783000001</v>
      </c>
      <c r="EA77" s="2">
        <f t="shared" si="325"/>
        <v>147536.09783000001</v>
      </c>
      <c r="EB77" s="46"/>
      <c r="EC77" s="2"/>
      <c r="ED77" s="2"/>
      <c r="EE77" s="46"/>
      <c r="EF77" s="2"/>
      <c r="EG77" s="46"/>
      <c r="EH77" s="46"/>
      <c r="EI77" s="2">
        <f t="shared" si="357"/>
        <v>147536.09783000001</v>
      </c>
      <c r="EJ77" s="2">
        <f>20167.77564+19239.59516+29729.75965+8978.43313+6912.13152+39410.77582+20793.42691</f>
        <v>145231.89783</v>
      </c>
      <c r="EK77" s="198">
        <f t="shared" si="386"/>
        <v>2304.1999999999998</v>
      </c>
      <c r="EL77" s="446">
        <v>726</v>
      </c>
      <c r="EM77" s="446">
        <v>1578.2</v>
      </c>
      <c r="EN77" s="2"/>
      <c r="EO77" s="236"/>
      <c r="EP77" s="2">
        <f t="shared" si="358"/>
        <v>12128.823199999999</v>
      </c>
      <c r="EQ77" s="2">
        <v>10931.433199999999</v>
      </c>
      <c r="ER77" s="2">
        <f t="shared" si="387"/>
        <v>1197.3899999999999</v>
      </c>
      <c r="ES77" s="2">
        <v>1040.3</v>
      </c>
      <c r="ET77" s="2">
        <v>157.09</v>
      </c>
      <c r="EU77" s="2"/>
      <c r="EV77" s="141"/>
      <c r="EW77" s="310"/>
      <c r="EX77" s="310"/>
      <c r="EY77" s="310"/>
      <c r="EZ77" s="396"/>
      <c r="FA77" s="396"/>
      <c r="FB77" s="310"/>
      <c r="FC77" s="310"/>
      <c r="FD77" s="310"/>
      <c r="FE77" s="396"/>
      <c r="FF77" s="396"/>
      <c r="FG77" s="396"/>
      <c r="FH77" s="311"/>
      <c r="FI77" s="310"/>
      <c r="FJ77" s="296" t="e">
        <f t="shared" si="328"/>
        <v>#DIV/0!</v>
      </c>
      <c r="FK77" s="353">
        <f t="shared" si="389"/>
        <v>2304.1999999999998</v>
      </c>
      <c r="FL77" s="353">
        <f t="shared" si="356"/>
        <v>2304.1999999999998</v>
      </c>
      <c r="FM77" s="353"/>
      <c r="FN77" s="388">
        <f t="shared" si="331"/>
        <v>1</v>
      </c>
      <c r="FO77" s="388">
        <f t="shared" si="332"/>
        <v>0</v>
      </c>
      <c r="FP77" s="353">
        <f t="shared" si="390"/>
        <v>3501.5899999999997</v>
      </c>
      <c r="FQ77" s="353">
        <f t="shared" si="333"/>
        <v>2304.1999999999998</v>
      </c>
      <c r="FR77" s="353">
        <f t="shared" si="334"/>
        <v>1197.3899999999999</v>
      </c>
      <c r="FS77" s="388">
        <f t="shared" si="335"/>
        <v>0.65804391719190425</v>
      </c>
      <c r="FT77" s="388">
        <f t="shared" si="336"/>
        <v>0.34195608280809575</v>
      </c>
      <c r="FU77" s="388"/>
      <c r="FV77" s="353">
        <f t="shared" si="337"/>
        <v>3501.5899999999997</v>
      </c>
      <c r="FW77" s="353">
        <f t="shared" si="391"/>
        <v>-1197.3899999999999</v>
      </c>
      <c r="FX77" s="310"/>
      <c r="FY77" s="310"/>
      <c r="FZ77" s="310"/>
      <c r="GA77" s="396"/>
      <c r="GB77" s="396"/>
      <c r="GC77" s="310"/>
      <c r="GD77" s="310"/>
      <c r="GE77" s="310"/>
      <c r="GF77" s="396"/>
      <c r="GG77" s="396"/>
      <c r="GH77" s="396"/>
      <c r="GI77" s="311"/>
      <c r="GJ77" s="344"/>
      <c r="GK77" s="303">
        <f t="shared" si="368"/>
        <v>0.91960565496901114</v>
      </c>
    </row>
    <row r="78" spans="2:193" s="37" customFormat="1" ht="15.6" customHeight="1" x14ac:dyDescent="0.25">
      <c r="B78" s="29"/>
      <c r="C78" s="30">
        <v>1</v>
      </c>
      <c r="D78" s="30"/>
      <c r="E78" s="493">
        <v>62</v>
      </c>
      <c r="F78" s="29"/>
      <c r="G78" s="30"/>
      <c r="H78" s="30">
        <v>1</v>
      </c>
      <c r="I78" s="722"/>
      <c r="J78" s="742"/>
      <c r="K78" s="494"/>
      <c r="L78" s="53"/>
      <c r="M78" s="493">
        <v>46</v>
      </c>
      <c r="N78" s="494" t="s">
        <v>42</v>
      </c>
      <c r="O78" s="494"/>
      <c r="P78" s="494">
        <f t="shared" si="388"/>
        <v>0</v>
      </c>
      <c r="Q78" s="494" t="s">
        <v>701</v>
      </c>
      <c r="R78" s="494" t="s">
        <v>699</v>
      </c>
      <c r="S78" s="494">
        <v>174</v>
      </c>
      <c r="T78" s="156">
        <v>2</v>
      </c>
      <c r="U78" s="493"/>
      <c r="V78" s="2">
        <f t="shared" si="369"/>
        <v>3853.1</v>
      </c>
      <c r="W78" s="2"/>
      <c r="X78" s="198">
        <f t="shared" si="227"/>
        <v>3853.1</v>
      </c>
      <c r="Y78" s="198">
        <v>1214</v>
      </c>
      <c r="Z78" s="42">
        <v>2639.1</v>
      </c>
      <c r="AA78" s="2"/>
      <c r="AB78" s="567">
        <f t="shared" si="307"/>
        <v>3853.1</v>
      </c>
      <c r="AC78" s="567"/>
      <c r="AD78" s="568">
        <f t="shared" si="229"/>
        <v>3853.1</v>
      </c>
      <c r="AE78" s="568">
        <v>1214</v>
      </c>
      <c r="AF78" s="569">
        <v>2639.1</v>
      </c>
      <c r="AG78" s="567"/>
      <c r="AH78" s="570"/>
      <c r="AI78" s="567">
        <f t="shared" si="308"/>
        <v>5512.6</v>
      </c>
      <c r="AJ78" s="567"/>
      <c r="AK78" s="568">
        <v>1499.6</v>
      </c>
      <c r="AL78" s="567">
        <v>4013</v>
      </c>
      <c r="AM78" s="570"/>
      <c r="AN78" s="567">
        <f t="shared" si="309"/>
        <v>1499.6</v>
      </c>
      <c r="AO78" s="567"/>
      <c r="AP78" s="568">
        <v>1499.6</v>
      </c>
      <c r="AQ78" s="567"/>
      <c r="AR78" s="570"/>
      <c r="AS78" s="567">
        <f t="shared" si="310"/>
        <v>652</v>
      </c>
      <c r="AT78" s="567"/>
      <c r="AU78" s="568">
        <v>652</v>
      </c>
      <c r="AV78" s="567"/>
      <c r="AW78" s="570"/>
      <c r="AX78" s="409" t="s">
        <v>659</v>
      </c>
      <c r="AY78" s="567">
        <f t="shared" si="150"/>
        <v>3853.1</v>
      </c>
      <c r="AZ78" s="567"/>
      <c r="BA78" s="568">
        <f t="shared" si="311"/>
        <v>3853.1</v>
      </c>
      <c r="BB78" s="568">
        <v>1214</v>
      </c>
      <c r="BC78" s="569">
        <v>2639.1</v>
      </c>
      <c r="BD78" s="567"/>
      <c r="BE78" s="570"/>
      <c r="BF78" s="567">
        <f t="shared" si="370"/>
        <v>0</v>
      </c>
      <c r="BG78" s="567">
        <f t="shared" si="371"/>
        <v>0</v>
      </c>
      <c r="BH78" s="567">
        <f t="shared" si="372"/>
        <v>0</v>
      </c>
      <c r="BI78" s="567">
        <f t="shared" si="373"/>
        <v>0</v>
      </c>
      <c r="BJ78" s="567">
        <f t="shared" si="374"/>
        <v>0</v>
      </c>
      <c r="BK78" s="567">
        <f t="shared" si="375"/>
        <v>0</v>
      </c>
      <c r="BL78" s="567" t="e">
        <f>#REF!-BE78</f>
        <v>#REF!</v>
      </c>
      <c r="BM78" s="567">
        <f t="shared" si="312"/>
        <v>5512.6</v>
      </c>
      <c r="BN78" s="567"/>
      <c r="BO78" s="568">
        <v>1499.6</v>
      </c>
      <c r="BP78" s="567">
        <v>4013</v>
      </c>
      <c r="BQ78" s="570"/>
      <c r="BR78" s="567">
        <f t="shared" si="313"/>
        <v>0</v>
      </c>
      <c r="BS78" s="567"/>
      <c r="BT78" s="567"/>
      <c r="BU78" s="567"/>
      <c r="BV78" s="570"/>
      <c r="BW78" s="567">
        <f t="shared" si="314"/>
        <v>2913.1829400000001</v>
      </c>
      <c r="BX78" s="567"/>
      <c r="BY78" s="568">
        <f t="shared" si="376"/>
        <v>2913.1829400000001</v>
      </c>
      <c r="BZ78" s="571">
        <v>787.12711999999999</v>
      </c>
      <c r="CA78" s="571">
        <v>2126.05582</v>
      </c>
      <c r="CB78" s="567"/>
      <c r="CC78" s="577"/>
      <c r="CD78" s="567">
        <f t="shared" si="315"/>
        <v>2913.1829400000001</v>
      </c>
      <c r="CE78" s="567"/>
      <c r="CF78" s="568">
        <f t="shared" si="377"/>
        <v>2913.1829400000001</v>
      </c>
      <c r="CG78" s="571">
        <v>787.12711999999999</v>
      </c>
      <c r="CH78" s="571">
        <v>2126.05582</v>
      </c>
      <c r="CI78" s="567"/>
      <c r="CJ78" s="577"/>
      <c r="CK78" s="567">
        <f t="shared" si="316"/>
        <v>1404.22162</v>
      </c>
      <c r="CL78" s="567"/>
      <c r="CM78" s="567">
        <v>1404.22162</v>
      </c>
      <c r="CN78" s="567"/>
      <c r="CO78" s="567"/>
      <c r="CP78" s="567"/>
      <c r="CQ78" s="567"/>
      <c r="CR78" s="573">
        <f t="shared" si="317"/>
        <v>4317.4045599999999</v>
      </c>
      <c r="CS78" s="567">
        <f t="shared" si="379"/>
        <v>4317.4045599999999</v>
      </c>
      <c r="CT78" s="567">
        <f t="shared" si="380"/>
        <v>0</v>
      </c>
      <c r="CU78" s="567">
        <f t="shared" si="381"/>
        <v>4317.4045599999999</v>
      </c>
      <c r="CV78" s="567">
        <f t="shared" si="382"/>
        <v>0</v>
      </c>
      <c r="CW78" s="567">
        <f t="shared" si="318"/>
        <v>0</v>
      </c>
      <c r="CX78" s="567">
        <f t="shared" ca="1" si="182"/>
        <v>0</v>
      </c>
      <c r="CY78" s="567">
        <f t="shared" si="383"/>
        <v>0</v>
      </c>
      <c r="CZ78" s="567">
        <f t="shared" si="384"/>
        <v>0</v>
      </c>
      <c r="DA78" s="567">
        <f t="shared" si="385"/>
        <v>0</v>
      </c>
      <c r="DB78" s="2">
        <f t="shared" si="319"/>
        <v>0</v>
      </c>
      <c r="DC78" s="76"/>
      <c r="DD78" s="253"/>
      <c r="DE78" s="253"/>
      <c r="DF78" s="2">
        <f t="shared" si="320"/>
        <v>0</v>
      </c>
      <c r="DG78" s="2"/>
      <c r="DH78" s="2"/>
      <c r="DI78" s="2"/>
      <c r="DJ78" s="234"/>
      <c r="DK78" s="2">
        <f t="shared" si="321"/>
        <v>0</v>
      </c>
      <c r="DL78" s="2"/>
      <c r="DM78" s="2"/>
      <c r="DN78" s="2"/>
      <c r="DO78" s="234"/>
      <c r="DP78" s="2">
        <f t="shared" si="322"/>
        <v>0</v>
      </c>
      <c r="DQ78" s="2">
        <f t="shared" si="329"/>
        <v>0</v>
      </c>
      <c r="DR78" s="2">
        <f t="shared" si="329"/>
        <v>0</v>
      </c>
      <c r="DS78" s="2">
        <f t="shared" si="329"/>
        <v>0</v>
      </c>
      <c r="DT78" s="2">
        <f t="shared" si="329"/>
        <v>0</v>
      </c>
      <c r="DU78" s="2"/>
      <c r="DV78" s="2"/>
      <c r="DW78" s="2"/>
      <c r="DX78" s="2">
        <f t="shared" ca="1" si="323"/>
        <v>0</v>
      </c>
      <c r="DY78" s="46"/>
      <c r="DZ78" s="2">
        <f t="shared" si="324"/>
        <v>2913.1829400000001</v>
      </c>
      <c r="EA78" s="2">
        <f t="shared" si="325"/>
        <v>2913.1829400000001</v>
      </c>
      <c r="EB78" s="46"/>
      <c r="EC78" s="2"/>
      <c r="ED78" s="2"/>
      <c r="EE78" s="46"/>
      <c r="EF78" s="2"/>
      <c r="EG78" s="46"/>
      <c r="EH78" s="46"/>
      <c r="EI78" s="2">
        <f t="shared" si="357"/>
        <v>2913.1829400000001</v>
      </c>
      <c r="EJ78" s="2"/>
      <c r="EK78" s="198">
        <f t="shared" si="386"/>
        <v>2913.1829400000001</v>
      </c>
      <c r="EL78" s="446">
        <v>787.12711999999999</v>
      </c>
      <c r="EM78" s="446">
        <v>2126.05582</v>
      </c>
      <c r="EN78" s="2"/>
      <c r="EO78" s="236"/>
      <c r="EP78" s="2">
        <f t="shared" si="358"/>
        <v>1404.22162</v>
      </c>
      <c r="EQ78" s="2"/>
      <c r="ER78" s="2">
        <v>1404.22162</v>
      </c>
      <c r="ES78" s="2">
        <v>337.608</v>
      </c>
      <c r="ET78" s="2">
        <v>1066.6128200000001</v>
      </c>
      <c r="EU78" s="2"/>
      <c r="EV78" s="141"/>
      <c r="EW78" s="310"/>
      <c r="EX78" s="310"/>
      <c r="EY78" s="310"/>
      <c r="EZ78" s="396"/>
      <c r="FA78" s="396"/>
      <c r="FB78" s="310"/>
      <c r="FC78" s="310"/>
      <c r="FD78" s="310"/>
      <c r="FE78" s="396"/>
      <c r="FF78" s="396"/>
      <c r="FG78" s="396"/>
      <c r="FH78" s="311"/>
      <c r="FI78" s="310"/>
      <c r="FJ78" s="296" t="e">
        <f t="shared" si="328"/>
        <v>#DIV/0!</v>
      </c>
      <c r="FK78" s="353">
        <f t="shared" si="389"/>
        <v>3853.1</v>
      </c>
      <c r="FL78" s="353">
        <f t="shared" si="356"/>
        <v>3853.1</v>
      </c>
      <c r="FM78" s="353"/>
      <c r="FN78" s="388">
        <f t="shared" si="331"/>
        <v>1</v>
      </c>
      <c r="FO78" s="388">
        <f t="shared" si="332"/>
        <v>0</v>
      </c>
      <c r="FP78" s="353">
        <f t="shared" si="390"/>
        <v>4317.4045599999999</v>
      </c>
      <c r="FQ78" s="353">
        <f t="shared" si="333"/>
        <v>2913.1829400000001</v>
      </c>
      <c r="FR78" s="353">
        <f t="shared" si="334"/>
        <v>1404.22162</v>
      </c>
      <c r="FS78" s="388">
        <f t="shared" si="335"/>
        <v>0.6747532920565591</v>
      </c>
      <c r="FT78" s="388">
        <f t="shared" si="336"/>
        <v>0.3252467079434409</v>
      </c>
      <c r="FU78" s="388"/>
      <c r="FV78" s="353">
        <f t="shared" si="337"/>
        <v>4317.4045599999999</v>
      </c>
      <c r="FW78" s="353">
        <f t="shared" si="391"/>
        <v>-1404.2216199999998</v>
      </c>
      <c r="FX78" s="310">
        <f t="shared" si="343"/>
        <v>0</v>
      </c>
      <c r="FY78" s="310">
        <f>BD78</f>
        <v>0</v>
      </c>
      <c r="FZ78" s="310"/>
      <c r="GA78" s="396" t="e">
        <f t="shared" si="344"/>
        <v>#DIV/0!</v>
      </c>
      <c r="GB78" s="396" t="e">
        <f t="shared" si="345"/>
        <v>#DIV/0!</v>
      </c>
      <c r="GC78" s="310">
        <f t="shared" ref="GC78:GC135" si="402">GD78+GE78</f>
        <v>0</v>
      </c>
      <c r="GD78" s="310">
        <f t="shared" si="177"/>
        <v>0</v>
      </c>
      <c r="GE78" s="310">
        <f t="shared" si="178"/>
        <v>0</v>
      </c>
      <c r="GF78" s="396" t="e">
        <f t="shared" si="346"/>
        <v>#DIV/0!</v>
      </c>
      <c r="GG78" s="396" t="e">
        <f t="shared" si="347"/>
        <v>#DIV/0!</v>
      </c>
      <c r="GH78" s="396"/>
      <c r="GI78" s="311" t="e">
        <f t="shared" si="262"/>
        <v>#DIV/0!</v>
      </c>
      <c r="GJ78" s="344" t="e">
        <f t="shared" ref="GJ78:GJ135" si="403">GD78-GI78</f>
        <v>#DIV/0!</v>
      </c>
      <c r="GK78" s="303">
        <f t="shared" si="368"/>
        <v>0.75606211621811015</v>
      </c>
    </row>
    <row r="79" spans="2:193" s="37" customFormat="1" ht="15.6" customHeight="1" x14ac:dyDescent="0.25">
      <c r="B79" s="29"/>
      <c r="C79" s="30"/>
      <c r="D79" s="30">
        <v>1</v>
      </c>
      <c r="E79" s="493">
        <v>63</v>
      </c>
      <c r="F79" s="29"/>
      <c r="G79" s="30"/>
      <c r="H79" s="30">
        <v>1</v>
      </c>
      <c r="I79" s="741"/>
      <c r="J79" s="743"/>
      <c r="K79" s="494"/>
      <c r="L79" s="53"/>
      <c r="M79" s="493">
        <v>47</v>
      </c>
      <c r="N79" s="494" t="s">
        <v>96</v>
      </c>
      <c r="O79" s="494"/>
      <c r="P79" s="494">
        <f t="shared" si="388"/>
        <v>0</v>
      </c>
      <c r="Q79" s="494"/>
      <c r="R79" s="494"/>
      <c r="S79" s="494" t="s">
        <v>561</v>
      </c>
      <c r="T79" s="156">
        <v>3</v>
      </c>
      <c r="U79" s="493"/>
      <c r="V79" s="2">
        <f t="shared" si="369"/>
        <v>4388.3050000000003</v>
      </c>
      <c r="W79" s="2"/>
      <c r="X79" s="198">
        <f t="shared" si="227"/>
        <v>1286.5</v>
      </c>
      <c r="Y79" s="198">
        <v>405.3</v>
      </c>
      <c r="Z79" s="42">
        <v>881.2</v>
      </c>
      <c r="AA79" s="2">
        <v>3101.8049999999998</v>
      </c>
      <c r="AB79" s="567">
        <f t="shared" si="307"/>
        <v>4388.3050000000003</v>
      </c>
      <c r="AC79" s="567"/>
      <c r="AD79" s="568">
        <f t="shared" si="229"/>
        <v>1286.5</v>
      </c>
      <c r="AE79" s="568">
        <v>405.3</v>
      </c>
      <c r="AF79" s="569">
        <v>881.2</v>
      </c>
      <c r="AG79" s="567">
        <v>3101.8049999999998</v>
      </c>
      <c r="AH79" s="570"/>
      <c r="AI79" s="567">
        <f t="shared" si="308"/>
        <v>416.3</v>
      </c>
      <c r="AJ79" s="567"/>
      <c r="AK79" s="568">
        <v>416.3</v>
      </c>
      <c r="AL79" s="567"/>
      <c r="AM79" s="570"/>
      <c r="AN79" s="567">
        <f t="shared" si="309"/>
        <v>416.3</v>
      </c>
      <c r="AO79" s="567"/>
      <c r="AP79" s="568">
        <v>416.3</v>
      </c>
      <c r="AQ79" s="567"/>
      <c r="AR79" s="570"/>
      <c r="AS79" s="567">
        <f t="shared" si="310"/>
        <v>181</v>
      </c>
      <c r="AT79" s="567"/>
      <c r="AU79" s="568">
        <v>181</v>
      </c>
      <c r="AV79" s="567"/>
      <c r="AW79" s="570"/>
      <c r="AX79" s="409" t="s">
        <v>388</v>
      </c>
      <c r="AY79" s="567">
        <f t="shared" si="150"/>
        <v>4388.3050000000003</v>
      </c>
      <c r="AZ79" s="567"/>
      <c r="BA79" s="568">
        <f t="shared" si="311"/>
        <v>1286.5</v>
      </c>
      <c r="BB79" s="568">
        <v>405.3</v>
      </c>
      <c r="BC79" s="569">
        <v>881.2</v>
      </c>
      <c r="BD79" s="567">
        <v>3101.8049999999998</v>
      </c>
      <c r="BE79" s="567"/>
      <c r="BF79" s="567">
        <f t="shared" si="370"/>
        <v>0</v>
      </c>
      <c r="BG79" s="567">
        <f t="shared" si="371"/>
        <v>0</v>
      </c>
      <c r="BH79" s="567">
        <f t="shared" si="372"/>
        <v>0</v>
      </c>
      <c r="BI79" s="567">
        <f t="shared" si="373"/>
        <v>0</v>
      </c>
      <c r="BJ79" s="567">
        <f t="shared" si="374"/>
        <v>0</v>
      </c>
      <c r="BK79" s="567">
        <f t="shared" si="375"/>
        <v>0</v>
      </c>
      <c r="BL79" s="567" t="e">
        <f>#REF!-BE79</f>
        <v>#REF!</v>
      </c>
      <c r="BM79" s="567">
        <f t="shared" si="312"/>
        <v>416.3</v>
      </c>
      <c r="BN79" s="567"/>
      <c r="BO79" s="568">
        <v>416.3</v>
      </c>
      <c r="BP79" s="567"/>
      <c r="BQ79" s="567"/>
      <c r="BR79" s="567">
        <f t="shared" si="313"/>
        <v>0</v>
      </c>
      <c r="BS79" s="567"/>
      <c r="BT79" s="567"/>
      <c r="BU79" s="567"/>
      <c r="BV79" s="567"/>
      <c r="BW79" s="567">
        <f t="shared" si="314"/>
        <v>4373.6578800000007</v>
      </c>
      <c r="BX79" s="567"/>
      <c r="BY79" s="578">
        <f t="shared" si="376"/>
        <v>1280.0675000000001</v>
      </c>
      <c r="BZ79" s="571">
        <v>403.27350000000001</v>
      </c>
      <c r="CA79" s="571">
        <v>876.79399999999998</v>
      </c>
      <c r="CB79" s="567">
        <f>813.24778+2280.3426</f>
        <v>3093.5903800000001</v>
      </c>
      <c r="CC79" s="567"/>
      <c r="CD79" s="567">
        <f t="shared" si="315"/>
        <v>4373.6578800000007</v>
      </c>
      <c r="CE79" s="567"/>
      <c r="CF79" s="578">
        <f t="shared" si="377"/>
        <v>1280.0675000000001</v>
      </c>
      <c r="CG79" s="571">
        <v>403.27350000000001</v>
      </c>
      <c r="CH79" s="571">
        <v>876.79399999999998</v>
      </c>
      <c r="CI79" s="567">
        <f>813.24778+2280.3426</f>
        <v>3093.5903800000001</v>
      </c>
      <c r="CJ79" s="567"/>
      <c r="CK79" s="567">
        <f t="shared" si="316"/>
        <v>1188.8431399999999</v>
      </c>
      <c r="CL79" s="567"/>
      <c r="CM79" s="567">
        <f t="shared" si="378"/>
        <v>845.11087999999995</v>
      </c>
      <c r="CN79" s="567">
        <v>417.05673000000002</v>
      </c>
      <c r="CO79" s="567">
        <v>428.05414999999999</v>
      </c>
      <c r="CP79" s="567">
        <v>343.73226</v>
      </c>
      <c r="CQ79" s="567"/>
      <c r="CR79" s="573">
        <f t="shared" si="317"/>
        <v>5562.5010200000006</v>
      </c>
      <c r="CS79" s="567">
        <f t="shared" si="379"/>
        <v>5562.5010200000006</v>
      </c>
      <c r="CT79" s="567">
        <f t="shared" si="380"/>
        <v>0</v>
      </c>
      <c r="CU79" s="567">
        <f t="shared" si="381"/>
        <v>2125.1783800000003</v>
      </c>
      <c r="CV79" s="567">
        <f t="shared" si="382"/>
        <v>3437.3226400000003</v>
      </c>
      <c r="CW79" s="567">
        <f t="shared" si="318"/>
        <v>0</v>
      </c>
      <c r="CX79" s="567">
        <f t="shared" ca="1" si="182"/>
        <v>0</v>
      </c>
      <c r="CY79" s="567">
        <f t="shared" si="383"/>
        <v>0</v>
      </c>
      <c r="CZ79" s="567">
        <f t="shared" si="384"/>
        <v>0</v>
      </c>
      <c r="DA79" s="567">
        <f t="shared" si="385"/>
        <v>0</v>
      </c>
      <c r="DB79" s="2">
        <f t="shared" si="319"/>
        <v>0</v>
      </c>
      <c r="DC79" s="76"/>
      <c r="DD79" s="253"/>
      <c r="DE79" s="253"/>
      <c r="DF79" s="2">
        <f t="shared" si="320"/>
        <v>0</v>
      </c>
      <c r="DG79" s="2"/>
      <c r="DH79" s="2"/>
      <c r="DI79" s="2"/>
      <c r="DJ79" s="2"/>
      <c r="DK79" s="2">
        <f t="shared" si="321"/>
        <v>0</v>
      </c>
      <c r="DL79" s="2"/>
      <c r="DM79" s="2"/>
      <c r="DN79" s="2"/>
      <c r="DO79" s="2"/>
      <c r="DP79" s="2">
        <f t="shared" si="322"/>
        <v>0</v>
      </c>
      <c r="DQ79" s="2">
        <f t="shared" si="329"/>
        <v>0</v>
      </c>
      <c r="DR79" s="2">
        <f t="shared" si="329"/>
        <v>0</v>
      </c>
      <c r="DS79" s="2">
        <f t="shared" si="329"/>
        <v>0</v>
      </c>
      <c r="DT79" s="2">
        <f t="shared" si="329"/>
        <v>0</v>
      </c>
      <c r="DU79" s="2"/>
      <c r="DV79" s="2"/>
      <c r="DW79" s="2"/>
      <c r="DX79" s="2">
        <f t="shared" ca="1" si="323"/>
        <v>0</v>
      </c>
      <c r="DY79" s="46"/>
      <c r="DZ79" s="2">
        <f t="shared" si="324"/>
        <v>4373.6578800000007</v>
      </c>
      <c r="EA79" s="2">
        <f t="shared" si="325"/>
        <v>4373.6578800000007</v>
      </c>
      <c r="EB79" s="46"/>
      <c r="EC79" s="2"/>
      <c r="ED79" s="2"/>
      <c r="EE79" s="46"/>
      <c r="EF79" s="2"/>
      <c r="EG79" s="46"/>
      <c r="EH79" s="46"/>
      <c r="EI79" s="2">
        <f t="shared" si="357"/>
        <v>4373.6578800000007</v>
      </c>
      <c r="EJ79" s="2"/>
      <c r="EK79" s="433">
        <f t="shared" si="386"/>
        <v>1280.0675000000001</v>
      </c>
      <c r="EL79" s="446">
        <v>403.27350000000001</v>
      </c>
      <c r="EM79" s="446">
        <v>876.79399999999998</v>
      </c>
      <c r="EN79" s="2">
        <f>813.24778+2280.3426</f>
        <v>3093.5903800000001</v>
      </c>
      <c r="EO79" s="2"/>
      <c r="EP79" s="2">
        <f t="shared" si="358"/>
        <v>1188.8431399999999</v>
      </c>
      <c r="EQ79" s="2"/>
      <c r="ER79" s="2">
        <f t="shared" si="387"/>
        <v>845.11087999999995</v>
      </c>
      <c r="ES79" s="2">
        <v>417.05673000000002</v>
      </c>
      <c r="ET79" s="2">
        <v>428.05414999999999</v>
      </c>
      <c r="EU79" s="2">
        <v>343.73226</v>
      </c>
      <c r="EV79" s="141"/>
      <c r="EW79" s="310"/>
      <c r="EX79" s="310"/>
      <c r="EY79" s="310"/>
      <c r="EZ79" s="396"/>
      <c r="FA79" s="396"/>
      <c r="FB79" s="310"/>
      <c r="FC79" s="310"/>
      <c r="FD79" s="310"/>
      <c r="FE79" s="396"/>
      <c r="FF79" s="396"/>
      <c r="FG79" s="396"/>
      <c r="FH79" s="311"/>
      <c r="FI79" s="310"/>
      <c r="FJ79" s="296" t="e">
        <f t="shared" si="328"/>
        <v>#DIV/0!</v>
      </c>
      <c r="FK79" s="353">
        <f t="shared" si="389"/>
        <v>1286.5</v>
      </c>
      <c r="FL79" s="353">
        <f t="shared" si="356"/>
        <v>1286.5</v>
      </c>
      <c r="FM79" s="353"/>
      <c r="FN79" s="388">
        <f t="shared" si="331"/>
        <v>1</v>
      </c>
      <c r="FO79" s="388">
        <f t="shared" si="332"/>
        <v>0</v>
      </c>
      <c r="FP79" s="353">
        <f t="shared" si="390"/>
        <v>2125.1783800000003</v>
      </c>
      <c r="FQ79" s="353">
        <f t="shared" si="333"/>
        <v>1280.0675000000001</v>
      </c>
      <c r="FR79" s="353">
        <f t="shared" si="334"/>
        <v>845.11087999999995</v>
      </c>
      <c r="FS79" s="388">
        <f t="shared" si="335"/>
        <v>0.60233414382843475</v>
      </c>
      <c r="FT79" s="388">
        <f t="shared" si="336"/>
        <v>0.39766585617156514</v>
      </c>
      <c r="FU79" s="388"/>
      <c r="FV79" s="353">
        <f t="shared" si="337"/>
        <v>2125.1783800000003</v>
      </c>
      <c r="FW79" s="353">
        <f t="shared" si="391"/>
        <v>-845.11088000000018</v>
      </c>
      <c r="FX79" s="310">
        <f t="shared" si="343"/>
        <v>3101.8049999999998</v>
      </c>
      <c r="FY79" s="310">
        <f>BD79</f>
        <v>3101.8049999999998</v>
      </c>
      <c r="FZ79" s="310"/>
      <c r="GA79" s="396">
        <f t="shared" si="344"/>
        <v>1</v>
      </c>
      <c r="GB79" s="396">
        <f t="shared" si="345"/>
        <v>0</v>
      </c>
      <c r="GC79" s="310">
        <f t="shared" si="402"/>
        <v>3437.3226400000003</v>
      </c>
      <c r="GD79" s="310">
        <f t="shared" si="177"/>
        <v>3093.5903800000001</v>
      </c>
      <c r="GE79" s="310">
        <f t="shared" si="178"/>
        <v>343.73226</v>
      </c>
      <c r="GF79" s="396">
        <f t="shared" si="346"/>
        <v>0.90000000116369638</v>
      </c>
      <c r="GG79" s="396">
        <f t="shared" si="347"/>
        <v>9.9999998836303589E-2</v>
      </c>
      <c r="GH79" s="396"/>
      <c r="GI79" s="311">
        <f t="shared" si="262"/>
        <v>3437.3226400000003</v>
      </c>
      <c r="GJ79" s="344">
        <f t="shared" si="403"/>
        <v>-343.73226000000022</v>
      </c>
      <c r="GK79" s="303">
        <f t="shared" si="368"/>
        <v>0.99666223746982041</v>
      </c>
    </row>
    <row r="80" spans="2:193" s="37" customFormat="1" ht="15.75" customHeight="1" x14ac:dyDescent="0.25">
      <c r="B80" s="29"/>
      <c r="C80" s="30"/>
      <c r="D80" s="30">
        <v>1</v>
      </c>
      <c r="E80" s="493">
        <v>64</v>
      </c>
      <c r="F80" s="29"/>
      <c r="G80" s="30"/>
      <c r="H80" s="30"/>
      <c r="I80" s="745"/>
      <c r="J80" s="746"/>
      <c r="K80" s="746"/>
      <c r="L80" s="55"/>
      <c r="M80" s="493">
        <v>48</v>
      </c>
      <c r="N80" s="494" t="s">
        <v>204</v>
      </c>
      <c r="O80" s="494"/>
      <c r="P80" s="494">
        <f t="shared" si="388"/>
        <v>0</v>
      </c>
      <c r="Q80" s="494"/>
      <c r="R80" s="494"/>
      <c r="S80" s="494" t="s">
        <v>562</v>
      </c>
      <c r="T80" s="156">
        <v>2</v>
      </c>
      <c r="U80" s="127"/>
      <c r="V80" s="2">
        <f t="shared" si="369"/>
        <v>2624.2</v>
      </c>
      <c r="W80" s="2"/>
      <c r="X80" s="198">
        <f t="shared" si="227"/>
        <v>2624.2</v>
      </c>
      <c r="Y80" s="198">
        <v>826.8</v>
      </c>
      <c r="Z80" s="42">
        <v>1797.4</v>
      </c>
      <c r="AA80" s="2"/>
      <c r="AB80" s="567">
        <f t="shared" si="307"/>
        <v>2624.2</v>
      </c>
      <c r="AC80" s="567"/>
      <c r="AD80" s="568">
        <f t="shared" si="229"/>
        <v>2624.2</v>
      </c>
      <c r="AE80" s="568">
        <v>826.8</v>
      </c>
      <c r="AF80" s="569">
        <v>1797.4</v>
      </c>
      <c r="AG80" s="567"/>
      <c r="AH80" s="573"/>
      <c r="AI80" s="567">
        <f t="shared" si="308"/>
        <v>618.70000000000005</v>
      </c>
      <c r="AJ80" s="567"/>
      <c r="AK80" s="568">
        <v>618.70000000000005</v>
      </c>
      <c r="AL80" s="567"/>
      <c r="AM80" s="573"/>
      <c r="AN80" s="567">
        <f t="shared" si="309"/>
        <v>618.70000000000005</v>
      </c>
      <c r="AO80" s="567"/>
      <c r="AP80" s="568">
        <v>618.70000000000005</v>
      </c>
      <c r="AQ80" s="567"/>
      <c r="AR80" s="573"/>
      <c r="AS80" s="567">
        <f t="shared" si="310"/>
        <v>269</v>
      </c>
      <c r="AT80" s="567"/>
      <c r="AU80" s="568">
        <v>269</v>
      </c>
      <c r="AV80" s="567"/>
      <c r="AW80" s="567"/>
      <c r="AX80" s="409" t="s">
        <v>415</v>
      </c>
      <c r="AY80" s="567">
        <f t="shared" si="150"/>
        <v>2624.2</v>
      </c>
      <c r="AZ80" s="567"/>
      <c r="BA80" s="578">
        <f t="shared" si="311"/>
        <v>2624.2</v>
      </c>
      <c r="BB80" s="568">
        <v>826.8</v>
      </c>
      <c r="BC80" s="569">
        <v>1797.4</v>
      </c>
      <c r="BD80" s="567"/>
      <c r="BE80" s="567"/>
      <c r="BF80" s="567">
        <f t="shared" si="370"/>
        <v>0</v>
      </c>
      <c r="BG80" s="567">
        <f t="shared" si="371"/>
        <v>0</v>
      </c>
      <c r="BH80" s="567">
        <f t="shared" si="372"/>
        <v>0</v>
      </c>
      <c r="BI80" s="567">
        <f t="shared" si="373"/>
        <v>0</v>
      </c>
      <c r="BJ80" s="567">
        <f t="shared" si="374"/>
        <v>0</v>
      </c>
      <c r="BK80" s="567">
        <f t="shared" si="375"/>
        <v>0</v>
      </c>
      <c r="BL80" s="567" t="e">
        <f>#REF!-BE80</f>
        <v>#REF!</v>
      </c>
      <c r="BM80" s="567">
        <f t="shared" si="312"/>
        <v>0</v>
      </c>
      <c r="BN80" s="567"/>
      <c r="BO80" s="567"/>
      <c r="BP80" s="567"/>
      <c r="BQ80" s="567"/>
      <c r="BR80" s="567">
        <f t="shared" si="313"/>
        <v>0</v>
      </c>
      <c r="BS80" s="567"/>
      <c r="BT80" s="567"/>
      <c r="BU80" s="567"/>
      <c r="BV80" s="567"/>
      <c r="BW80" s="567">
        <f t="shared" si="314"/>
        <v>1756.87302</v>
      </c>
      <c r="BX80" s="567"/>
      <c r="BY80" s="567">
        <f t="shared" si="376"/>
        <v>1756.87302</v>
      </c>
      <c r="BZ80" s="574">
        <v>607.53198999999995</v>
      </c>
      <c r="CA80" s="574">
        <v>1149.34103</v>
      </c>
      <c r="CB80" s="567"/>
      <c r="CC80" s="567"/>
      <c r="CD80" s="567">
        <f t="shared" si="315"/>
        <v>1756.87302</v>
      </c>
      <c r="CE80" s="567"/>
      <c r="CF80" s="567">
        <f t="shared" si="377"/>
        <v>1756.87302</v>
      </c>
      <c r="CG80" s="574">
        <v>607.53198999999995</v>
      </c>
      <c r="CH80" s="574">
        <v>1149.34103</v>
      </c>
      <c r="CI80" s="567"/>
      <c r="CJ80" s="567"/>
      <c r="CK80" s="567">
        <f t="shared" si="316"/>
        <v>1147.4509800000001</v>
      </c>
      <c r="CL80" s="567"/>
      <c r="CM80" s="567">
        <f t="shared" si="378"/>
        <v>1147.4509800000001</v>
      </c>
      <c r="CN80" s="567">
        <v>396.79201</v>
      </c>
      <c r="CO80" s="567">
        <v>750.65896999999995</v>
      </c>
      <c r="CP80" s="567"/>
      <c r="CQ80" s="567"/>
      <c r="CR80" s="573">
        <f t="shared" si="317"/>
        <v>2904.3240000000001</v>
      </c>
      <c r="CS80" s="567">
        <f t="shared" si="379"/>
        <v>2904.3240000000001</v>
      </c>
      <c r="CT80" s="567">
        <f t="shared" si="380"/>
        <v>0</v>
      </c>
      <c r="CU80" s="567">
        <f t="shared" si="381"/>
        <v>2904.3240000000001</v>
      </c>
      <c r="CV80" s="567">
        <f t="shared" si="382"/>
        <v>0</v>
      </c>
      <c r="CW80" s="567">
        <f t="shared" si="318"/>
        <v>0</v>
      </c>
      <c r="CX80" s="567">
        <f t="shared" ca="1" si="182"/>
        <v>0</v>
      </c>
      <c r="CY80" s="567">
        <f t="shared" si="383"/>
        <v>0</v>
      </c>
      <c r="CZ80" s="567">
        <f t="shared" si="384"/>
        <v>0</v>
      </c>
      <c r="DA80" s="567">
        <f t="shared" si="385"/>
        <v>0</v>
      </c>
      <c r="DB80" s="2">
        <f t="shared" si="319"/>
        <v>0</v>
      </c>
      <c r="DC80" s="76"/>
      <c r="DD80" s="253"/>
      <c r="DE80" s="253"/>
      <c r="DF80" s="2">
        <f t="shared" si="320"/>
        <v>0</v>
      </c>
      <c r="DG80" s="2"/>
      <c r="DH80" s="2"/>
      <c r="DI80" s="2"/>
      <c r="DJ80" s="2"/>
      <c r="DK80" s="2">
        <f t="shared" si="321"/>
        <v>0</v>
      </c>
      <c r="DL80" s="2"/>
      <c r="DM80" s="2"/>
      <c r="DN80" s="2"/>
      <c r="DO80" s="2"/>
      <c r="DP80" s="2">
        <f t="shared" si="322"/>
        <v>0</v>
      </c>
      <c r="DQ80" s="2">
        <f t="shared" si="329"/>
        <v>0</v>
      </c>
      <c r="DR80" s="2">
        <f t="shared" si="329"/>
        <v>0</v>
      </c>
      <c r="DS80" s="2">
        <f t="shared" si="329"/>
        <v>0</v>
      </c>
      <c r="DT80" s="2">
        <f t="shared" si="329"/>
        <v>0</v>
      </c>
      <c r="DU80" s="2"/>
      <c r="DV80" s="2"/>
      <c r="DW80" s="2"/>
      <c r="DX80" s="2">
        <f t="shared" ca="1" si="323"/>
        <v>0</v>
      </c>
      <c r="DY80" s="46"/>
      <c r="DZ80" s="2">
        <f t="shared" si="324"/>
        <v>1756.87302</v>
      </c>
      <c r="EA80" s="2">
        <f t="shared" si="325"/>
        <v>1756.87302</v>
      </c>
      <c r="EB80" s="46"/>
      <c r="EC80" s="2"/>
      <c r="ED80" s="2"/>
      <c r="EE80" s="46"/>
      <c r="EF80" s="2"/>
      <c r="EG80" s="46"/>
      <c r="EH80" s="46"/>
      <c r="EI80" s="2">
        <f t="shared" si="357"/>
        <v>1756.87302</v>
      </c>
      <c r="EJ80" s="2"/>
      <c r="EK80" s="2">
        <f t="shared" si="386"/>
        <v>1756.87302</v>
      </c>
      <c r="EL80" s="432">
        <v>607.53198999999995</v>
      </c>
      <c r="EM80" s="432">
        <v>1149.34103</v>
      </c>
      <c r="EN80" s="2"/>
      <c r="EO80" s="2"/>
      <c r="EP80" s="2">
        <f t="shared" si="358"/>
        <v>1147.4509800000001</v>
      </c>
      <c r="EQ80" s="2"/>
      <c r="ER80" s="2">
        <f t="shared" si="387"/>
        <v>1147.4509800000001</v>
      </c>
      <c r="ES80" s="2">
        <v>396.79201</v>
      </c>
      <c r="ET80" s="2">
        <v>750.65896999999995</v>
      </c>
      <c r="EU80" s="2"/>
      <c r="EV80" s="141"/>
      <c r="EW80" s="310"/>
      <c r="EX80" s="310"/>
      <c r="EY80" s="310"/>
      <c r="EZ80" s="396"/>
      <c r="FA80" s="396"/>
      <c r="FB80" s="310"/>
      <c r="FC80" s="310"/>
      <c r="FD80" s="310"/>
      <c r="FE80" s="396"/>
      <c r="FF80" s="396"/>
      <c r="FG80" s="396"/>
      <c r="FH80" s="311"/>
      <c r="FI80" s="310"/>
      <c r="FJ80" s="296" t="e">
        <f t="shared" si="328"/>
        <v>#DIV/0!</v>
      </c>
      <c r="FK80" s="353">
        <f t="shared" si="389"/>
        <v>2624.2</v>
      </c>
      <c r="FL80" s="353">
        <f t="shared" si="356"/>
        <v>2624.2</v>
      </c>
      <c r="FM80" s="353"/>
      <c r="FN80" s="388">
        <f t="shared" si="331"/>
        <v>1</v>
      </c>
      <c r="FO80" s="388">
        <f t="shared" si="332"/>
        <v>0</v>
      </c>
      <c r="FP80" s="353">
        <f t="shared" si="390"/>
        <v>2904.3240000000001</v>
      </c>
      <c r="FQ80" s="353">
        <f t="shared" si="333"/>
        <v>1756.87302</v>
      </c>
      <c r="FR80" s="353">
        <f t="shared" si="334"/>
        <v>1147.4509800000001</v>
      </c>
      <c r="FS80" s="388">
        <f t="shared" si="335"/>
        <v>0.6049163316489482</v>
      </c>
      <c r="FT80" s="388">
        <f t="shared" si="336"/>
        <v>0.39508366835105174</v>
      </c>
      <c r="FU80" s="388"/>
      <c r="FV80" s="353">
        <f t="shared" si="337"/>
        <v>2904.3240000000001</v>
      </c>
      <c r="FW80" s="353">
        <f t="shared" si="391"/>
        <v>-1147.4509800000001</v>
      </c>
      <c r="FX80" s="310"/>
      <c r="FY80" s="310"/>
      <c r="FZ80" s="310"/>
      <c r="GA80" s="396"/>
      <c r="GB80" s="396"/>
      <c r="GC80" s="310"/>
      <c r="GD80" s="310"/>
      <c r="GE80" s="310"/>
      <c r="GF80" s="396"/>
      <c r="GG80" s="396"/>
      <c r="GH80" s="396"/>
      <c r="GI80" s="311"/>
      <c r="GJ80" s="344"/>
      <c r="GK80" s="303">
        <f t="shared" si="368"/>
        <v>0.66948899474125456</v>
      </c>
    </row>
    <row r="81" spans="2:193" s="115" customFormat="1" ht="15.75" customHeight="1" x14ac:dyDescent="0.25">
      <c r="B81" s="109"/>
      <c r="C81" s="110"/>
      <c r="D81" s="110"/>
      <c r="E81" s="111"/>
      <c r="F81" s="109"/>
      <c r="G81" s="110"/>
      <c r="H81" s="110"/>
      <c r="I81" s="111"/>
      <c r="J81" s="112"/>
      <c r="K81" s="112"/>
      <c r="L81" s="113"/>
      <c r="M81" s="111"/>
      <c r="N81" s="114" t="s">
        <v>3</v>
      </c>
      <c r="O81" s="114"/>
      <c r="P81" s="114">
        <f t="shared" si="388"/>
        <v>0</v>
      </c>
      <c r="Q81" s="114"/>
      <c r="R81" s="114"/>
      <c r="S81" s="114"/>
      <c r="T81" s="158">
        <f>T82+T83+T84+T85+T86+T87+T88+T89+T90+T91+T92+T93+T94+T95</f>
        <v>20</v>
      </c>
      <c r="U81" s="158">
        <f>U82+U83+U84+U85+U86+U87+U88+U89+U90+U91+U92+U93+U94+U95</f>
        <v>4</v>
      </c>
      <c r="V81" s="57">
        <f t="shared" si="369"/>
        <v>94442.751000000004</v>
      </c>
      <c r="W81" s="57">
        <f t="shared" ref="W81:AA81" si="404">SUM(W82:W95)-W83</f>
        <v>0</v>
      </c>
      <c r="X81" s="57">
        <f t="shared" si="404"/>
        <v>77536</v>
      </c>
      <c r="Y81" s="57">
        <f t="shared" si="404"/>
        <v>24429.199999999997</v>
      </c>
      <c r="Z81" s="57">
        <f t="shared" si="404"/>
        <v>53106.8</v>
      </c>
      <c r="AA81" s="57">
        <f t="shared" si="404"/>
        <v>16906.751</v>
      </c>
      <c r="AB81" s="564">
        <f t="shared" ref="AB81:AH81" si="405">SUM(AB82:AB95)-AB83</f>
        <v>94442.751000000004</v>
      </c>
      <c r="AC81" s="564">
        <f t="shared" si="405"/>
        <v>0</v>
      </c>
      <c r="AD81" s="564">
        <f t="shared" si="405"/>
        <v>77536</v>
      </c>
      <c r="AE81" s="564">
        <f t="shared" si="405"/>
        <v>24429.199999999997</v>
      </c>
      <c r="AF81" s="564">
        <f t="shared" si="405"/>
        <v>53106.8</v>
      </c>
      <c r="AG81" s="564">
        <f t="shared" si="405"/>
        <v>16906.751</v>
      </c>
      <c r="AH81" s="564">
        <f t="shared" si="405"/>
        <v>0</v>
      </c>
      <c r="AI81" s="564">
        <f t="shared" ref="AI81:AM81" si="406">SUM(AI82:AI95)-AI83</f>
        <v>101053.3</v>
      </c>
      <c r="AJ81" s="564">
        <f t="shared" si="406"/>
        <v>0</v>
      </c>
      <c r="AK81" s="564">
        <f t="shared" si="406"/>
        <v>24817.000000000004</v>
      </c>
      <c r="AL81" s="564">
        <f t="shared" si="406"/>
        <v>76236.3</v>
      </c>
      <c r="AM81" s="564">
        <f t="shared" si="406"/>
        <v>0</v>
      </c>
      <c r="AN81" s="564">
        <f t="shared" ref="AN81:AR81" si="407">SUM(AN82:AN95)-AN83</f>
        <v>68616.999999999985</v>
      </c>
      <c r="AO81" s="564">
        <f t="shared" si="407"/>
        <v>0</v>
      </c>
      <c r="AP81" s="564">
        <f t="shared" si="407"/>
        <v>24817.000000000004</v>
      </c>
      <c r="AQ81" s="564">
        <f t="shared" si="407"/>
        <v>43800</v>
      </c>
      <c r="AR81" s="564">
        <f t="shared" si="407"/>
        <v>0</v>
      </c>
      <c r="AS81" s="566">
        <f t="shared" ref="AS81:AW81" si="408">SUM(AS82:AS95)-AS83</f>
        <v>54590</v>
      </c>
      <c r="AT81" s="564">
        <f t="shared" si="408"/>
        <v>0</v>
      </c>
      <c r="AU81" s="564">
        <f t="shared" si="408"/>
        <v>10790</v>
      </c>
      <c r="AV81" s="564">
        <f t="shared" si="408"/>
        <v>43800</v>
      </c>
      <c r="AW81" s="564">
        <f t="shared" si="408"/>
        <v>0</v>
      </c>
      <c r="AX81" s="565"/>
      <c r="AY81" s="564">
        <f t="shared" ref="AY81:BD81" si="409">SUM(AY82:AY95)-AY83</f>
        <v>93505.456959999996</v>
      </c>
      <c r="AZ81" s="564">
        <f t="shared" si="409"/>
        <v>0</v>
      </c>
      <c r="BA81" s="564">
        <f t="shared" si="409"/>
        <v>76598.705959999992</v>
      </c>
      <c r="BB81" s="564">
        <f t="shared" ref="BB81:BC81" si="410">SUM(BB82:BB95)-BB83</f>
        <v>23491.90596</v>
      </c>
      <c r="BC81" s="564">
        <f t="shared" si="410"/>
        <v>53106.8</v>
      </c>
      <c r="BD81" s="564">
        <f t="shared" si="409"/>
        <v>16906.751</v>
      </c>
      <c r="BE81" s="564">
        <f>SUM(BE82:BE95)-BE83</f>
        <v>0</v>
      </c>
      <c r="BF81" s="564">
        <f t="shared" si="370"/>
        <v>937.29403999999704</v>
      </c>
      <c r="BG81" s="564">
        <f t="shared" si="371"/>
        <v>0</v>
      </c>
      <c r="BH81" s="564">
        <f t="shared" si="372"/>
        <v>937.29403999999704</v>
      </c>
      <c r="BI81" s="564">
        <f t="shared" si="373"/>
        <v>937.29403999999704</v>
      </c>
      <c r="BJ81" s="564">
        <f t="shared" si="374"/>
        <v>0</v>
      </c>
      <c r="BK81" s="564">
        <f t="shared" si="375"/>
        <v>0</v>
      </c>
      <c r="BL81" s="564" t="e">
        <f t="shared" ref="BL81:BQ81" si="411">SUM(BL82:BL95)-BL83</f>
        <v>#REF!</v>
      </c>
      <c r="BM81" s="564">
        <f t="shared" si="411"/>
        <v>99284.5</v>
      </c>
      <c r="BN81" s="564">
        <f t="shared" si="411"/>
        <v>0</v>
      </c>
      <c r="BO81" s="564">
        <f t="shared" si="411"/>
        <v>24288.2</v>
      </c>
      <c r="BP81" s="564">
        <f t="shared" si="411"/>
        <v>74996.3</v>
      </c>
      <c r="BQ81" s="564">
        <f t="shared" si="411"/>
        <v>0</v>
      </c>
      <c r="BR81" s="564">
        <f t="shared" ref="BR81:DB81" si="412">SUM(BR82:BR95)-BR83</f>
        <v>0</v>
      </c>
      <c r="BS81" s="564">
        <f t="shared" si="412"/>
        <v>0</v>
      </c>
      <c r="BT81" s="564">
        <f t="shared" si="412"/>
        <v>0</v>
      </c>
      <c r="BU81" s="564">
        <f t="shared" si="412"/>
        <v>0</v>
      </c>
      <c r="BV81" s="564">
        <f t="shared" si="412"/>
        <v>0</v>
      </c>
      <c r="BW81" s="564">
        <f t="shared" si="412"/>
        <v>84305.299099999989</v>
      </c>
      <c r="BX81" s="564">
        <f t="shared" si="412"/>
        <v>0</v>
      </c>
      <c r="BY81" s="564">
        <f t="shared" si="376"/>
        <v>70773.817439999999</v>
      </c>
      <c r="BZ81" s="564">
        <f t="shared" si="412"/>
        <v>20778.603349999998</v>
      </c>
      <c r="CA81" s="564">
        <f t="shared" si="412"/>
        <v>49995.214090000001</v>
      </c>
      <c r="CB81" s="564">
        <f t="shared" si="412"/>
        <v>13531.481659999999</v>
      </c>
      <c r="CC81" s="564">
        <f t="shared" si="412"/>
        <v>0</v>
      </c>
      <c r="CD81" s="564">
        <f t="shared" si="412"/>
        <v>84305.299099999989</v>
      </c>
      <c r="CE81" s="564">
        <f t="shared" ref="CE81" si="413">SUM(CE82:CE95)-CE83</f>
        <v>0</v>
      </c>
      <c r="CF81" s="564">
        <f t="shared" si="377"/>
        <v>70773.817439999999</v>
      </c>
      <c r="CG81" s="564">
        <f t="shared" ref="CG81:CH81" si="414">SUM(CG82:CG95)-CG83</f>
        <v>20778.603349999998</v>
      </c>
      <c r="CH81" s="564">
        <f t="shared" si="414"/>
        <v>49995.214090000001</v>
      </c>
      <c r="CI81" s="564">
        <f t="shared" ref="CI81" si="415">SUM(CI82:CI95)-CI83</f>
        <v>13531.481659999999</v>
      </c>
      <c r="CJ81" s="564">
        <f t="shared" si="412"/>
        <v>0</v>
      </c>
      <c r="CK81" s="566">
        <f t="shared" si="412"/>
        <v>24100.409540000008</v>
      </c>
      <c r="CL81" s="564">
        <f t="shared" si="412"/>
        <v>0</v>
      </c>
      <c r="CM81" s="564">
        <f>SUM(CM82:CM95)</f>
        <v>22596.911480000006</v>
      </c>
      <c r="CN81" s="564">
        <f t="shared" si="412"/>
        <v>3009.1575299999995</v>
      </c>
      <c r="CO81" s="564">
        <f t="shared" si="412"/>
        <v>1528.2200700000001</v>
      </c>
      <c r="CP81" s="564">
        <f t="shared" si="412"/>
        <v>1503.4980599999999</v>
      </c>
      <c r="CQ81" s="564">
        <f t="shared" si="412"/>
        <v>0</v>
      </c>
      <c r="CR81" s="564">
        <f t="shared" si="412"/>
        <v>108405.70864</v>
      </c>
      <c r="CS81" s="564">
        <f t="shared" si="379"/>
        <v>108405.70864000001</v>
      </c>
      <c r="CT81" s="564">
        <f t="shared" si="380"/>
        <v>0</v>
      </c>
      <c r="CU81" s="564">
        <f t="shared" si="381"/>
        <v>93370.728920000009</v>
      </c>
      <c r="CV81" s="564">
        <f t="shared" si="382"/>
        <v>15034.979719999999</v>
      </c>
      <c r="CW81" s="564">
        <f t="shared" si="412"/>
        <v>0</v>
      </c>
      <c r="CX81" s="564">
        <f t="shared" ca="1" si="182"/>
        <v>0</v>
      </c>
      <c r="CY81" s="564">
        <f t="shared" si="383"/>
        <v>0</v>
      </c>
      <c r="CZ81" s="564">
        <f t="shared" si="384"/>
        <v>0</v>
      </c>
      <c r="DA81" s="564">
        <f t="shared" si="385"/>
        <v>0</v>
      </c>
      <c r="DB81" s="57">
        <f t="shared" si="412"/>
        <v>0</v>
      </c>
      <c r="DC81" s="225">
        <f>DD81+DF81-BR81</f>
        <v>99284.499999999985</v>
      </c>
      <c r="DD81" s="226">
        <f t="shared" ref="DD81:DX81" si="416">SUM(DD82:DD95)-DD83</f>
        <v>99284.499999999985</v>
      </c>
      <c r="DE81" s="226">
        <f t="shared" si="416"/>
        <v>87391.799999999988</v>
      </c>
      <c r="DF81" s="57">
        <f t="shared" si="416"/>
        <v>0</v>
      </c>
      <c r="DG81" s="57">
        <f t="shared" si="416"/>
        <v>0</v>
      </c>
      <c r="DH81" s="57">
        <f t="shared" si="416"/>
        <v>0</v>
      </c>
      <c r="DI81" s="57">
        <f t="shared" si="416"/>
        <v>0</v>
      </c>
      <c r="DJ81" s="57">
        <f t="shared" si="416"/>
        <v>0</v>
      </c>
      <c r="DK81" s="57">
        <f t="shared" si="416"/>
        <v>0</v>
      </c>
      <c r="DL81" s="57">
        <f t="shared" si="416"/>
        <v>0</v>
      </c>
      <c r="DM81" s="57">
        <f t="shared" si="416"/>
        <v>0</v>
      </c>
      <c r="DN81" s="57">
        <f t="shared" si="416"/>
        <v>0</v>
      </c>
      <c r="DO81" s="57">
        <f t="shared" si="416"/>
        <v>0</v>
      </c>
      <c r="DP81" s="57">
        <f t="shared" si="416"/>
        <v>0</v>
      </c>
      <c r="DQ81" s="57">
        <f t="shared" si="416"/>
        <v>0</v>
      </c>
      <c r="DR81" s="57">
        <f t="shared" si="416"/>
        <v>0</v>
      </c>
      <c r="DS81" s="57">
        <f t="shared" si="416"/>
        <v>0</v>
      </c>
      <c r="DT81" s="57">
        <f t="shared" si="416"/>
        <v>0</v>
      </c>
      <c r="DU81" s="57">
        <f t="shared" si="416"/>
        <v>0</v>
      </c>
      <c r="DV81" s="57">
        <f t="shared" si="416"/>
        <v>0</v>
      </c>
      <c r="DW81" s="57">
        <f t="shared" si="416"/>
        <v>0</v>
      </c>
      <c r="DX81" s="57">
        <f t="shared" ca="1" si="416"/>
        <v>0</v>
      </c>
      <c r="DY81" s="124"/>
      <c r="DZ81" s="57">
        <f>SUM(DZ82:DZ95)-DZ83</f>
        <v>84305.299099999989</v>
      </c>
      <c r="EA81" s="57">
        <f>SUM(EA82:EA95)-EA83</f>
        <v>84305.299099999989</v>
      </c>
      <c r="EB81" s="124"/>
      <c r="EC81" s="57">
        <f>SUM(EC82:EC95)-EC83</f>
        <v>84305.299100000004</v>
      </c>
      <c r="ED81" s="57">
        <f ca="1">SUM(ED82:ED95)-ED83</f>
        <v>0</v>
      </c>
      <c r="EE81" s="124"/>
      <c r="EF81" s="57">
        <f>SUM(EF82:EF95)-EF83</f>
        <v>3086.5008999999918</v>
      </c>
      <c r="EG81" s="124">
        <f ca="1">DX81-EF81</f>
        <v>-3086.5008999999918</v>
      </c>
      <c r="EH81" s="124"/>
      <c r="EI81" s="57">
        <f t="shared" si="357"/>
        <v>84305.299100000004</v>
      </c>
      <c r="EJ81" s="57">
        <f t="shared" ref="EJ81:EN81" si="417">SUM(EJ82:EJ95)-EJ83</f>
        <v>0</v>
      </c>
      <c r="EK81" s="57">
        <f t="shared" si="386"/>
        <v>70773.817439999999</v>
      </c>
      <c r="EL81" s="57">
        <f t="shared" ref="EL81:EM81" si="418">SUM(EL82:EL95)-EL83</f>
        <v>20778.603349999998</v>
      </c>
      <c r="EM81" s="57">
        <f t="shared" si="418"/>
        <v>49995.214090000001</v>
      </c>
      <c r="EN81" s="57">
        <f t="shared" si="417"/>
        <v>13531.481659999999</v>
      </c>
      <c r="EO81" s="57">
        <f t="shared" ref="EO81" si="419">SUM(EO82:EO95)-EO83</f>
        <v>0</v>
      </c>
      <c r="EP81" s="57">
        <f t="shared" si="358"/>
        <v>24100.409540000008</v>
      </c>
      <c r="EQ81" s="57">
        <f t="shared" ref="EQ81" si="420">SUM(EQ82:EQ95)-EQ83</f>
        <v>0</v>
      </c>
      <c r="ER81" s="57">
        <f>SUM(ER82:ER95)</f>
        <v>22596.911480000006</v>
      </c>
      <c r="ES81" s="57">
        <f t="shared" ref="ES81:EU81" si="421">SUM(ES82:ES95)-ES83</f>
        <v>11128.748680000001</v>
      </c>
      <c r="ET81" s="57">
        <f t="shared" si="421"/>
        <v>12667.060737</v>
      </c>
      <c r="EU81" s="57">
        <f t="shared" si="421"/>
        <v>1503.4980599999999</v>
      </c>
      <c r="EV81" s="140">
        <f t="shared" ref="EV81" si="422">SUM(EV82:EV95)-EV83</f>
        <v>0</v>
      </c>
      <c r="EW81" s="57">
        <f t="shared" ref="EW81:EW130" si="423">EX81+EY81+EZ81</f>
        <v>0</v>
      </c>
      <c r="EX81" s="57">
        <f>AZ81</f>
        <v>0</v>
      </c>
      <c r="EY81" s="57">
        <f t="shared" ref="EY81" si="424">SUM(EY82:EY95)-EY83</f>
        <v>0</v>
      </c>
      <c r="EZ81" s="390"/>
      <c r="FA81" s="390"/>
      <c r="FB81" s="57">
        <f t="shared" ref="FB81:FB130" si="425">FC81+FD81</f>
        <v>0</v>
      </c>
      <c r="FC81" s="57">
        <f>SUM(FC82:FC95)</f>
        <v>0</v>
      </c>
      <c r="FD81" s="57">
        <f>SUM(FD82:FD95)</f>
        <v>0</v>
      </c>
      <c r="FE81" s="390"/>
      <c r="FF81" s="390"/>
      <c r="FG81" s="390"/>
      <c r="FH81" s="304" t="e">
        <f t="shared" ref="FH81" si="426">SUM(FH82:FH95)</f>
        <v>#DIV/0!</v>
      </c>
      <c r="FI81" s="57" t="e">
        <f t="shared" ref="FI81:FI130" si="427">FH81-FE81</f>
        <v>#DIV/0!</v>
      </c>
      <c r="FJ81" s="295"/>
      <c r="FK81" s="57">
        <f t="shared" si="389"/>
        <v>76598.705959999992</v>
      </c>
      <c r="FL81" s="57">
        <f t="shared" si="356"/>
        <v>76598.705959999992</v>
      </c>
      <c r="FM81" s="57">
        <f t="shared" ref="FM81" si="428">SUM(FM82:FM95)-FM83</f>
        <v>0</v>
      </c>
      <c r="FN81" s="390"/>
      <c r="FO81" s="390"/>
      <c r="FP81" s="57">
        <f t="shared" si="390"/>
        <v>93370.728920000009</v>
      </c>
      <c r="FQ81" s="57">
        <f>SUM(FQ82:FQ95)</f>
        <v>70773.817439999999</v>
      </c>
      <c r="FR81" s="57">
        <f>SUM(FR82:FR95)</f>
        <v>22596.911480000006</v>
      </c>
      <c r="FS81" s="390"/>
      <c r="FT81" s="390"/>
      <c r="FU81" s="390"/>
      <c r="FV81" s="57">
        <f t="shared" si="337"/>
        <v>0</v>
      </c>
      <c r="FW81" s="57">
        <f t="shared" si="391"/>
        <v>70773.817439999999</v>
      </c>
      <c r="FX81" s="57">
        <f t="shared" ref="FX81" si="429">FY81+FZ81+GA81</f>
        <v>16906.751</v>
      </c>
      <c r="FY81" s="57">
        <f>BD81</f>
        <v>16906.751</v>
      </c>
      <c r="FZ81" s="57">
        <f t="shared" ref="FZ81" si="430">SUM(FZ82:FZ95)-FZ83</f>
        <v>0</v>
      </c>
      <c r="GA81" s="390"/>
      <c r="GB81" s="390"/>
      <c r="GC81" s="57">
        <f t="shared" si="402"/>
        <v>15034.979719999999</v>
      </c>
      <c r="GD81" s="57">
        <f t="shared" si="177"/>
        <v>13531.481659999999</v>
      </c>
      <c r="GE81" s="57">
        <f t="shared" si="178"/>
        <v>1503.4980599999999</v>
      </c>
      <c r="GF81" s="390"/>
      <c r="GG81" s="390"/>
      <c r="GH81" s="390"/>
      <c r="GI81" s="304">
        <f t="shared" si="262"/>
        <v>0</v>
      </c>
      <c r="GJ81" s="77">
        <f t="shared" si="403"/>
        <v>13531.481659999999</v>
      </c>
      <c r="GK81" s="462">
        <f t="shared" si="368"/>
        <v>0.89266034933692251</v>
      </c>
    </row>
    <row r="82" spans="2:193" s="37" customFormat="1" ht="15.6" hidden="1" customHeight="1" x14ac:dyDescent="0.25">
      <c r="B82" s="29">
        <v>1</v>
      </c>
      <c r="C82" s="30"/>
      <c r="D82" s="30"/>
      <c r="E82" s="493">
        <v>65</v>
      </c>
      <c r="F82" s="29">
        <v>1</v>
      </c>
      <c r="G82" s="30"/>
      <c r="H82" s="30"/>
      <c r="I82" s="729"/>
      <c r="J82" s="730"/>
      <c r="K82" s="730"/>
      <c r="L82" s="154"/>
      <c r="M82" s="493">
        <v>54</v>
      </c>
      <c r="N82" s="494" t="s">
        <v>205</v>
      </c>
      <c r="O82" s="127"/>
      <c r="P82" s="127">
        <f t="shared" si="388"/>
        <v>0</v>
      </c>
      <c r="Q82" s="127"/>
      <c r="R82" s="127"/>
      <c r="S82" s="127"/>
      <c r="T82" s="127"/>
      <c r="U82" s="127"/>
      <c r="V82" s="2">
        <f t="shared" si="369"/>
        <v>0</v>
      </c>
      <c r="W82" s="2"/>
      <c r="X82" s="2">
        <f t="shared" si="227"/>
        <v>0</v>
      </c>
      <c r="Y82" s="2">
        <f>363-363</f>
        <v>0</v>
      </c>
      <c r="Z82" s="2"/>
      <c r="AA82" s="2"/>
      <c r="AB82" s="567">
        <f t="shared" ref="AB82:AB95" si="431">AC82+AD82+AG82+AH82</f>
        <v>0</v>
      </c>
      <c r="AC82" s="567"/>
      <c r="AD82" s="567">
        <f t="shared" si="229"/>
        <v>0</v>
      </c>
      <c r="AE82" s="567">
        <f>363-363</f>
        <v>0</v>
      </c>
      <c r="AF82" s="567"/>
      <c r="AG82" s="567"/>
      <c r="AH82" s="573"/>
      <c r="AI82" s="567">
        <f t="shared" ref="AI82:AI95" si="432">AJ82+AK82+AL82+AM82</f>
        <v>0</v>
      </c>
      <c r="AJ82" s="567"/>
      <c r="AK82" s="567">
        <v>0</v>
      </c>
      <c r="AL82" s="567"/>
      <c r="AM82" s="573"/>
      <c r="AN82" s="567">
        <f t="shared" ref="AN82:AN95" si="433">AO82+AP82+AQ82+AR82</f>
        <v>0</v>
      </c>
      <c r="AO82" s="567"/>
      <c r="AP82" s="567">
        <v>0</v>
      </c>
      <c r="AQ82" s="567"/>
      <c r="AR82" s="573"/>
      <c r="AS82" s="567">
        <f t="shared" ref="AS82:AS95" si="434">AT82+AU82+AV82+AW82</f>
        <v>10</v>
      </c>
      <c r="AT82" s="567"/>
      <c r="AU82" s="567">
        <v>10</v>
      </c>
      <c r="AV82" s="567"/>
      <c r="AW82" s="567"/>
      <c r="AX82" s="409"/>
      <c r="AY82" s="567">
        <f t="shared" si="150"/>
        <v>0</v>
      </c>
      <c r="AZ82" s="567"/>
      <c r="BA82" s="567">
        <f t="shared" ref="BA82:BA95" si="435">BB82+BC82</f>
        <v>0</v>
      </c>
      <c r="BB82" s="567"/>
      <c r="BC82" s="567"/>
      <c r="BD82" s="567"/>
      <c r="BE82" s="567"/>
      <c r="BF82" s="567">
        <f t="shared" si="370"/>
        <v>0</v>
      </c>
      <c r="BG82" s="567">
        <f t="shared" si="371"/>
        <v>0</v>
      </c>
      <c r="BH82" s="567">
        <f t="shared" si="372"/>
        <v>0</v>
      </c>
      <c r="BI82" s="567">
        <f t="shared" si="373"/>
        <v>0</v>
      </c>
      <c r="BJ82" s="567">
        <f t="shared" si="374"/>
        <v>0</v>
      </c>
      <c r="BK82" s="567">
        <f t="shared" si="375"/>
        <v>0</v>
      </c>
      <c r="BL82" s="567" t="e">
        <f>#REF!-BE82</f>
        <v>#REF!</v>
      </c>
      <c r="BM82" s="567">
        <f t="shared" ref="BM82:BM95" si="436">BN82+BO82+BP82+BQ82</f>
        <v>0</v>
      </c>
      <c r="BN82" s="567"/>
      <c r="BO82" s="567"/>
      <c r="BP82" s="567"/>
      <c r="BQ82" s="567"/>
      <c r="BR82" s="567">
        <f t="shared" ref="BR82:BR95" si="437">BS82+BT82+BU82+BV82</f>
        <v>0</v>
      </c>
      <c r="BS82" s="567"/>
      <c r="BT82" s="567"/>
      <c r="BU82" s="567"/>
      <c r="BV82" s="567"/>
      <c r="BW82" s="567">
        <f t="shared" ref="BW82:BW95" si="438">BX82+BY82+CB82+CC82</f>
        <v>0</v>
      </c>
      <c r="BX82" s="567"/>
      <c r="BY82" s="567">
        <f t="shared" si="376"/>
        <v>0</v>
      </c>
      <c r="BZ82" s="567"/>
      <c r="CA82" s="567"/>
      <c r="CB82" s="567"/>
      <c r="CC82" s="567"/>
      <c r="CD82" s="567">
        <f t="shared" ref="CD82:CD95" si="439">CE82+CF82+CI82+CJ82</f>
        <v>0</v>
      </c>
      <c r="CE82" s="567"/>
      <c r="CF82" s="567">
        <f t="shared" si="377"/>
        <v>0</v>
      </c>
      <c r="CG82" s="567"/>
      <c r="CH82" s="567"/>
      <c r="CI82" s="567"/>
      <c r="CJ82" s="567"/>
      <c r="CK82" s="567">
        <f t="shared" ref="CK82:CK95" si="440">CL82+CM82+CP82+CQ82</f>
        <v>0</v>
      </c>
      <c r="CL82" s="567"/>
      <c r="CM82" s="567">
        <f t="shared" si="378"/>
        <v>0</v>
      </c>
      <c r="CN82" s="567"/>
      <c r="CO82" s="567"/>
      <c r="CP82" s="567"/>
      <c r="CQ82" s="567"/>
      <c r="CR82" s="573">
        <f t="shared" ref="CR82:CR95" si="441">CS82</f>
        <v>0</v>
      </c>
      <c r="CS82" s="567">
        <f t="shared" si="379"/>
        <v>0</v>
      </c>
      <c r="CT82" s="567">
        <f t="shared" si="380"/>
        <v>0</v>
      </c>
      <c r="CU82" s="567">
        <f t="shared" si="381"/>
        <v>0</v>
      </c>
      <c r="CV82" s="567">
        <f t="shared" si="382"/>
        <v>0</v>
      </c>
      <c r="CW82" s="567">
        <f t="shared" ref="CW82:CW95" si="442">CJ82+CQ82</f>
        <v>0</v>
      </c>
      <c r="CX82" s="567">
        <f t="shared" ca="1" si="182"/>
        <v>0</v>
      </c>
      <c r="CY82" s="567">
        <f t="shared" si="383"/>
        <v>0</v>
      </c>
      <c r="CZ82" s="567">
        <f t="shared" si="384"/>
        <v>0</v>
      </c>
      <c r="DA82" s="567">
        <f t="shared" si="385"/>
        <v>0</v>
      </c>
      <c r="DB82" s="2">
        <f t="shared" ref="DB82:DB95" si="443">CC82-CJ82</f>
        <v>0</v>
      </c>
      <c r="DC82" s="76"/>
      <c r="DD82" s="253"/>
      <c r="DE82" s="253">
        <f>DF82</f>
        <v>0</v>
      </c>
      <c r="DF82" s="2">
        <f t="shared" ref="DF82:DF95" si="444">DG82+DH82+DI82+DJ82</f>
        <v>0</v>
      </c>
      <c r="DG82" s="2"/>
      <c r="DH82" s="2"/>
      <c r="DI82" s="2"/>
      <c r="DJ82" s="2"/>
      <c r="DK82" s="2">
        <f t="shared" ref="DK82:DK95" si="445">DL82+DM82+DN82+DO82</f>
        <v>0</v>
      </c>
      <c r="DL82" s="2"/>
      <c r="DM82" s="2"/>
      <c r="DN82" s="2"/>
      <c r="DO82" s="2"/>
      <c r="DP82" s="2">
        <f t="shared" ref="DP82:DP95" si="446">DQ82+DR82+DS82+DT82</f>
        <v>0</v>
      </c>
      <c r="DQ82" s="2">
        <f t="shared" ref="DQ82:DT95" si="447">DG82-DL82</f>
        <v>0</v>
      </c>
      <c r="DR82" s="2">
        <f t="shared" si="447"/>
        <v>0</v>
      </c>
      <c r="DS82" s="2">
        <f t="shared" si="447"/>
        <v>0</v>
      </c>
      <c r="DT82" s="2">
        <f t="shared" si="447"/>
        <v>0</v>
      </c>
      <c r="DU82" s="2"/>
      <c r="DV82" s="2"/>
      <c r="DW82" s="2"/>
      <c r="DX82" s="2">
        <f t="shared" ref="DX82:DX95" ca="1" si="448">CX82+DP82+DW82</f>
        <v>0</v>
      </c>
      <c r="DY82" s="46"/>
      <c r="DZ82" s="2">
        <f t="shared" ref="DZ82:DZ95" si="449">BW82+DF82+DU82</f>
        <v>0</v>
      </c>
      <c r="EA82" s="2">
        <f t="shared" ref="EA82:EA95" si="450">CD82+DK82+DV82</f>
        <v>0</v>
      </c>
      <c r="EB82" s="46"/>
      <c r="EC82" s="2">
        <f t="shared" ref="EC82:EC83" si="451">EA82</f>
        <v>0</v>
      </c>
      <c r="ED82" s="2">
        <f t="shared" ref="ED82:ED83" ca="1" si="452">DX82</f>
        <v>0</v>
      </c>
      <c r="EE82" s="46"/>
      <c r="EF82" s="2">
        <f>DE82-EC82</f>
        <v>0</v>
      </c>
      <c r="EG82" s="46"/>
      <c r="EH82" s="46"/>
      <c r="EI82" s="2">
        <f t="shared" si="357"/>
        <v>0</v>
      </c>
      <c r="EJ82" s="2"/>
      <c r="EK82" s="2">
        <f t="shared" si="386"/>
        <v>0</v>
      </c>
      <c r="EL82" s="2"/>
      <c r="EM82" s="2"/>
      <c r="EN82" s="2"/>
      <c r="EO82" s="2"/>
      <c r="EP82" s="2">
        <f t="shared" si="358"/>
        <v>0</v>
      </c>
      <c r="EQ82" s="2"/>
      <c r="ER82" s="2">
        <f t="shared" si="387"/>
        <v>0</v>
      </c>
      <c r="ES82" s="2"/>
      <c r="ET82" s="2"/>
      <c r="EU82" s="2"/>
      <c r="EV82" s="141"/>
      <c r="EW82" s="310"/>
      <c r="EX82" s="310"/>
      <c r="EY82" s="310"/>
      <c r="EZ82" s="396"/>
      <c r="FA82" s="396"/>
      <c r="FB82" s="310"/>
      <c r="FC82" s="310"/>
      <c r="FD82" s="310"/>
      <c r="FE82" s="396"/>
      <c r="FF82" s="396"/>
      <c r="FG82" s="396"/>
      <c r="FH82" s="311"/>
      <c r="FI82" s="310"/>
      <c r="FJ82" s="296" t="e">
        <f t="shared" ref="FJ82:FJ95" si="453">FH82/FE82</f>
        <v>#DIV/0!</v>
      </c>
      <c r="FK82" s="353"/>
      <c r="FL82" s="353"/>
      <c r="FM82" s="353"/>
      <c r="FN82" s="388"/>
      <c r="FO82" s="388"/>
      <c r="FP82" s="353"/>
      <c r="FQ82" s="353"/>
      <c r="FR82" s="353"/>
      <c r="FS82" s="388"/>
      <c r="FT82" s="388"/>
      <c r="FU82" s="388"/>
      <c r="FV82" s="353"/>
      <c r="FW82" s="353">
        <f t="shared" si="391"/>
        <v>0</v>
      </c>
      <c r="FX82" s="310"/>
      <c r="FY82" s="310"/>
      <c r="FZ82" s="310"/>
      <c r="GA82" s="396"/>
      <c r="GB82" s="396"/>
      <c r="GC82" s="310"/>
      <c r="GD82" s="310"/>
      <c r="GE82" s="310"/>
      <c r="GF82" s="396"/>
      <c r="GG82" s="396"/>
      <c r="GH82" s="396"/>
      <c r="GI82" s="311"/>
      <c r="GJ82" s="344"/>
      <c r="GK82" s="303" t="e">
        <f t="shared" si="368"/>
        <v>#DIV/0!</v>
      </c>
    </row>
    <row r="83" spans="2:193" s="37" customFormat="1" ht="15.6" hidden="1" customHeight="1" x14ac:dyDescent="0.2">
      <c r="B83" s="29"/>
      <c r="C83" s="30"/>
      <c r="D83" s="30"/>
      <c r="E83" s="493"/>
      <c r="F83" s="29"/>
      <c r="G83" s="30"/>
      <c r="H83" s="30"/>
      <c r="I83" s="733"/>
      <c r="J83" s="734"/>
      <c r="K83" s="734"/>
      <c r="L83" s="734"/>
      <c r="M83" s="493"/>
      <c r="N83" s="18" t="s">
        <v>246</v>
      </c>
      <c r="O83" s="128"/>
      <c r="P83" s="128">
        <f t="shared" si="388"/>
        <v>0</v>
      </c>
      <c r="Q83" s="128"/>
      <c r="R83" s="128"/>
      <c r="S83" s="128"/>
      <c r="T83" s="128"/>
      <c r="U83" s="128"/>
      <c r="V83" s="2">
        <f t="shared" si="369"/>
        <v>0</v>
      </c>
      <c r="W83" s="2"/>
      <c r="X83" s="2">
        <f t="shared" si="227"/>
        <v>0</v>
      </c>
      <c r="Y83" s="2"/>
      <c r="Z83" s="2"/>
      <c r="AA83" s="2"/>
      <c r="AB83" s="567">
        <f t="shared" si="431"/>
        <v>0</v>
      </c>
      <c r="AC83" s="567"/>
      <c r="AD83" s="567">
        <f t="shared" si="229"/>
        <v>0</v>
      </c>
      <c r="AE83" s="567"/>
      <c r="AF83" s="567"/>
      <c r="AG83" s="567"/>
      <c r="AH83" s="573"/>
      <c r="AI83" s="567">
        <f t="shared" si="432"/>
        <v>0</v>
      </c>
      <c r="AJ83" s="567"/>
      <c r="AK83" s="567"/>
      <c r="AL83" s="567"/>
      <c r="AM83" s="573"/>
      <c r="AN83" s="567">
        <f t="shared" si="433"/>
        <v>0</v>
      </c>
      <c r="AO83" s="567"/>
      <c r="AP83" s="567"/>
      <c r="AQ83" s="567"/>
      <c r="AR83" s="573"/>
      <c r="AS83" s="567">
        <f t="shared" si="434"/>
        <v>0</v>
      </c>
      <c r="AT83" s="567"/>
      <c r="AU83" s="567"/>
      <c r="AV83" s="567"/>
      <c r="AW83" s="567"/>
      <c r="AX83" s="409"/>
      <c r="AY83" s="567">
        <f t="shared" si="150"/>
        <v>0</v>
      </c>
      <c r="AZ83" s="567"/>
      <c r="BA83" s="574">
        <f t="shared" si="435"/>
        <v>0</v>
      </c>
      <c r="BB83" s="567"/>
      <c r="BC83" s="567"/>
      <c r="BD83" s="567"/>
      <c r="BE83" s="567"/>
      <c r="BF83" s="567">
        <f t="shared" si="370"/>
        <v>0</v>
      </c>
      <c r="BG83" s="567">
        <f t="shared" si="371"/>
        <v>0</v>
      </c>
      <c r="BH83" s="567">
        <f t="shared" si="372"/>
        <v>0</v>
      </c>
      <c r="BI83" s="567">
        <f t="shared" si="373"/>
        <v>0</v>
      </c>
      <c r="BJ83" s="567">
        <f t="shared" si="374"/>
        <v>0</v>
      </c>
      <c r="BK83" s="567">
        <f t="shared" si="375"/>
        <v>0</v>
      </c>
      <c r="BL83" s="567" t="e">
        <f>#REF!-BE83</f>
        <v>#REF!</v>
      </c>
      <c r="BM83" s="567">
        <f t="shared" si="436"/>
        <v>0</v>
      </c>
      <c r="BN83" s="567"/>
      <c r="BO83" s="567"/>
      <c r="BP83" s="567"/>
      <c r="BQ83" s="567"/>
      <c r="BR83" s="567">
        <f t="shared" si="437"/>
        <v>0</v>
      </c>
      <c r="BS83" s="567"/>
      <c r="BT83" s="567"/>
      <c r="BU83" s="567"/>
      <c r="BV83" s="567"/>
      <c r="BW83" s="567">
        <f t="shared" si="438"/>
        <v>0</v>
      </c>
      <c r="BX83" s="567"/>
      <c r="BY83" s="567">
        <f t="shared" si="376"/>
        <v>0</v>
      </c>
      <c r="BZ83" s="567"/>
      <c r="CA83" s="567"/>
      <c r="CB83" s="567"/>
      <c r="CC83" s="567"/>
      <c r="CD83" s="567">
        <f t="shared" si="439"/>
        <v>0</v>
      </c>
      <c r="CE83" s="567"/>
      <c r="CF83" s="567">
        <f t="shared" si="377"/>
        <v>0</v>
      </c>
      <c r="CG83" s="567"/>
      <c r="CH83" s="567"/>
      <c r="CI83" s="567"/>
      <c r="CJ83" s="567"/>
      <c r="CK83" s="567">
        <f t="shared" si="440"/>
        <v>0</v>
      </c>
      <c r="CL83" s="567"/>
      <c r="CM83" s="567">
        <f t="shared" si="378"/>
        <v>0</v>
      </c>
      <c r="CN83" s="567"/>
      <c r="CO83" s="567"/>
      <c r="CP83" s="567"/>
      <c r="CQ83" s="567"/>
      <c r="CR83" s="573">
        <f t="shared" si="441"/>
        <v>0</v>
      </c>
      <c r="CS83" s="567">
        <f t="shared" si="379"/>
        <v>0</v>
      </c>
      <c r="CT83" s="567">
        <f t="shared" si="380"/>
        <v>0</v>
      </c>
      <c r="CU83" s="567">
        <f t="shared" si="381"/>
        <v>0</v>
      </c>
      <c r="CV83" s="567">
        <f t="shared" si="382"/>
        <v>0</v>
      </c>
      <c r="CW83" s="567">
        <f t="shared" si="442"/>
        <v>0</v>
      </c>
      <c r="CX83" s="567">
        <f t="shared" ca="1" si="182"/>
        <v>0</v>
      </c>
      <c r="CY83" s="567">
        <f t="shared" si="383"/>
        <v>0</v>
      </c>
      <c r="CZ83" s="567">
        <f t="shared" si="384"/>
        <v>0</v>
      </c>
      <c r="DA83" s="567">
        <f t="shared" si="385"/>
        <v>0</v>
      </c>
      <c r="DB83" s="2">
        <f t="shared" si="443"/>
        <v>0</v>
      </c>
      <c r="DC83" s="76"/>
      <c r="DD83" s="253"/>
      <c r="DE83" s="253"/>
      <c r="DF83" s="2">
        <f t="shared" si="444"/>
        <v>0</v>
      </c>
      <c r="DG83" s="2"/>
      <c r="DH83" s="2"/>
      <c r="DI83" s="2"/>
      <c r="DJ83" s="2"/>
      <c r="DK83" s="2">
        <f t="shared" si="445"/>
        <v>0</v>
      </c>
      <c r="DL83" s="2"/>
      <c r="DM83" s="2"/>
      <c r="DN83" s="2"/>
      <c r="DO83" s="2"/>
      <c r="DP83" s="2">
        <f t="shared" si="446"/>
        <v>0</v>
      </c>
      <c r="DQ83" s="2">
        <f t="shared" si="447"/>
        <v>0</v>
      </c>
      <c r="DR83" s="2">
        <f t="shared" si="447"/>
        <v>0</v>
      </c>
      <c r="DS83" s="2">
        <f t="shared" si="447"/>
        <v>0</v>
      </c>
      <c r="DT83" s="2">
        <f t="shared" si="447"/>
        <v>0</v>
      </c>
      <c r="DU83" s="2"/>
      <c r="DV83" s="2"/>
      <c r="DW83" s="2"/>
      <c r="DX83" s="2">
        <f t="shared" ca="1" si="448"/>
        <v>0</v>
      </c>
      <c r="DY83" s="46"/>
      <c r="DZ83" s="2">
        <f t="shared" si="449"/>
        <v>0</v>
      </c>
      <c r="EA83" s="2">
        <f t="shared" si="450"/>
        <v>0</v>
      </c>
      <c r="EB83" s="46"/>
      <c r="EC83" s="2">
        <f t="shared" si="451"/>
        <v>0</v>
      </c>
      <c r="ED83" s="2">
        <f t="shared" ca="1" si="452"/>
        <v>0</v>
      </c>
      <c r="EE83" s="46"/>
      <c r="EF83" s="2"/>
      <c r="EG83" s="46"/>
      <c r="EH83" s="46"/>
      <c r="EI83" s="2">
        <f t="shared" si="357"/>
        <v>0</v>
      </c>
      <c r="EJ83" s="2"/>
      <c r="EK83" s="2">
        <f t="shared" si="386"/>
        <v>0</v>
      </c>
      <c r="EL83" s="2"/>
      <c r="EM83" s="2"/>
      <c r="EN83" s="2"/>
      <c r="EO83" s="2"/>
      <c r="EP83" s="2">
        <f t="shared" si="358"/>
        <v>0</v>
      </c>
      <c r="EQ83" s="2"/>
      <c r="ER83" s="2">
        <f t="shared" si="387"/>
        <v>0</v>
      </c>
      <c r="ES83" s="2"/>
      <c r="ET83" s="2"/>
      <c r="EU83" s="2"/>
      <c r="EV83" s="141"/>
      <c r="EW83" s="310"/>
      <c r="EX83" s="310"/>
      <c r="EY83" s="310"/>
      <c r="EZ83" s="396"/>
      <c r="FA83" s="396"/>
      <c r="FB83" s="310"/>
      <c r="FC83" s="310"/>
      <c r="FD83" s="310"/>
      <c r="FE83" s="396"/>
      <c r="FF83" s="396"/>
      <c r="FG83" s="396"/>
      <c r="FH83" s="311"/>
      <c r="FI83" s="310"/>
      <c r="FJ83" s="296" t="e">
        <f t="shared" si="453"/>
        <v>#DIV/0!</v>
      </c>
      <c r="FK83" s="353"/>
      <c r="FL83" s="353"/>
      <c r="FM83" s="353"/>
      <c r="FN83" s="388"/>
      <c r="FO83" s="388"/>
      <c r="FP83" s="353"/>
      <c r="FQ83" s="353"/>
      <c r="FR83" s="353"/>
      <c r="FS83" s="388"/>
      <c r="FT83" s="388"/>
      <c r="FU83" s="388"/>
      <c r="FV83" s="353"/>
      <c r="FW83" s="353">
        <f t="shared" si="391"/>
        <v>0</v>
      </c>
      <c r="FX83" s="310"/>
      <c r="FY83" s="310"/>
      <c r="FZ83" s="310"/>
      <c r="GA83" s="396"/>
      <c r="GB83" s="396"/>
      <c r="GC83" s="310"/>
      <c r="GD83" s="310"/>
      <c r="GE83" s="310"/>
      <c r="GF83" s="396"/>
      <c r="GG83" s="396"/>
      <c r="GH83" s="396"/>
      <c r="GI83" s="311"/>
      <c r="GJ83" s="344"/>
      <c r="GK83" s="303" t="e">
        <f t="shared" si="368"/>
        <v>#DIV/0!</v>
      </c>
    </row>
    <row r="84" spans="2:193" s="37" customFormat="1" ht="15.6" customHeight="1" x14ac:dyDescent="0.25">
      <c r="B84" s="29"/>
      <c r="C84" s="30">
        <v>1</v>
      </c>
      <c r="D84" s="30"/>
      <c r="E84" s="493">
        <v>66</v>
      </c>
      <c r="F84" s="29"/>
      <c r="G84" s="30">
        <v>1</v>
      </c>
      <c r="H84" s="30">
        <v>1</v>
      </c>
      <c r="I84" s="493"/>
      <c r="J84" s="494"/>
      <c r="K84" s="56"/>
      <c r="L84" s="53"/>
      <c r="M84" s="493">
        <v>49</v>
      </c>
      <c r="N84" s="494" t="s">
        <v>31</v>
      </c>
      <c r="O84" s="494"/>
      <c r="P84" s="494">
        <f t="shared" si="388"/>
        <v>0</v>
      </c>
      <c r="Q84" s="494" t="s">
        <v>711</v>
      </c>
      <c r="R84" s="469" t="s">
        <v>699</v>
      </c>
      <c r="S84" s="494" t="s">
        <v>631</v>
      </c>
      <c r="T84" s="156">
        <v>2</v>
      </c>
      <c r="U84" s="493"/>
      <c r="V84" s="2">
        <f t="shared" si="369"/>
        <v>14375.4</v>
      </c>
      <c r="W84" s="2"/>
      <c r="X84" s="198">
        <f t="shared" si="227"/>
        <v>14375.4</v>
      </c>
      <c r="Y84" s="198">
        <f>2202.1+363</f>
        <v>2565.1</v>
      </c>
      <c r="Z84" s="42">
        <v>11810.3</v>
      </c>
      <c r="AA84" s="2"/>
      <c r="AB84" s="567">
        <f t="shared" si="431"/>
        <v>14375.4</v>
      </c>
      <c r="AC84" s="567"/>
      <c r="AD84" s="568">
        <f t="shared" si="229"/>
        <v>14375.4</v>
      </c>
      <c r="AE84" s="568">
        <f>2202.1+363</f>
        <v>2565.1</v>
      </c>
      <c r="AF84" s="569">
        <v>11810.3</v>
      </c>
      <c r="AG84" s="567"/>
      <c r="AH84" s="570"/>
      <c r="AI84" s="567">
        <f t="shared" si="432"/>
        <v>39489.300000000003</v>
      </c>
      <c r="AJ84" s="567"/>
      <c r="AK84" s="568">
        <v>2279.3000000000002</v>
      </c>
      <c r="AL84" s="567">
        <v>37210</v>
      </c>
      <c r="AM84" s="570"/>
      <c r="AN84" s="567">
        <f t="shared" si="433"/>
        <v>23879.3</v>
      </c>
      <c r="AO84" s="567"/>
      <c r="AP84" s="568">
        <v>2279.3000000000002</v>
      </c>
      <c r="AQ84" s="567">
        <v>21600</v>
      </c>
      <c r="AR84" s="570"/>
      <c r="AS84" s="567">
        <f t="shared" si="434"/>
        <v>22581</v>
      </c>
      <c r="AT84" s="567"/>
      <c r="AU84" s="568">
        <v>981</v>
      </c>
      <c r="AV84" s="567">
        <v>21600</v>
      </c>
      <c r="AW84" s="570"/>
      <c r="AX84" s="409" t="s">
        <v>482</v>
      </c>
      <c r="AY84" s="567">
        <f t="shared" si="150"/>
        <v>14375.4</v>
      </c>
      <c r="AZ84" s="567"/>
      <c r="BA84" s="578">
        <f t="shared" si="435"/>
        <v>14375.4</v>
      </c>
      <c r="BB84" s="568">
        <f>2103.198+461.902</f>
        <v>2565.1</v>
      </c>
      <c r="BC84" s="569">
        <v>11810.3</v>
      </c>
      <c r="BD84" s="567"/>
      <c r="BE84" s="570"/>
      <c r="BF84" s="567">
        <f t="shared" si="370"/>
        <v>0</v>
      </c>
      <c r="BG84" s="567">
        <f t="shared" si="371"/>
        <v>0</v>
      </c>
      <c r="BH84" s="567">
        <f t="shared" si="372"/>
        <v>0</v>
      </c>
      <c r="BI84" s="567">
        <f t="shared" si="373"/>
        <v>0</v>
      </c>
      <c r="BJ84" s="567">
        <f t="shared" si="374"/>
        <v>0</v>
      </c>
      <c r="BK84" s="567">
        <f t="shared" si="375"/>
        <v>0</v>
      </c>
      <c r="BL84" s="567" t="e">
        <f>#REF!-BE84</f>
        <v>#REF!</v>
      </c>
      <c r="BM84" s="567">
        <f t="shared" si="436"/>
        <v>39489.300000000003</v>
      </c>
      <c r="BN84" s="567"/>
      <c r="BO84" s="568">
        <f>981+1298.3</f>
        <v>2279.3000000000002</v>
      </c>
      <c r="BP84" s="567">
        <f>21600+15610</f>
        <v>37210</v>
      </c>
      <c r="BQ84" s="570"/>
      <c r="BR84" s="567">
        <f t="shared" si="437"/>
        <v>0</v>
      </c>
      <c r="BS84" s="567"/>
      <c r="BT84" s="570"/>
      <c r="BU84" s="567"/>
      <c r="BV84" s="570"/>
      <c r="BW84" s="567">
        <f t="shared" si="438"/>
        <v>14187.62069</v>
      </c>
      <c r="BX84" s="567"/>
      <c r="BY84" s="568">
        <f t="shared" si="376"/>
        <v>14187.62069</v>
      </c>
      <c r="BZ84" s="571">
        <f>461.902+1915.41869</f>
        <v>2377.32069</v>
      </c>
      <c r="CA84" s="571">
        <f>2765.31466+3481.6503+5563.33504</f>
        <v>11810.3</v>
      </c>
      <c r="CB84" s="567"/>
      <c r="CC84" s="577"/>
      <c r="CD84" s="567">
        <f t="shared" si="439"/>
        <v>14187.62069</v>
      </c>
      <c r="CE84" s="567"/>
      <c r="CF84" s="568">
        <f t="shared" si="377"/>
        <v>14187.62069</v>
      </c>
      <c r="CG84" s="571">
        <f>461.902+1915.41869</f>
        <v>2377.32069</v>
      </c>
      <c r="CH84" s="571">
        <f>2765.31466+3481.6503+5563.33504</f>
        <v>11810.3</v>
      </c>
      <c r="CI84" s="567"/>
      <c r="CJ84" s="570"/>
      <c r="CK84" s="567">
        <f t="shared" si="440"/>
        <v>2868.6513100000002</v>
      </c>
      <c r="CL84" s="567"/>
      <c r="CM84" s="567">
        <v>2868.6513100000002</v>
      </c>
      <c r="CN84" s="567"/>
      <c r="CO84" s="567"/>
      <c r="CP84" s="567"/>
      <c r="CQ84" s="567"/>
      <c r="CR84" s="573">
        <f t="shared" si="441"/>
        <v>17056.272000000001</v>
      </c>
      <c r="CS84" s="567">
        <f t="shared" si="379"/>
        <v>17056.272000000001</v>
      </c>
      <c r="CT84" s="567">
        <f t="shared" si="380"/>
        <v>0</v>
      </c>
      <c r="CU84" s="567">
        <f t="shared" si="381"/>
        <v>17056.272000000001</v>
      </c>
      <c r="CV84" s="567">
        <f t="shared" si="382"/>
        <v>0</v>
      </c>
      <c r="CW84" s="567">
        <f t="shared" si="442"/>
        <v>0</v>
      </c>
      <c r="CX84" s="567">
        <f t="shared" ca="1" si="182"/>
        <v>0</v>
      </c>
      <c r="CY84" s="567">
        <f t="shared" si="383"/>
        <v>0</v>
      </c>
      <c r="CZ84" s="567">
        <f t="shared" si="384"/>
        <v>0</v>
      </c>
      <c r="DA84" s="567">
        <f t="shared" si="385"/>
        <v>0</v>
      </c>
      <c r="DB84" s="2">
        <f t="shared" si="443"/>
        <v>0</v>
      </c>
      <c r="DC84" s="76"/>
      <c r="DD84" s="545">
        <f>BM84+BM85+BM87+BM91+BM92+BM93+BM95</f>
        <v>87391.799999999988</v>
      </c>
      <c r="DE84" s="545">
        <f>DD84+DF84+DF87+DF91-BR81</f>
        <v>87391.799999999988</v>
      </c>
      <c r="DF84" s="2">
        <f t="shared" si="444"/>
        <v>0</v>
      </c>
      <c r="DG84" s="2"/>
      <c r="DH84" s="234"/>
      <c r="DI84" s="2"/>
      <c r="DJ84" s="234"/>
      <c r="DK84" s="2">
        <f t="shared" si="445"/>
        <v>0</v>
      </c>
      <c r="DL84" s="2"/>
      <c r="DM84" s="234"/>
      <c r="DN84" s="2"/>
      <c r="DO84" s="234"/>
      <c r="DP84" s="2">
        <f t="shared" si="446"/>
        <v>0</v>
      </c>
      <c r="DQ84" s="2">
        <f t="shared" si="447"/>
        <v>0</v>
      </c>
      <c r="DR84" s="2">
        <f t="shared" si="447"/>
        <v>0</v>
      </c>
      <c r="DS84" s="2">
        <f t="shared" si="447"/>
        <v>0</v>
      </c>
      <c r="DT84" s="2">
        <f t="shared" si="447"/>
        <v>0</v>
      </c>
      <c r="DU84" s="2"/>
      <c r="DV84" s="2"/>
      <c r="DW84" s="2"/>
      <c r="DX84" s="2">
        <f t="shared" ca="1" si="448"/>
        <v>0</v>
      </c>
      <c r="DY84" s="46"/>
      <c r="DZ84" s="2">
        <f t="shared" si="449"/>
        <v>14187.62069</v>
      </c>
      <c r="EA84" s="2">
        <f t="shared" si="450"/>
        <v>14187.62069</v>
      </c>
      <c r="EB84" s="46"/>
      <c r="EC84" s="546">
        <f>EA84+EA85+EA87+EA91+EA92+EA93+EA95</f>
        <v>64718.08092</v>
      </c>
      <c r="ED84" s="546">
        <f ca="1">DX84+DX85+DX87+DX91+DX92+DX93+DX95</f>
        <v>0</v>
      </c>
      <c r="EE84" s="46"/>
      <c r="EF84" s="2">
        <f>DE84-EC84</f>
        <v>22673.719079999988</v>
      </c>
      <c r="EG84" s="46"/>
      <c r="EH84" s="46"/>
      <c r="EI84" s="2">
        <f t="shared" si="357"/>
        <v>14187.62069</v>
      </c>
      <c r="EJ84" s="2"/>
      <c r="EK84" s="198">
        <f t="shared" si="386"/>
        <v>14187.62069</v>
      </c>
      <c r="EL84" s="446">
        <f>461.902+1915.41869</f>
        <v>2377.32069</v>
      </c>
      <c r="EM84" s="446">
        <f>2765.31466+3481.6503+5563.33504</f>
        <v>11810.3</v>
      </c>
      <c r="EN84" s="2"/>
      <c r="EO84" s="234"/>
      <c r="EP84" s="2">
        <f t="shared" si="358"/>
        <v>2868.6513100000002</v>
      </c>
      <c r="EQ84" s="2"/>
      <c r="ER84" s="2">
        <v>2868.6513100000002</v>
      </c>
      <c r="ES84" s="2">
        <f>92.40096+236.73731</f>
        <v>329.13827000000003</v>
      </c>
      <c r="ET84" s="2">
        <f>593.05334+746.6797+1292.18096+1106.49704</f>
        <v>3738.41104</v>
      </c>
      <c r="EU84" s="2"/>
      <c r="EV84" s="141"/>
      <c r="EW84" s="310">
        <f t="shared" ref="EW84" si="454">EX84+EY84</f>
        <v>0</v>
      </c>
      <c r="EX84" s="310">
        <f>AZ84</f>
        <v>0</v>
      </c>
      <c r="EY84" s="310"/>
      <c r="EZ84" s="396" t="e">
        <f t="shared" ref="EZ84" si="455">EX84/EW84</f>
        <v>#DIV/0!</v>
      </c>
      <c r="FA84" s="396" t="e">
        <f t="shared" ref="FA84" si="456">EY84/EW84</f>
        <v>#DIV/0!</v>
      </c>
      <c r="FB84" s="310">
        <f t="shared" si="425"/>
        <v>0</v>
      </c>
      <c r="FC84" s="310">
        <f t="shared" ref="FC84:FC111" si="457">EJ84</f>
        <v>0</v>
      </c>
      <c r="FD84" s="310">
        <f t="shared" ref="FD84:FD111" si="458">EQ84</f>
        <v>0</v>
      </c>
      <c r="FE84" s="396" t="e">
        <f t="shared" ref="FE84" si="459">FC84/FB84</f>
        <v>#DIV/0!</v>
      </c>
      <c r="FF84" s="396" t="e">
        <f t="shared" ref="FF84" si="460">FD84/FB84</f>
        <v>#DIV/0!</v>
      </c>
      <c r="FG84" s="396"/>
      <c r="FH84" s="311" t="e">
        <f>FB84*EZ84</f>
        <v>#DIV/0!</v>
      </c>
      <c r="FI84" s="310" t="e">
        <f>FC84-FH84</f>
        <v>#DIV/0!</v>
      </c>
      <c r="FJ84" s="296" t="e">
        <f t="shared" si="453"/>
        <v>#DIV/0!</v>
      </c>
      <c r="FK84" s="353">
        <f t="shared" si="389"/>
        <v>14375.4</v>
      </c>
      <c r="FL84" s="353">
        <f>BA84</f>
        <v>14375.4</v>
      </c>
      <c r="FM84" s="353"/>
      <c r="FN84" s="388">
        <f t="shared" ref="FN84:FN95" si="461">FL84/FK84</f>
        <v>1</v>
      </c>
      <c r="FO84" s="388">
        <f t="shared" ref="FO84:FO95" si="462">FM84/FK84</f>
        <v>0</v>
      </c>
      <c r="FP84" s="353">
        <f t="shared" si="390"/>
        <v>17056.272000000001</v>
      </c>
      <c r="FQ84" s="353">
        <f t="shared" ref="FQ84:FQ95" si="463">EK84</f>
        <v>14187.62069</v>
      </c>
      <c r="FR84" s="353">
        <f t="shared" ref="FR84:FR95" si="464">ER84</f>
        <v>2868.6513100000002</v>
      </c>
      <c r="FS84" s="388">
        <f t="shared" ref="FS84:FS95" si="465">FQ84/FP84</f>
        <v>0.83181252562107355</v>
      </c>
      <c r="FT84" s="388">
        <f t="shared" ref="FT84:FT95" si="466">FR84/FP84</f>
        <v>0.16818747437892642</v>
      </c>
      <c r="FU84" s="388"/>
      <c r="FV84" s="353">
        <f t="shared" ref="FV84:FV96" si="467">FP84*FN84</f>
        <v>17056.272000000001</v>
      </c>
      <c r="FW84" s="353">
        <f t="shared" si="391"/>
        <v>-2868.6513100000011</v>
      </c>
      <c r="FX84" s="310">
        <f t="shared" ref="FX84:FX93" si="468">FY84+FZ84</f>
        <v>0</v>
      </c>
      <c r="FY84" s="310">
        <f>BD84</f>
        <v>0</v>
      </c>
      <c r="FZ84" s="310"/>
      <c r="GA84" s="396" t="e">
        <f t="shared" ref="GA84:GA93" si="469">FY84/FX84</f>
        <v>#DIV/0!</v>
      </c>
      <c r="GB84" s="396" t="e">
        <f t="shared" ref="GB84:GB93" si="470">FZ84/FX84</f>
        <v>#DIV/0!</v>
      </c>
      <c r="GC84" s="310">
        <f t="shared" si="402"/>
        <v>0</v>
      </c>
      <c r="GD84" s="310">
        <f t="shared" si="177"/>
        <v>0</v>
      </c>
      <c r="GE84" s="310">
        <f t="shared" si="178"/>
        <v>0</v>
      </c>
      <c r="GF84" s="396" t="e">
        <f t="shared" ref="GF84:GF93" si="471">GD84/GC84</f>
        <v>#DIV/0!</v>
      </c>
      <c r="GG84" s="396" t="e">
        <f t="shared" ref="GG84:GG93" si="472">GE84/GC84</f>
        <v>#DIV/0!</v>
      </c>
      <c r="GH84" s="396"/>
      <c r="GI84" s="311" t="e">
        <f t="shared" si="262"/>
        <v>#DIV/0!</v>
      </c>
      <c r="GJ84" s="344" t="e">
        <f t="shared" si="403"/>
        <v>#DIV/0!</v>
      </c>
      <c r="GK84" s="303">
        <f t="shared" si="368"/>
        <v>0.98693745495777507</v>
      </c>
    </row>
    <row r="85" spans="2:193" s="37" customFormat="1" ht="15.6" hidden="1" customHeight="1" x14ac:dyDescent="0.25">
      <c r="B85" s="29"/>
      <c r="C85" s="30">
        <v>1</v>
      </c>
      <c r="D85" s="30"/>
      <c r="E85" s="493">
        <v>67</v>
      </c>
      <c r="F85" s="29"/>
      <c r="G85" s="30"/>
      <c r="H85" s="30"/>
      <c r="I85" s="729"/>
      <c r="J85" s="730"/>
      <c r="K85" s="730"/>
      <c r="L85" s="154"/>
      <c r="M85" s="493">
        <v>56</v>
      </c>
      <c r="N85" s="494" t="s">
        <v>206</v>
      </c>
      <c r="O85" s="494"/>
      <c r="P85" s="494">
        <f t="shared" si="388"/>
        <v>0</v>
      </c>
      <c r="Q85" s="494"/>
      <c r="R85" s="494"/>
      <c r="S85" s="494"/>
      <c r="T85" s="156"/>
      <c r="U85" s="493"/>
      <c r="V85" s="2">
        <f t="shared" si="369"/>
        <v>0</v>
      </c>
      <c r="W85" s="2"/>
      <c r="X85" s="198">
        <f t="shared" si="227"/>
        <v>0</v>
      </c>
      <c r="Y85" s="198"/>
      <c r="Z85" s="42"/>
      <c r="AA85" s="2"/>
      <c r="AB85" s="567">
        <f t="shared" si="431"/>
        <v>0</v>
      </c>
      <c r="AC85" s="567"/>
      <c r="AD85" s="568">
        <f t="shared" si="229"/>
        <v>0</v>
      </c>
      <c r="AE85" s="568"/>
      <c r="AF85" s="569"/>
      <c r="AG85" s="567"/>
      <c r="AH85" s="580"/>
      <c r="AI85" s="567">
        <f t="shared" si="432"/>
        <v>340.4</v>
      </c>
      <c r="AJ85" s="567"/>
      <c r="AK85" s="568">
        <v>340.4</v>
      </c>
      <c r="AL85" s="567"/>
      <c r="AM85" s="580"/>
      <c r="AN85" s="567">
        <f t="shared" si="433"/>
        <v>340.4</v>
      </c>
      <c r="AO85" s="567"/>
      <c r="AP85" s="568">
        <v>340.4</v>
      </c>
      <c r="AQ85" s="567"/>
      <c r="AR85" s="580"/>
      <c r="AS85" s="567">
        <f t="shared" si="434"/>
        <v>148</v>
      </c>
      <c r="AT85" s="567"/>
      <c r="AU85" s="568">
        <v>148</v>
      </c>
      <c r="AV85" s="567"/>
      <c r="AW85" s="581"/>
      <c r="AX85" s="412"/>
      <c r="AY85" s="567">
        <f t="shared" si="150"/>
        <v>0</v>
      </c>
      <c r="AZ85" s="567"/>
      <c r="BA85" s="574">
        <f t="shared" si="435"/>
        <v>0</v>
      </c>
      <c r="BB85" s="567"/>
      <c r="BC85" s="567"/>
      <c r="BD85" s="567"/>
      <c r="BE85" s="567"/>
      <c r="BF85" s="567">
        <f t="shared" si="370"/>
        <v>0</v>
      </c>
      <c r="BG85" s="567">
        <f t="shared" si="371"/>
        <v>0</v>
      </c>
      <c r="BH85" s="567">
        <f t="shared" si="372"/>
        <v>0</v>
      </c>
      <c r="BI85" s="567">
        <f t="shared" si="373"/>
        <v>0</v>
      </c>
      <c r="BJ85" s="567">
        <f t="shared" si="374"/>
        <v>0</v>
      </c>
      <c r="BK85" s="567">
        <f t="shared" si="375"/>
        <v>0</v>
      </c>
      <c r="BL85" s="567" t="e">
        <f>#REF!-BE85</f>
        <v>#REF!</v>
      </c>
      <c r="BM85" s="567">
        <f t="shared" si="436"/>
        <v>0</v>
      </c>
      <c r="BN85" s="567"/>
      <c r="BO85" s="567"/>
      <c r="BP85" s="567"/>
      <c r="BQ85" s="567"/>
      <c r="BR85" s="567">
        <f t="shared" si="437"/>
        <v>0</v>
      </c>
      <c r="BS85" s="567"/>
      <c r="BT85" s="567"/>
      <c r="BU85" s="567"/>
      <c r="BV85" s="567"/>
      <c r="BW85" s="567">
        <f t="shared" si="438"/>
        <v>0</v>
      </c>
      <c r="BX85" s="567"/>
      <c r="BY85" s="567">
        <f t="shared" si="376"/>
        <v>0</v>
      </c>
      <c r="BZ85" s="574"/>
      <c r="CA85" s="574"/>
      <c r="CB85" s="567"/>
      <c r="CC85" s="567"/>
      <c r="CD85" s="567">
        <f t="shared" si="439"/>
        <v>0</v>
      </c>
      <c r="CE85" s="567"/>
      <c r="CF85" s="567">
        <f t="shared" si="377"/>
        <v>0</v>
      </c>
      <c r="CG85" s="574"/>
      <c r="CH85" s="574"/>
      <c r="CI85" s="567"/>
      <c r="CJ85" s="567"/>
      <c r="CK85" s="567">
        <f t="shared" si="440"/>
        <v>0</v>
      </c>
      <c r="CL85" s="567"/>
      <c r="CM85" s="567">
        <f t="shared" si="378"/>
        <v>0</v>
      </c>
      <c r="CN85" s="567"/>
      <c r="CO85" s="567"/>
      <c r="CP85" s="567"/>
      <c r="CQ85" s="567"/>
      <c r="CR85" s="573">
        <f t="shared" si="441"/>
        <v>0</v>
      </c>
      <c r="CS85" s="567">
        <f t="shared" si="379"/>
        <v>0</v>
      </c>
      <c r="CT85" s="567">
        <f t="shared" si="380"/>
        <v>0</v>
      </c>
      <c r="CU85" s="567">
        <f t="shared" si="381"/>
        <v>0</v>
      </c>
      <c r="CV85" s="567">
        <f t="shared" si="382"/>
        <v>0</v>
      </c>
      <c r="CW85" s="567">
        <f t="shared" si="442"/>
        <v>0</v>
      </c>
      <c r="CX85" s="567">
        <f t="shared" ca="1" si="182"/>
        <v>0</v>
      </c>
      <c r="CY85" s="567">
        <f t="shared" si="383"/>
        <v>0</v>
      </c>
      <c r="CZ85" s="567">
        <f t="shared" si="384"/>
        <v>0</v>
      </c>
      <c r="DA85" s="567">
        <f t="shared" si="385"/>
        <v>0</v>
      </c>
      <c r="DB85" s="2">
        <f t="shared" si="443"/>
        <v>0</v>
      </c>
      <c r="DC85" s="76"/>
      <c r="DD85" s="253"/>
      <c r="DE85" s="253"/>
      <c r="DF85" s="2">
        <f t="shared" si="444"/>
        <v>0</v>
      </c>
      <c r="DG85" s="2"/>
      <c r="DH85" s="2"/>
      <c r="DI85" s="2"/>
      <c r="DJ85" s="2"/>
      <c r="DK85" s="2">
        <f t="shared" si="445"/>
        <v>0</v>
      </c>
      <c r="DL85" s="2"/>
      <c r="DM85" s="2"/>
      <c r="DN85" s="2"/>
      <c r="DO85" s="2"/>
      <c r="DP85" s="2">
        <f t="shared" si="446"/>
        <v>0</v>
      </c>
      <c r="DQ85" s="2">
        <f t="shared" si="447"/>
        <v>0</v>
      </c>
      <c r="DR85" s="2">
        <f t="shared" si="447"/>
        <v>0</v>
      </c>
      <c r="DS85" s="2">
        <f t="shared" si="447"/>
        <v>0</v>
      </c>
      <c r="DT85" s="2">
        <f t="shared" si="447"/>
        <v>0</v>
      </c>
      <c r="DU85" s="2"/>
      <c r="DV85" s="2"/>
      <c r="DW85" s="2"/>
      <c r="DX85" s="2">
        <f t="shared" ca="1" si="448"/>
        <v>0</v>
      </c>
      <c r="DY85" s="46"/>
      <c r="DZ85" s="2">
        <f t="shared" si="449"/>
        <v>0</v>
      </c>
      <c r="EA85" s="2">
        <f t="shared" si="450"/>
        <v>0</v>
      </c>
      <c r="EB85" s="46"/>
      <c r="EC85" s="2"/>
      <c r="ED85" s="2"/>
      <c r="EE85" s="46"/>
      <c r="EF85" s="2"/>
      <c r="EG85" s="46"/>
      <c r="EH85" s="46"/>
      <c r="EI85" s="2">
        <f t="shared" si="357"/>
        <v>0</v>
      </c>
      <c r="EJ85" s="2"/>
      <c r="EK85" s="2">
        <f t="shared" si="386"/>
        <v>0</v>
      </c>
      <c r="EL85" s="432"/>
      <c r="EM85" s="432"/>
      <c r="EN85" s="2"/>
      <c r="EO85" s="2"/>
      <c r="EP85" s="2">
        <f t="shared" si="358"/>
        <v>0</v>
      </c>
      <c r="EQ85" s="2"/>
      <c r="ER85" s="2">
        <f t="shared" si="387"/>
        <v>0</v>
      </c>
      <c r="ES85" s="2"/>
      <c r="ET85" s="2"/>
      <c r="EU85" s="2"/>
      <c r="EV85" s="141"/>
      <c r="EW85" s="310"/>
      <c r="EX85" s="310"/>
      <c r="EY85" s="310"/>
      <c r="EZ85" s="396"/>
      <c r="FA85" s="396"/>
      <c r="FB85" s="310"/>
      <c r="FC85" s="310"/>
      <c r="FD85" s="310"/>
      <c r="FE85" s="396"/>
      <c r="FF85" s="396"/>
      <c r="FG85" s="396"/>
      <c r="FH85" s="311"/>
      <c r="FI85" s="310"/>
      <c r="FJ85" s="296" t="e">
        <f t="shared" si="453"/>
        <v>#DIV/0!</v>
      </c>
      <c r="FK85" s="353"/>
      <c r="FL85" s="353"/>
      <c r="FM85" s="353"/>
      <c r="FN85" s="388"/>
      <c r="FO85" s="388"/>
      <c r="FP85" s="353"/>
      <c r="FQ85" s="353"/>
      <c r="FR85" s="353"/>
      <c r="FS85" s="388"/>
      <c r="FT85" s="388"/>
      <c r="FU85" s="388"/>
      <c r="FV85" s="353"/>
      <c r="FW85" s="353">
        <f t="shared" si="391"/>
        <v>0</v>
      </c>
      <c r="FX85" s="310"/>
      <c r="FY85" s="310"/>
      <c r="FZ85" s="310"/>
      <c r="GA85" s="396"/>
      <c r="GB85" s="396"/>
      <c r="GC85" s="310"/>
      <c r="GD85" s="310"/>
      <c r="GE85" s="310"/>
      <c r="GF85" s="396"/>
      <c r="GG85" s="396"/>
      <c r="GH85" s="396"/>
      <c r="GI85" s="311"/>
      <c r="GJ85" s="344"/>
      <c r="GK85" s="303" t="e">
        <f t="shared" si="368"/>
        <v>#DIV/0!</v>
      </c>
    </row>
    <row r="86" spans="2:193" s="37" customFormat="1" ht="15.6" customHeight="1" x14ac:dyDescent="0.25">
      <c r="B86" s="29"/>
      <c r="C86" s="30"/>
      <c r="D86" s="30">
        <v>1</v>
      </c>
      <c r="E86" s="493">
        <v>68</v>
      </c>
      <c r="F86" s="29"/>
      <c r="G86" s="30"/>
      <c r="H86" s="30">
        <v>1</v>
      </c>
      <c r="I86" s="754" t="s">
        <v>267</v>
      </c>
      <c r="J86" s="755"/>
      <c r="K86" s="755"/>
      <c r="L86" s="755"/>
      <c r="M86" s="493">
        <v>50</v>
      </c>
      <c r="N86" s="494" t="s">
        <v>97</v>
      </c>
      <c r="O86" s="494"/>
      <c r="P86" s="494">
        <f t="shared" si="388"/>
        <v>0</v>
      </c>
      <c r="Q86" s="494"/>
      <c r="R86" s="494"/>
      <c r="S86" s="494" t="s">
        <v>612</v>
      </c>
      <c r="T86" s="156">
        <v>2</v>
      </c>
      <c r="U86" s="493"/>
      <c r="V86" s="2">
        <f t="shared" si="369"/>
        <v>5357.2000000000007</v>
      </c>
      <c r="W86" s="2"/>
      <c r="X86" s="198">
        <f t="shared" si="227"/>
        <v>5357.2000000000007</v>
      </c>
      <c r="Y86" s="198">
        <v>1687.9</v>
      </c>
      <c r="Z86" s="42">
        <v>3669.3</v>
      </c>
      <c r="AA86" s="2"/>
      <c r="AB86" s="567">
        <f t="shared" si="431"/>
        <v>5357.2000000000007</v>
      </c>
      <c r="AC86" s="567"/>
      <c r="AD86" s="568">
        <f t="shared" si="229"/>
        <v>5357.2000000000007</v>
      </c>
      <c r="AE86" s="568">
        <v>1687.9</v>
      </c>
      <c r="AF86" s="569">
        <v>3669.3</v>
      </c>
      <c r="AG86" s="567"/>
      <c r="AH86" s="570"/>
      <c r="AI86" s="567">
        <f t="shared" si="432"/>
        <v>1729.6</v>
      </c>
      <c r="AJ86" s="567"/>
      <c r="AK86" s="568">
        <v>1729.6</v>
      </c>
      <c r="AL86" s="567"/>
      <c r="AM86" s="570"/>
      <c r="AN86" s="567">
        <f t="shared" si="433"/>
        <v>1729.6</v>
      </c>
      <c r="AO86" s="567"/>
      <c r="AP86" s="568">
        <v>1729.6</v>
      </c>
      <c r="AQ86" s="567"/>
      <c r="AR86" s="570"/>
      <c r="AS86" s="567">
        <f t="shared" si="434"/>
        <v>752</v>
      </c>
      <c r="AT86" s="567"/>
      <c r="AU86" s="568">
        <v>752</v>
      </c>
      <c r="AV86" s="567"/>
      <c r="AW86" s="570"/>
      <c r="AX86" s="409" t="s">
        <v>466</v>
      </c>
      <c r="AY86" s="567">
        <f t="shared" si="150"/>
        <v>5357.2000000000007</v>
      </c>
      <c r="AZ86" s="567"/>
      <c r="BA86" s="578">
        <f t="shared" si="435"/>
        <v>5357.2000000000007</v>
      </c>
      <c r="BB86" s="568">
        <v>1687.9</v>
      </c>
      <c r="BC86" s="569">
        <v>3669.3</v>
      </c>
      <c r="BD86" s="567"/>
      <c r="BE86" s="570"/>
      <c r="BF86" s="567">
        <f t="shared" si="370"/>
        <v>0</v>
      </c>
      <c r="BG86" s="567">
        <f t="shared" si="371"/>
        <v>0</v>
      </c>
      <c r="BH86" s="567">
        <f t="shared" si="372"/>
        <v>0</v>
      </c>
      <c r="BI86" s="567">
        <f t="shared" si="373"/>
        <v>0</v>
      </c>
      <c r="BJ86" s="567">
        <f t="shared" si="374"/>
        <v>0</v>
      </c>
      <c r="BK86" s="567">
        <f t="shared" si="375"/>
        <v>0</v>
      </c>
      <c r="BL86" s="567" t="e">
        <f>#REF!-BE86</f>
        <v>#REF!</v>
      </c>
      <c r="BM86" s="567">
        <f t="shared" si="436"/>
        <v>1729.6</v>
      </c>
      <c r="BN86" s="567"/>
      <c r="BO86" s="568">
        <f>752+977.6</f>
        <v>1729.6</v>
      </c>
      <c r="BP86" s="567"/>
      <c r="BQ86" s="570"/>
      <c r="BR86" s="567">
        <f t="shared" si="437"/>
        <v>0</v>
      </c>
      <c r="BS86" s="567"/>
      <c r="BT86" s="568"/>
      <c r="BU86" s="567"/>
      <c r="BV86" s="570"/>
      <c r="BW86" s="567">
        <f t="shared" si="438"/>
        <v>3722.5252399999999</v>
      </c>
      <c r="BX86" s="567"/>
      <c r="BY86" s="568">
        <f t="shared" si="376"/>
        <v>3722.5252399999999</v>
      </c>
      <c r="BZ86" s="571">
        <v>1299.68301</v>
      </c>
      <c r="CA86" s="571">
        <f>1166.01364+1256.82859</f>
        <v>2422.8422300000002</v>
      </c>
      <c r="CB86" s="567"/>
      <c r="CC86" s="577"/>
      <c r="CD86" s="567">
        <f t="shared" si="439"/>
        <v>3722.5252399999999</v>
      </c>
      <c r="CE86" s="567"/>
      <c r="CF86" s="568">
        <f t="shared" si="377"/>
        <v>3722.5252399999999</v>
      </c>
      <c r="CG86" s="571">
        <v>1299.68301</v>
      </c>
      <c r="CH86" s="571">
        <f>1166.01364+1256.82859</f>
        <v>2422.8422300000002</v>
      </c>
      <c r="CI86" s="567"/>
      <c r="CJ86" s="570"/>
      <c r="CK86" s="567">
        <f t="shared" si="440"/>
        <v>891.69641000000001</v>
      </c>
      <c r="CL86" s="567"/>
      <c r="CM86" s="577">
        <v>891.69641000000001</v>
      </c>
      <c r="CN86" s="582"/>
      <c r="CO86" s="582"/>
      <c r="CP86" s="567"/>
      <c r="CQ86" s="567"/>
      <c r="CR86" s="573">
        <f t="shared" si="441"/>
        <v>4614.2216499999995</v>
      </c>
      <c r="CS86" s="567">
        <f t="shared" si="379"/>
        <v>4614.2216499999995</v>
      </c>
      <c r="CT86" s="567">
        <f t="shared" si="380"/>
        <v>0</v>
      </c>
      <c r="CU86" s="567">
        <f t="shared" si="381"/>
        <v>4614.2216499999995</v>
      </c>
      <c r="CV86" s="567">
        <f t="shared" si="382"/>
        <v>0</v>
      </c>
      <c r="CW86" s="567">
        <f t="shared" si="442"/>
        <v>0</v>
      </c>
      <c r="CX86" s="567">
        <f t="shared" ca="1" si="182"/>
        <v>0</v>
      </c>
      <c r="CY86" s="567">
        <f t="shared" si="383"/>
        <v>0</v>
      </c>
      <c r="CZ86" s="567">
        <f t="shared" si="384"/>
        <v>0</v>
      </c>
      <c r="DA86" s="567">
        <f t="shared" si="385"/>
        <v>0</v>
      </c>
      <c r="DB86" s="2">
        <f t="shared" si="443"/>
        <v>0</v>
      </c>
      <c r="DC86" s="76"/>
      <c r="DD86" s="253">
        <f>BM86+BM88+BM89+BM90+BM94</f>
        <v>11892.699999999999</v>
      </c>
      <c r="DE86" s="253"/>
      <c r="DF86" s="2">
        <f t="shared" si="444"/>
        <v>0</v>
      </c>
      <c r="DG86" s="2"/>
      <c r="DH86" s="198"/>
      <c r="DI86" s="2"/>
      <c r="DJ86" s="234"/>
      <c r="DK86" s="2">
        <f t="shared" si="445"/>
        <v>0</v>
      </c>
      <c r="DL86" s="2"/>
      <c r="DM86" s="198"/>
      <c r="DN86" s="2"/>
      <c r="DO86" s="234"/>
      <c r="DP86" s="2">
        <f t="shared" si="446"/>
        <v>0</v>
      </c>
      <c r="DQ86" s="2">
        <f t="shared" si="447"/>
        <v>0</v>
      </c>
      <c r="DR86" s="2">
        <f t="shared" si="447"/>
        <v>0</v>
      </c>
      <c r="DS86" s="2">
        <f t="shared" si="447"/>
        <v>0</v>
      </c>
      <c r="DT86" s="2">
        <f t="shared" si="447"/>
        <v>0</v>
      </c>
      <c r="DU86" s="2"/>
      <c r="DV86" s="2"/>
      <c r="DW86" s="2"/>
      <c r="DX86" s="2">
        <f t="shared" ca="1" si="448"/>
        <v>0</v>
      </c>
      <c r="DY86" s="46"/>
      <c r="DZ86" s="2">
        <f t="shared" si="449"/>
        <v>3722.5252399999999</v>
      </c>
      <c r="EA86" s="2">
        <f t="shared" si="450"/>
        <v>3722.5252399999999</v>
      </c>
      <c r="EB86" s="46"/>
      <c r="EC86" s="2">
        <f>EA86+EA88+EA89+EA90+EA94</f>
        <v>19587.218179999996</v>
      </c>
      <c r="ED86" s="2">
        <f ca="1">DX86+DX88+DX89+DX90+DX94</f>
        <v>0</v>
      </c>
      <c r="EE86" s="46"/>
      <c r="EF86" s="2">
        <f>DE85-EC86</f>
        <v>-19587.218179999996</v>
      </c>
      <c r="EG86" s="46"/>
      <c r="EH86" s="46"/>
      <c r="EI86" s="2">
        <f t="shared" si="357"/>
        <v>3722.5252399999999</v>
      </c>
      <c r="EJ86" s="2"/>
      <c r="EK86" s="198">
        <f t="shared" si="386"/>
        <v>3722.5252399999999</v>
      </c>
      <c r="EL86" s="446">
        <v>1299.68301</v>
      </c>
      <c r="EM86" s="446">
        <f>1166.01364+1256.82859</f>
        <v>2422.8422300000002</v>
      </c>
      <c r="EN86" s="2"/>
      <c r="EO86" s="234"/>
      <c r="EP86" s="2">
        <f t="shared" si="358"/>
        <v>891.69641000000001</v>
      </c>
      <c r="EQ86" s="2"/>
      <c r="ER86" s="236">
        <v>891.69641000000001</v>
      </c>
      <c r="ES86" s="235">
        <v>359.69195000000002</v>
      </c>
      <c r="ET86" s="235">
        <f>256.03172+275.97274</f>
        <v>532.00445999999999</v>
      </c>
      <c r="EU86" s="2"/>
      <c r="EV86" s="141"/>
      <c r="EW86" s="310"/>
      <c r="EX86" s="310"/>
      <c r="EY86" s="312"/>
      <c r="EZ86" s="396"/>
      <c r="FA86" s="396"/>
      <c r="FB86" s="310"/>
      <c r="FC86" s="310"/>
      <c r="FD86" s="312"/>
      <c r="FE86" s="396"/>
      <c r="FF86" s="396"/>
      <c r="FG86" s="396"/>
      <c r="FH86" s="311"/>
      <c r="FI86" s="310"/>
      <c r="FJ86" s="296" t="e">
        <f t="shared" si="453"/>
        <v>#DIV/0!</v>
      </c>
      <c r="FK86" s="353">
        <f t="shared" si="389"/>
        <v>5357.2000000000007</v>
      </c>
      <c r="FL86" s="353">
        <f t="shared" ref="FL86:FL97" si="473">BA86</f>
        <v>5357.2000000000007</v>
      </c>
      <c r="FM86" s="354"/>
      <c r="FN86" s="388">
        <f t="shared" si="461"/>
        <v>1</v>
      </c>
      <c r="FO86" s="388">
        <f t="shared" si="462"/>
        <v>0</v>
      </c>
      <c r="FP86" s="353">
        <f t="shared" si="390"/>
        <v>4614.2216499999995</v>
      </c>
      <c r="FQ86" s="353">
        <f t="shared" si="463"/>
        <v>3722.5252399999999</v>
      </c>
      <c r="FR86" s="354">
        <f t="shared" si="464"/>
        <v>891.69641000000001</v>
      </c>
      <c r="FS86" s="388">
        <f t="shared" si="465"/>
        <v>0.80675041694193439</v>
      </c>
      <c r="FT86" s="388">
        <f t="shared" si="466"/>
        <v>0.19324958305806572</v>
      </c>
      <c r="FU86" s="388"/>
      <c r="FV86" s="353">
        <f t="shared" si="467"/>
        <v>4614.2216499999995</v>
      </c>
      <c r="FW86" s="353">
        <f t="shared" si="391"/>
        <v>-891.69640999999956</v>
      </c>
      <c r="FX86" s="310">
        <f t="shared" si="468"/>
        <v>0</v>
      </c>
      <c r="FY86" s="310">
        <f>BD86</f>
        <v>0</v>
      </c>
      <c r="FZ86" s="312"/>
      <c r="GA86" s="396" t="e">
        <f t="shared" si="469"/>
        <v>#DIV/0!</v>
      </c>
      <c r="GB86" s="396" t="e">
        <f t="shared" si="470"/>
        <v>#DIV/0!</v>
      </c>
      <c r="GC86" s="310">
        <f t="shared" si="402"/>
        <v>0</v>
      </c>
      <c r="GD86" s="310">
        <f>EN86</f>
        <v>0</v>
      </c>
      <c r="GE86" s="312">
        <f>EU86</f>
        <v>0</v>
      </c>
      <c r="GF86" s="396" t="e">
        <f t="shared" ref="GF86" si="474">GD86/GC86</f>
        <v>#DIV/0!</v>
      </c>
      <c r="GG86" s="396" t="e">
        <f t="shared" ref="GG86" si="475">GE86/GC86</f>
        <v>#DIV/0!</v>
      </c>
      <c r="GH86" s="396"/>
      <c r="GI86" s="311" t="e">
        <f t="shared" si="262"/>
        <v>#DIV/0!</v>
      </c>
      <c r="GJ86" s="344" t="e">
        <f t="shared" si="403"/>
        <v>#DIV/0!</v>
      </c>
      <c r="GK86" s="303">
        <f t="shared" si="368"/>
        <v>0.69486396625102653</v>
      </c>
    </row>
    <row r="87" spans="2:193" s="37" customFormat="1" ht="15.6" customHeight="1" x14ac:dyDescent="0.25">
      <c r="B87" s="29"/>
      <c r="C87" s="30">
        <v>1</v>
      </c>
      <c r="D87" s="30"/>
      <c r="E87" s="493">
        <v>69</v>
      </c>
      <c r="F87" s="29"/>
      <c r="G87" s="30">
        <v>1</v>
      </c>
      <c r="H87" s="30">
        <v>1</v>
      </c>
      <c r="I87" s="548"/>
      <c r="J87" s="549"/>
      <c r="K87" s="550"/>
      <c r="L87" s="551"/>
      <c r="M87" s="493">
        <v>51</v>
      </c>
      <c r="N87" s="494" t="s">
        <v>43</v>
      </c>
      <c r="O87" s="494"/>
      <c r="P87" s="494">
        <f t="shared" si="388"/>
        <v>0</v>
      </c>
      <c r="Q87" s="494"/>
      <c r="R87" s="494"/>
      <c r="S87" s="494" t="s">
        <v>557</v>
      </c>
      <c r="T87" s="156">
        <v>2</v>
      </c>
      <c r="U87" s="493"/>
      <c r="V87" s="2">
        <f t="shared" si="369"/>
        <v>15834.9</v>
      </c>
      <c r="W87" s="2"/>
      <c r="X87" s="198">
        <f t="shared" si="227"/>
        <v>15834.9</v>
      </c>
      <c r="Y87" s="198">
        <v>4989.1000000000004</v>
      </c>
      <c r="Z87" s="42">
        <v>10845.8</v>
      </c>
      <c r="AA87" s="2"/>
      <c r="AB87" s="567">
        <f t="shared" si="431"/>
        <v>15834.9</v>
      </c>
      <c r="AC87" s="567"/>
      <c r="AD87" s="568">
        <f t="shared" si="229"/>
        <v>15834.9</v>
      </c>
      <c r="AE87" s="568">
        <v>4989.1000000000004</v>
      </c>
      <c r="AF87" s="569">
        <v>10845.8</v>
      </c>
      <c r="AG87" s="567"/>
      <c r="AH87" s="570"/>
      <c r="AI87" s="567">
        <f t="shared" si="432"/>
        <v>4733.3999999999996</v>
      </c>
      <c r="AJ87" s="567"/>
      <c r="AK87" s="568">
        <v>4733.3999999999996</v>
      </c>
      <c r="AL87" s="567"/>
      <c r="AM87" s="570"/>
      <c r="AN87" s="567">
        <f t="shared" si="433"/>
        <v>4733.3999999999996</v>
      </c>
      <c r="AO87" s="567"/>
      <c r="AP87" s="568">
        <v>4733.3999999999996</v>
      </c>
      <c r="AQ87" s="567"/>
      <c r="AR87" s="570"/>
      <c r="AS87" s="567">
        <f t="shared" si="434"/>
        <v>2058</v>
      </c>
      <c r="AT87" s="567"/>
      <c r="AU87" s="568">
        <v>2058</v>
      </c>
      <c r="AV87" s="567"/>
      <c r="AW87" s="570"/>
      <c r="AX87" s="425" t="s">
        <v>426</v>
      </c>
      <c r="AY87" s="567">
        <f t="shared" ref="AY87:AY95" si="476">AZ87+BA87+BD87+BE87</f>
        <v>15448.30431</v>
      </c>
      <c r="AZ87" s="567"/>
      <c r="BA87" s="578">
        <f t="shared" si="435"/>
        <v>15448.30431</v>
      </c>
      <c r="BB87" s="568">
        <f>3566.44135+1036.06296</f>
        <v>4602.5043100000003</v>
      </c>
      <c r="BC87" s="569">
        <v>10845.8</v>
      </c>
      <c r="BD87" s="567"/>
      <c r="BE87" s="570"/>
      <c r="BF87" s="567">
        <f t="shared" si="370"/>
        <v>386.5956900000001</v>
      </c>
      <c r="BG87" s="567">
        <f t="shared" si="371"/>
        <v>0</v>
      </c>
      <c r="BH87" s="567">
        <f t="shared" si="372"/>
        <v>386.5956900000001</v>
      </c>
      <c r="BI87" s="567">
        <f t="shared" si="373"/>
        <v>386.5956900000001</v>
      </c>
      <c r="BJ87" s="567">
        <f t="shared" si="374"/>
        <v>0</v>
      </c>
      <c r="BK87" s="567">
        <f t="shared" si="375"/>
        <v>0</v>
      </c>
      <c r="BL87" s="567" t="e">
        <f>#REF!-BE87</f>
        <v>#REF!</v>
      </c>
      <c r="BM87" s="567">
        <f t="shared" si="436"/>
        <v>4733.3999999999996</v>
      </c>
      <c r="BN87" s="567"/>
      <c r="BO87" s="568">
        <f>1363.205+2425.669+944.526</f>
        <v>4733.3999999999996</v>
      </c>
      <c r="BP87" s="567"/>
      <c r="BQ87" s="570"/>
      <c r="BR87" s="567">
        <f t="shared" si="437"/>
        <v>0</v>
      </c>
      <c r="BS87" s="567"/>
      <c r="BT87" s="567"/>
      <c r="BU87" s="567"/>
      <c r="BV87" s="570"/>
      <c r="BW87" s="567">
        <f t="shared" si="438"/>
        <v>14029.022150000001</v>
      </c>
      <c r="BX87" s="567"/>
      <c r="BY87" s="568">
        <f t="shared" si="376"/>
        <v>14029.022150000001</v>
      </c>
      <c r="BZ87" s="571">
        <f>1310.93244+1077.59164+1177.91727</f>
        <v>3566.4413500000001</v>
      </c>
      <c r="CA87" s="571">
        <f>1315.55512+4987.77939+4159.24629</f>
        <v>10462.5808</v>
      </c>
      <c r="CB87" s="567"/>
      <c r="CC87" s="577"/>
      <c r="CD87" s="567">
        <f t="shared" si="439"/>
        <v>14029.022150000001</v>
      </c>
      <c r="CE87" s="567"/>
      <c r="CF87" s="568">
        <f t="shared" si="377"/>
        <v>14029.022150000001</v>
      </c>
      <c r="CG87" s="571">
        <f>1310.93244+1077.59164+1177.91727</f>
        <v>3566.4413500000001</v>
      </c>
      <c r="CH87" s="571">
        <f>1315.55512+4987.77939+4159.24629</f>
        <v>10462.5808</v>
      </c>
      <c r="CI87" s="567"/>
      <c r="CJ87" s="570"/>
      <c r="CK87" s="567">
        <f t="shared" si="440"/>
        <v>1913.0486100000001</v>
      </c>
      <c r="CL87" s="567"/>
      <c r="CM87" s="567">
        <v>1913.0486100000001</v>
      </c>
      <c r="CN87" s="567">
        <f>178.76356+146.94436</f>
        <v>325.70792</v>
      </c>
      <c r="CO87" s="567">
        <f>179.39388+680.15173</f>
        <v>859.54561000000001</v>
      </c>
      <c r="CP87" s="567"/>
      <c r="CQ87" s="567"/>
      <c r="CR87" s="573">
        <f t="shared" si="441"/>
        <v>15942.070760000001</v>
      </c>
      <c r="CS87" s="567">
        <f t="shared" si="379"/>
        <v>15942.070760000001</v>
      </c>
      <c r="CT87" s="567">
        <f t="shared" si="380"/>
        <v>0</v>
      </c>
      <c r="CU87" s="567">
        <f t="shared" si="381"/>
        <v>15942.070760000001</v>
      </c>
      <c r="CV87" s="567">
        <f t="shared" si="382"/>
        <v>0</v>
      </c>
      <c r="CW87" s="567">
        <f t="shared" si="442"/>
        <v>0</v>
      </c>
      <c r="CX87" s="567">
        <f t="shared" ca="1" si="182"/>
        <v>0</v>
      </c>
      <c r="CY87" s="567">
        <f t="shared" si="383"/>
        <v>0</v>
      </c>
      <c r="CZ87" s="567">
        <f t="shared" si="384"/>
        <v>0</v>
      </c>
      <c r="DA87" s="567">
        <f t="shared" si="385"/>
        <v>0</v>
      </c>
      <c r="DB87" s="2">
        <f t="shared" si="443"/>
        <v>0</v>
      </c>
      <c r="DC87" s="76"/>
      <c r="DD87" s="253"/>
      <c r="DE87" s="253"/>
      <c r="DF87" s="2">
        <f t="shared" si="444"/>
        <v>0</v>
      </c>
      <c r="DG87" s="2"/>
      <c r="DH87" s="2"/>
      <c r="DI87" s="2"/>
      <c r="DJ87" s="234"/>
      <c r="DK87" s="2">
        <f t="shared" si="445"/>
        <v>0</v>
      </c>
      <c r="DL87" s="2"/>
      <c r="DM87" s="2"/>
      <c r="DN87" s="2"/>
      <c r="DO87" s="234"/>
      <c r="DP87" s="2">
        <f t="shared" si="446"/>
        <v>0</v>
      </c>
      <c r="DQ87" s="2">
        <f t="shared" si="447"/>
        <v>0</v>
      </c>
      <c r="DR87" s="2">
        <f t="shared" si="447"/>
        <v>0</v>
      </c>
      <c r="DS87" s="2">
        <f t="shared" si="447"/>
        <v>0</v>
      </c>
      <c r="DT87" s="2">
        <f t="shared" si="447"/>
        <v>0</v>
      </c>
      <c r="DU87" s="2"/>
      <c r="DV87" s="2"/>
      <c r="DW87" s="2"/>
      <c r="DX87" s="2">
        <f t="shared" ca="1" si="448"/>
        <v>0</v>
      </c>
      <c r="DY87" s="46"/>
      <c r="DZ87" s="2">
        <f t="shared" si="449"/>
        <v>14029.022150000001</v>
      </c>
      <c r="EA87" s="2">
        <f t="shared" si="450"/>
        <v>14029.022150000001</v>
      </c>
      <c r="EB87" s="46"/>
      <c r="EC87" s="2"/>
      <c r="ED87" s="2"/>
      <c r="EE87" s="46"/>
      <c r="EF87" s="2"/>
      <c r="EG87" s="46"/>
      <c r="EH87" s="46"/>
      <c r="EI87" s="2">
        <f t="shared" si="357"/>
        <v>14029.022150000001</v>
      </c>
      <c r="EJ87" s="2"/>
      <c r="EK87" s="198">
        <f t="shared" si="386"/>
        <v>14029.022150000001</v>
      </c>
      <c r="EL87" s="446">
        <f>1310.93244+1077.59164+1177.91727</f>
        <v>3566.4413500000001</v>
      </c>
      <c r="EM87" s="446">
        <f>1315.55512+4987.77939+4159.24629</f>
        <v>10462.5808</v>
      </c>
      <c r="EN87" s="2"/>
      <c r="EO87" s="234"/>
      <c r="EP87" s="2">
        <f t="shared" si="358"/>
        <v>1913.0486100000001</v>
      </c>
      <c r="EQ87" s="2"/>
      <c r="ER87" s="2">
        <v>1913.0486100000001</v>
      </c>
      <c r="ES87" s="2">
        <f>178.76356+146.94436+160.62513</f>
        <v>486.33305000000001</v>
      </c>
      <c r="ET87" s="2">
        <f>179.39388+680.15173+567.16995</f>
        <v>1426.7155600000001</v>
      </c>
      <c r="EU87" s="2"/>
      <c r="EV87" s="141"/>
      <c r="EW87" s="310"/>
      <c r="EX87" s="310"/>
      <c r="EY87" s="310"/>
      <c r="EZ87" s="396"/>
      <c r="FA87" s="396"/>
      <c r="FB87" s="310"/>
      <c r="FC87" s="310"/>
      <c r="FD87" s="310"/>
      <c r="FE87" s="396"/>
      <c r="FF87" s="396"/>
      <c r="FG87" s="396"/>
      <c r="FH87" s="311"/>
      <c r="FI87" s="310"/>
      <c r="FJ87" s="296" t="e">
        <f t="shared" si="453"/>
        <v>#DIV/0!</v>
      </c>
      <c r="FK87" s="353">
        <f t="shared" si="389"/>
        <v>15448.30431</v>
      </c>
      <c r="FL87" s="353">
        <f t="shared" si="473"/>
        <v>15448.30431</v>
      </c>
      <c r="FM87" s="353"/>
      <c r="FN87" s="388">
        <f t="shared" si="461"/>
        <v>1</v>
      </c>
      <c r="FO87" s="388">
        <f t="shared" si="462"/>
        <v>0</v>
      </c>
      <c r="FP87" s="353">
        <f t="shared" si="390"/>
        <v>15942.070760000001</v>
      </c>
      <c r="FQ87" s="353">
        <f t="shared" si="463"/>
        <v>14029.022150000001</v>
      </c>
      <c r="FR87" s="353">
        <f t="shared" si="464"/>
        <v>1913.0486100000001</v>
      </c>
      <c r="FS87" s="388">
        <f t="shared" si="465"/>
        <v>0.87999999254801953</v>
      </c>
      <c r="FT87" s="388">
        <f t="shared" si="466"/>
        <v>0.12000000745198047</v>
      </c>
      <c r="FU87" s="388"/>
      <c r="FV87" s="353">
        <f t="shared" si="467"/>
        <v>15942.070760000001</v>
      </c>
      <c r="FW87" s="353">
        <f t="shared" si="391"/>
        <v>-1913.0486099999998</v>
      </c>
      <c r="FX87" s="310"/>
      <c r="FY87" s="310"/>
      <c r="FZ87" s="310"/>
      <c r="GA87" s="396"/>
      <c r="GB87" s="396"/>
      <c r="GC87" s="310"/>
      <c r="GD87" s="310"/>
      <c r="GE87" s="310"/>
      <c r="GF87" s="396"/>
      <c r="GG87" s="396"/>
      <c r="GH87" s="396"/>
      <c r="GI87" s="311"/>
      <c r="GJ87" s="344"/>
      <c r="GK87" s="303">
        <f t="shared" si="368"/>
        <v>0.88595584121150128</v>
      </c>
    </row>
    <row r="88" spans="2:193" s="37" customFormat="1" ht="15.6" customHeight="1" x14ac:dyDescent="0.25">
      <c r="B88" s="29"/>
      <c r="C88" s="30"/>
      <c r="D88" s="30">
        <v>1</v>
      </c>
      <c r="E88" s="493">
        <v>70</v>
      </c>
      <c r="F88" s="29"/>
      <c r="G88" s="30"/>
      <c r="H88" s="30"/>
      <c r="I88" s="756"/>
      <c r="J88" s="757"/>
      <c r="K88" s="757"/>
      <c r="L88" s="200"/>
      <c r="M88" s="493">
        <v>52</v>
      </c>
      <c r="N88" s="494" t="s">
        <v>98</v>
      </c>
      <c r="O88" s="494"/>
      <c r="P88" s="494">
        <f t="shared" si="388"/>
        <v>0</v>
      </c>
      <c r="Q88" s="494" t="s">
        <v>706</v>
      </c>
      <c r="R88" s="494" t="s">
        <v>699</v>
      </c>
      <c r="S88" s="494" t="s">
        <v>635</v>
      </c>
      <c r="T88" s="156">
        <v>2</v>
      </c>
      <c r="U88" s="493">
        <v>1</v>
      </c>
      <c r="V88" s="2">
        <f t="shared" si="369"/>
        <v>4102.7</v>
      </c>
      <c r="W88" s="2"/>
      <c r="X88" s="2">
        <f t="shared" si="227"/>
        <v>4102.7</v>
      </c>
      <c r="Y88" s="2">
        <v>1292.5999999999999</v>
      </c>
      <c r="Z88" s="2">
        <v>2810.1</v>
      </c>
      <c r="AA88" s="2"/>
      <c r="AB88" s="567">
        <f t="shared" si="431"/>
        <v>4102.7</v>
      </c>
      <c r="AC88" s="567"/>
      <c r="AD88" s="567">
        <f t="shared" si="229"/>
        <v>4102.7</v>
      </c>
      <c r="AE88" s="567">
        <v>1292.5999999999999</v>
      </c>
      <c r="AF88" s="567">
        <v>2810.1</v>
      </c>
      <c r="AG88" s="567"/>
      <c r="AH88" s="580"/>
      <c r="AI88" s="567">
        <f t="shared" si="432"/>
        <v>4824.8</v>
      </c>
      <c r="AJ88" s="567"/>
      <c r="AK88" s="567">
        <v>1324.8</v>
      </c>
      <c r="AL88" s="567">
        <v>3500</v>
      </c>
      <c r="AM88" s="580"/>
      <c r="AN88" s="567">
        <f t="shared" si="433"/>
        <v>1324.8</v>
      </c>
      <c r="AO88" s="567"/>
      <c r="AP88" s="567">
        <v>1324.8</v>
      </c>
      <c r="AQ88" s="567"/>
      <c r="AR88" s="580"/>
      <c r="AS88" s="567">
        <f t="shared" si="434"/>
        <v>576</v>
      </c>
      <c r="AT88" s="567"/>
      <c r="AU88" s="567">
        <v>576</v>
      </c>
      <c r="AV88" s="567"/>
      <c r="AW88" s="581"/>
      <c r="AX88" s="426" t="s">
        <v>727</v>
      </c>
      <c r="AY88" s="567">
        <f t="shared" si="476"/>
        <v>3962.6378999999997</v>
      </c>
      <c r="AZ88" s="567"/>
      <c r="BA88" s="574">
        <f t="shared" si="435"/>
        <v>3962.6378999999997</v>
      </c>
      <c r="BB88" s="567">
        <f>1194.5502-42.0123</f>
        <v>1152.5378999999998</v>
      </c>
      <c r="BC88" s="567">
        <f>2768.0877+42.0123</f>
        <v>2810.1</v>
      </c>
      <c r="BD88" s="567"/>
      <c r="BE88" s="567"/>
      <c r="BF88" s="567">
        <f t="shared" si="370"/>
        <v>140.0621000000001</v>
      </c>
      <c r="BG88" s="567">
        <f t="shared" si="371"/>
        <v>0</v>
      </c>
      <c r="BH88" s="567">
        <f t="shared" si="372"/>
        <v>140.0621000000001</v>
      </c>
      <c r="BI88" s="567">
        <f t="shared" si="373"/>
        <v>140.0621000000001</v>
      </c>
      <c r="BJ88" s="567">
        <f t="shared" si="374"/>
        <v>0</v>
      </c>
      <c r="BK88" s="567">
        <f t="shared" si="375"/>
        <v>0</v>
      </c>
      <c r="BL88" s="567" t="e">
        <f>#REF!-BE88</f>
        <v>#REF!</v>
      </c>
      <c r="BM88" s="567">
        <f t="shared" si="436"/>
        <v>4824.8</v>
      </c>
      <c r="BN88" s="567"/>
      <c r="BO88" s="567">
        <v>1324.8</v>
      </c>
      <c r="BP88" s="567">
        <v>3500</v>
      </c>
      <c r="BQ88" s="567"/>
      <c r="BR88" s="567">
        <f t="shared" si="437"/>
        <v>0</v>
      </c>
      <c r="BS88" s="567"/>
      <c r="BT88" s="567"/>
      <c r="BU88" s="567"/>
      <c r="BV88" s="567"/>
      <c r="BW88" s="567">
        <f t="shared" si="438"/>
        <v>3909.1710699999999</v>
      </c>
      <c r="BX88" s="567"/>
      <c r="BY88" s="567">
        <f t="shared" si="376"/>
        <v>3909.1710699999999</v>
      </c>
      <c r="BZ88" s="574">
        <f>1182.6047-42.0123</f>
        <v>1140.5924</v>
      </c>
      <c r="CA88" s="574">
        <f>2726.56637+42.0123</f>
        <v>2768.5786699999999</v>
      </c>
      <c r="CB88" s="567"/>
      <c r="CC88" s="567"/>
      <c r="CD88" s="567">
        <f t="shared" si="439"/>
        <v>3909.1710699999999</v>
      </c>
      <c r="CE88" s="567"/>
      <c r="CF88" s="567">
        <f t="shared" si="377"/>
        <v>3909.1710699999999</v>
      </c>
      <c r="CG88" s="574">
        <f>1182.6047-42.0123</f>
        <v>1140.5924</v>
      </c>
      <c r="CH88" s="574">
        <f>2726.56637+42.0123</f>
        <v>2768.5786699999999</v>
      </c>
      <c r="CI88" s="567"/>
      <c r="CJ88" s="567"/>
      <c r="CK88" s="567">
        <f t="shared" si="440"/>
        <v>434.35234000000003</v>
      </c>
      <c r="CL88" s="567"/>
      <c r="CM88" s="567">
        <v>434.35234000000003</v>
      </c>
      <c r="CN88" s="567"/>
      <c r="CO88" s="567"/>
      <c r="CP88" s="567"/>
      <c r="CQ88" s="567"/>
      <c r="CR88" s="573">
        <f t="shared" si="441"/>
        <v>4343.5234099999998</v>
      </c>
      <c r="CS88" s="567">
        <f t="shared" si="379"/>
        <v>4343.5234099999998</v>
      </c>
      <c r="CT88" s="567">
        <f t="shared" si="380"/>
        <v>0</v>
      </c>
      <c r="CU88" s="567">
        <f t="shared" si="381"/>
        <v>4343.5234099999998</v>
      </c>
      <c r="CV88" s="567">
        <f t="shared" si="382"/>
        <v>0</v>
      </c>
      <c r="CW88" s="567">
        <f t="shared" si="442"/>
        <v>0</v>
      </c>
      <c r="CX88" s="567">
        <f t="shared" ref="CX88:CX151" ca="1" si="477">CX89</f>
        <v>0</v>
      </c>
      <c r="CY88" s="567">
        <f t="shared" si="383"/>
        <v>0</v>
      </c>
      <c r="CZ88" s="567">
        <f t="shared" si="384"/>
        <v>0</v>
      </c>
      <c r="DA88" s="567">
        <f t="shared" si="385"/>
        <v>0</v>
      </c>
      <c r="DB88" s="2">
        <f t="shared" si="443"/>
        <v>0</v>
      </c>
      <c r="DC88" s="76"/>
      <c r="DD88" s="253"/>
      <c r="DE88" s="253"/>
      <c r="DF88" s="2">
        <f t="shared" si="444"/>
        <v>0</v>
      </c>
      <c r="DG88" s="2"/>
      <c r="DH88" s="2"/>
      <c r="DI88" s="2"/>
      <c r="DJ88" s="2"/>
      <c r="DK88" s="2">
        <f t="shared" si="445"/>
        <v>0</v>
      </c>
      <c r="DL88" s="2"/>
      <c r="DM88" s="2"/>
      <c r="DN88" s="2"/>
      <c r="DO88" s="2"/>
      <c r="DP88" s="2">
        <f t="shared" si="446"/>
        <v>0</v>
      </c>
      <c r="DQ88" s="2">
        <f t="shared" si="447"/>
        <v>0</v>
      </c>
      <c r="DR88" s="2">
        <f t="shared" si="447"/>
        <v>0</v>
      </c>
      <c r="DS88" s="2">
        <f t="shared" si="447"/>
        <v>0</v>
      </c>
      <c r="DT88" s="2">
        <f t="shared" si="447"/>
        <v>0</v>
      </c>
      <c r="DU88" s="2"/>
      <c r="DV88" s="2"/>
      <c r="DW88" s="2"/>
      <c r="DX88" s="2">
        <f t="shared" ca="1" si="448"/>
        <v>0</v>
      </c>
      <c r="DY88" s="46"/>
      <c r="DZ88" s="2">
        <f t="shared" si="449"/>
        <v>3909.1710699999999</v>
      </c>
      <c r="EA88" s="2">
        <f t="shared" si="450"/>
        <v>3909.1710699999999</v>
      </c>
      <c r="EB88" s="46"/>
      <c r="EC88" s="2"/>
      <c r="ED88" s="2"/>
      <c r="EE88" s="46"/>
      <c r="EF88" s="2"/>
      <c r="EG88" s="46"/>
      <c r="EH88" s="46"/>
      <c r="EI88" s="2">
        <f t="shared" si="357"/>
        <v>3909.1710699999999</v>
      </c>
      <c r="EJ88" s="2"/>
      <c r="EK88" s="2">
        <f t="shared" si="386"/>
        <v>3909.1710699999999</v>
      </c>
      <c r="EL88" s="432">
        <f>1182.6047-42.0123</f>
        <v>1140.5924</v>
      </c>
      <c r="EM88" s="432">
        <f>2726.56637+42.0123</f>
        <v>2768.5786699999999</v>
      </c>
      <c r="EN88" s="2"/>
      <c r="EO88" s="2"/>
      <c r="EP88" s="2">
        <f t="shared" si="358"/>
        <v>434.35234000000003</v>
      </c>
      <c r="EQ88" s="2"/>
      <c r="ER88" s="2">
        <v>434.35234000000003</v>
      </c>
      <c r="ES88" s="2">
        <v>131.40052</v>
      </c>
      <c r="ET88" s="2">
        <v>302.95182</v>
      </c>
      <c r="EU88" s="2"/>
      <c r="EV88" s="141"/>
      <c r="EW88" s="310"/>
      <c r="EX88" s="310"/>
      <c r="EY88" s="310"/>
      <c r="EZ88" s="396"/>
      <c r="FA88" s="396"/>
      <c r="FB88" s="310"/>
      <c r="FC88" s="310"/>
      <c r="FD88" s="310"/>
      <c r="FE88" s="396"/>
      <c r="FF88" s="396"/>
      <c r="FG88" s="396"/>
      <c r="FH88" s="311"/>
      <c r="FI88" s="310"/>
      <c r="FJ88" s="296" t="e">
        <f t="shared" si="453"/>
        <v>#DIV/0!</v>
      </c>
      <c r="FK88" s="353">
        <f t="shared" si="389"/>
        <v>3962.6378999999997</v>
      </c>
      <c r="FL88" s="353">
        <f t="shared" si="473"/>
        <v>3962.6378999999997</v>
      </c>
      <c r="FM88" s="353"/>
      <c r="FN88" s="388">
        <f t="shared" si="461"/>
        <v>1</v>
      </c>
      <c r="FO88" s="388">
        <f t="shared" si="462"/>
        <v>0</v>
      </c>
      <c r="FP88" s="353">
        <f t="shared" si="390"/>
        <v>4343.5234099999998</v>
      </c>
      <c r="FQ88" s="353">
        <f t="shared" si="463"/>
        <v>3909.1710699999999</v>
      </c>
      <c r="FR88" s="353">
        <f t="shared" si="464"/>
        <v>434.35234000000003</v>
      </c>
      <c r="FS88" s="388">
        <f t="shared" si="465"/>
        <v>0.90000000023022786</v>
      </c>
      <c r="FT88" s="388">
        <f t="shared" si="466"/>
        <v>9.9999999769772169E-2</v>
      </c>
      <c r="FU88" s="388"/>
      <c r="FV88" s="353">
        <f t="shared" si="467"/>
        <v>4343.5234099999998</v>
      </c>
      <c r="FW88" s="353">
        <f t="shared" si="391"/>
        <v>-434.35233999999991</v>
      </c>
      <c r="FX88" s="310">
        <f t="shared" si="468"/>
        <v>0</v>
      </c>
      <c r="FY88" s="310">
        <f>BD88</f>
        <v>0</v>
      </c>
      <c r="FZ88" s="310"/>
      <c r="GA88" s="396" t="e">
        <f t="shared" ref="GA88" si="478">FY88/FX88</f>
        <v>#DIV/0!</v>
      </c>
      <c r="GB88" s="396" t="e">
        <f t="shared" ref="GB88" si="479">FZ88/FX88</f>
        <v>#DIV/0!</v>
      </c>
      <c r="GC88" s="310">
        <f t="shared" ref="GC88" si="480">GD88+GE88</f>
        <v>0</v>
      </c>
      <c r="GD88" s="310">
        <f>EN88</f>
        <v>0</v>
      </c>
      <c r="GE88" s="310">
        <f>EU88</f>
        <v>0</v>
      </c>
      <c r="GF88" s="396" t="e">
        <f t="shared" ref="GF88" si="481">GD88/GC88</f>
        <v>#DIV/0!</v>
      </c>
      <c r="GG88" s="396" t="e">
        <f t="shared" ref="GG88" si="482">GE88/GC88</f>
        <v>#DIV/0!</v>
      </c>
      <c r="GH88" s="396"/>
      <c r="GI88" s="311" t="e">
        <f t="shared" ref="GI88" si="483">GC88*GA88</f>
        <v>#DIV/0!</v>
      </c>
      <c r="GJ88" s="344" t="e">
        <f t="shared" ref="GJ88" si="484">GD88-GI88</f>
        <v>#DIV/0!</v>
      </c>
      <c r="GK88" s="303">
        <f t="shared" si="368"/>
        <v>0.95282888585565606</v>
      </c>
    </row>
    <row r="89" spans="2:193" s="37" customFormat="1" ht="15.6" customHeight="1" x14ac:dyDescent="0.25">
      <c r="B89" s="29"/>
      <c r="C89" s="30"/>
      <c r="D89" s="30">
        <v>1</v>
      </c>
      <c r="E89" s="493">
        <v>71</v>
      </c>
      <c r="F89" s="29"/>
      <c r="G89" s="30"/>
      <c r="H89" s="30">
        <v>1</v>
      </c>
      <c r="M89" s="493">
        <v>53</v>
      </c>
      <c r="N89" s="494" t="s">
        <v>99</v>
      </c>
      <c r="O89" s="494"/>
      <c r="P89" s="494">
        <f t="shared" si="388"/>
        <v>0</v>
      </c>
      <c r="Q89" s="494"/>
      <c r="R89" s="494"/>
      <c r="S89" s="494" t="s">
        <v>513</v>
      </c>
      <c r="T89" s="156">
        <v>2</v>
      </c>
      <c r="U89" s="493">
        <v>1</v>
      </c>
      <c r="V89" s="2">
        <f t="shared" si="369"/>
        <v>5421.2999999999993</v>
      </c>
      <c r="W89" s="2"/>
      <c r="X89" s="198">
        <f t="shared" si="227"/>
        <v>5421.2999999999993</v>
      </c>
      <c r="Y89" s="198">
        <v>1708.1</v>
      </c>
      <c r="Z89" s="42">
        <v>3713.2</v>
      </c>
      <c r="AA89" s="2"/>
      <c r="AB89" s="567">
        <f t="shared" si="431"/>
        <v>5421.2999999999993</v>
      </c>
      <c r="AC89" s="567"/>
      <c r="AD89" s="568">
        <f t="shared" si="229"/>
        <v>5421.2999999999993</v>
      </c>
      <c r="AE89" s="568">
        <v>1708.1</v>
      </c>
      <c r="AF89" s="569">
        <v>3713.2</v>
      </c>
      <c r="AG89" s="567"/>
      <c r="AH89" s="570"/>
      <c r="AI89" s="567">
        <f t="shared" si="432"/>
        <v>1750.3</v>
      </c>
      <c r="AJ89" s="567"/>
      <c r="AK89" s="568">
        <v>1750.3</v>
      </c>
      <c r="AL89" s="567"/>
      <c r="AM89" s="570"/>
      <c r="AN89" s="567">
        <f t="shared" si="433"/>
        <v>1750.3</v>
      </c>
      <c r="AO89" s="567"/>
      <c r="AP89" s="568">
        <v>1750.3</v>
      </c>
      <c r="AQ89" s="567"/>
      <c r="AR89" s="570"/>
      <c r="AS89" s="567">
        <f t="shared" si="434"/>
        <v>761</v>
      </c>
      <c r="AT89" s="567"/>
      <c r="AU89" s="568">
        <v>761</v>
      </c>
      <c r="AV89" s="567"/>
      <c r="AW89" s="570"/>
      <c r="AX89" s="409" t="s">
        <v>655</v>
      </c>
      <c r="AY89" s="567">
        <f t="shared" si="476"/>
        <v>5421.2999999999993</v>
      </c>
      <c r="AZ89" s="567"/>
      <c r="BA89" s="578">
        <f t="shared" si="435"/>
        <v>5421.2999999999993</v>
      </c>
      <c r="BB89" s="568">
        <v>1708.1</v>
      </c>
      <c r="BC89" s="569">
        <v>3713.2</v>
      </c>
      <c r="BD89" s="567"/>
      <c r="BE89" s="567"/>
      <c r="BF89" s="567">
        <f t="shared" si="370"/>
        <v>0</v>
      </c>
      <c r="BG89" s="567">
        <f t="shared" si="371"/>
        <v>0</v>
      </c>
      <c r="BH89" s="567">
        <f t="shared" si="372"/>
        <v>0</v>
      </c>
      <c r="BI89" s="567">
        <f t="shared" si="373"/>
        <v>0</v>
      </c>
      <c r="BJ89" s="567">
        <f t="shared" si="374"/>
        <v>0</v>
      </c>
      <c r="BK89" s="567">
        <f t="shared" si="375"/>
        <v>0</v>
      </c>
      <c r="BL89" s="567" t="e">
        <f>#REF!-BE89</f>
        <v>#REF!</v>
      </c>
      <c r="BM89" s="567">
        <f t="shared" si="436"/>
        <v>1750.3</v>
      </c>
      <c r="BN89" s="567"/>
      <c r="BO89" s="568">
        <f>761+989.3</f>
        <v>1750.3</v>
      </c>
      <c r="BP89" s="567"/>
      <c r="BQ89" s="567"/>
      <c r="BR89" s="567">
        <f t="shared" si="437"/>
        <v>0</v>
      </c>
      <c r="BS89" s="567"/>
      <c r="BT89" s="568"/>
      <c r="BU89" s="567"/>
      <c r="BV89" s="567"/>
      <c r="BW89" s="567">
        <f t="shared" si="438"/>
        <v>4082.8327300000001</v>
      </c>
      <c r="BX89" s="567"/>
      <c r="BY89" s="568">
        <f t="shared" si="376"/>
        <v>4082.8327300000001</v>
      </c>
      <c r="BZ89" s="571">
        <v>1279.36673</v>
      </c>
      <c r="CA89" s="571">
        <v>2803.4659999999999</v>
      </c>
      <c r="CB89" s="567"/>
      <c r="CC89" s="567"/>
      <c r="CD89" s="567">
        <f t="shared" si="439"/>
        <v>4082.8327300000001</v>
      </c>
      <c r="CE89" s="567"/>
      <c r="CF89" s="568">
        <f t="shared" si="377"/>
        <v>4082.8327300000001</v>
      </c>
      <c r="CG89" s="571">
        <v>1279.36673</v>
      </c>
      <c r="CH89" s="571">
        <v>2803.4659999999999</v>
      </c>
      <c r="CI89" s="567"/>
      <c r="CJ89" s="567"/>
      <c r="CK89" s="567">
        <f t="shared" si="440"/>
        <v>1883.15482</v>
      </c>
      <c r="CL89" s="567"/>
      <c r="CM89" s="567">
        <v>1883.15482</v>
      </c>
      <c r="CN89" s="567"/>
      <c r="CO89" s="567"/>
      <c r="CP89" s="567"/>
      <c r="CQ89" s="567"/>
      <c r="CR89" s="573">
        <f t="shared" si="441"/>
        <v>5965.9875499999998</v>
      </c>
      <c r="CS89" s="567">
        <f t="shared" si="379"/>
        <v>5965.9875499999998</v>
      </c>
      <c r="CT89" s="567">
        <f t="shared" si="380"/>
        <v>0</v>
      </c>
      <c r="CU89" s="567">
        <f t="shared" si="381"/>
        <v>5965.9875499999998</v>
      </c>
      <c r="CV89" s="567">
        <f t="shared" si="382"/>
        <v>0</v>
      </c>
      <c r="CW89" s="567">
        <f t="shared" si="442"/>
        <v>0</v>
      </c>
      <c r="CX89" s="567">
        <f t="shared" ca="1" si="477"/>
        <v>0</v>
      </c>
      <c r="CY89" s="567">
        <f t="shared" si="383"/>
        <v>0</v>
      </c>
      <c r="CZ89" s="567">
        <f t="shared" si="384"/>
        <v>0</v>
      </c>
      <c r="DA89" s="567">
        <f t="shared" si="385"/>
        <v>0</v>
      </c>
      <c r="DB89" s="2">
        <f t="shared" si="443"/>
        <v>0</v>
      </c>
      <c r="DC89" s="76"/>
      <c r="DD89" s="253"/>
      <c r="DE89" s="253"/>
      <c r="DF89" s="2">
        <f t="shared" si="444"/>
        <v>0</v>
      </c>
      <c r="DG89" s="2"/>
      <c r="DH89" s="198"/>
      <c r="DI89" s="2"/>
      <c r="DJ89" s="2"/>
      <c r="DK89" s="2">
        <f t="shared" si="445"/>
        <v>0</v>
      </c>
      <c r="DL89" s="2"/>
      <c r="DM89" s="198"/>
      <c r="DN89" s="2"/>
      <c r="DO89" s="2"/>
      <c r="DP89" s="2">
        <f t="shared" si="446"/>
        <v>0</v>
      </c>
      <c r="DQ89" s="2">
        <f t="shared" si="447"/>
        <v>0</v>
      </c>
      <c r="DR89" s="2">
        <f t="shared" si="447"/>
        <v>0</v>
      </c>
      <c r="DS89" s="2">
        <f t="shared" si="447"/>
        <v>0</v>
      </c>
      <c r="DT89" s="2">
        <f t="shared" si="447"/>
        <v>0</v>
      </c>
      <c r="DU89" s="2"/>
      <c r="DV89" s="2"/>
      <c r="DW89" s="2"/>
      <c r="DX89" s="2">
        <f t="shared" ca="1" si="448"/>
        <v>0</v>
      </c>
      <c r="DY89" s="46"/>
      <c r="DZ89" s="2">
        <f t="shared" si="449"/>
        <v>4082.8327300000001</v>
      </c>
      <c r="EA89" s="2">
        <f t="shared" si="450"/>
        <v>4082.8327300000001</v>
      </c>
      <c r="EB89" s="46"/>
      <c r="EC89" s="2"/>
      <c r="ED89" s="2"/>
      <c r="EE89" s="46"/>
      <c r="EF89" s="2"/>
      <c r="EG89" s="46"/>
      <c r="EH89" s="46"/>
      <c r="EI89" s="2">
        <f t="shared" si="357"/>
        <v>4082.8327300000001</v>
      </c>
      <c r="EJ89" s="2"/>
      <c r="EK89" s="198">
        <f t="shared" si="386"/>
        <v>4082.8327300000001</v>
      </c>
      <c r="EL89" s="446">
        <v>1279.36673</v>
      </c>
      <c r="EM89" s="446">
        <v>2803.4659999999999</v>
      </c>
      <c r="EN89" s="2"/>
      <c r="EO89" s="2"/>
      <c r="EP89" s="2">
        <f t="shared" si="358"/>
        <v>1883.15482</v>
      </c>
      <c r="EQ89" s="2"/>
      <c r="ER89" s="2">
        <v>1883.15482</v>
      </c>
      <c r="ES89" s="2">
        <v>948.60826999999995</v>
      </c>
      <c r="ET89" s="2">
        <v>934.54655000000002</v>
      </c>
      <c r="EU89" s="2"/>
      <c r="EV89" s="141"/>
      <c r="EW89" s="310"/>
      <c r="EX89" s="310"/>
      <c r="EY89" s="310"/>
      <c r="EZ89" s="396"/>
      <c r="FA89" s="396"/>
      <c r="FB89" s="310"/>
      <c r="FC89" s="310"/>
      <c r="FD89" s="310"/>
      <c r="FE89" s="396"/>
      <c r="FF89" s="396"/>
      <c r="FG89" s="396"/>
      <c r="FH89" s="311"/>
      <c r="FI89" s="310"/>
      <c r="FJ89" s="296" t="e">
        <f t="shared" si="453"/>
        <v>#DIV/0!</v>
      </c>
      <c r="FK89" s="353">
        <f t="shared" si="389"/>
        <v>5421.2999999999993</v>
      </c>
      <c r="FL89" s="353">
        <f t="shared" si="473"/>
        <v>5421.2999999999993</v>
      </c>
      <c r="FM89" s="353"/>
      <c r="FN89" s="388">
        <f t="shared" si="461"/>
        <v>1</v>
      </c>
      <c r="FO89" s="388">
        <f t="shared" si="462"/>
        <v>0</v>
      </c>
      <c r="FP89" s="353">
        <f t="shared" si="390"/>
        <v>5965.9875499999998</v>
      </c>
      <c r="FQ89" s="353">
        <f t="shared" si="463"/>
        <v>4082.8327300000001</v>
      </c>
      <c r="FR89" s="353">
        <f t="shared" si="464"/>
        <v>1883.15482</v>
      </c>
      <c r="FS89" s="388">
        <f t="shared" si="465"/>
        <v>0.68435153372051538</v>
      </c>
      <c r="FT89" s="388">
        <f t="shared" si="466"/>
        <v>0.31564846627948462</v>
      </c>
      <c r="FU89" s="388"/>
      <c r="FV89" s="353">
        <f t="shared" si="467"/>
        <v>5965.9875499999998</v>
      </c>
      <c r="FW89" s="353">
        <f t="shared" si="391"/>
        <v>-1883.1548199999997</v>
      </c>
      <c r="FX89" s="310"/>
      <c r="FY89" s="310"/>
      <c r="FZ89" s="310"/>
      <c r="GA89" s="396"/>
      <c r="GB89" s="396"/>
      <c r="GC89" s="310"/>
      <c r="GD89" s="310"/>
      <c r="GE89" s="310"/>
      <c r="GF89" s="396"/>
      <c r="GG89" s="396"/>
      <c r="GH89" s="396"/>
      <c r="GI89" s="311"/>
      <c r="GJ89" s="344"/>
      <c r="GK89" s="303">
        <f t="shared" si="368"/>
        <v>0.75310953645804524</v>
      </c>
    </row>
    <row r="90" spans="2:193" s="37" customFormat="1" ht="15.6" customHeight="1" x14ac:dyDescent="0.25">
      <c r="B90" s="29"/>
      <c r="C90" s="30"/>
      <c r="D90" s="30">
        <v>1</v>
      </c>
      <c r="E90" s="493">
        <v>72</v>
      </c>
      <c r="F90" s="29"/>
      <c r="G90" s="30"/>
      <c r="H90" s="30">
        <v>1</v>
      </c>
      <c r="M90" s="493">
        <v>54</v>
      </c>
      <c r="N90" s="494" t="s">
        <v>100</v>
      </c>
      <c r="O90" s="494"/>
      <c r="P90" s="494">
        <f t="shared" si="388"/>
        <v>0</v>
      </c>
      <c r="Q90" s="494" t="s">
        <v>704</v>
      </c>
      <c r="R90" s="494" t="s">
        <v>699</v>
      </c>
      <c r="S90" s="494" t="s">
        <v>507</v>
      </c>
      <c r="T90" s="156">
        <v>2</v>
      </c>
      <c r="U90" s="493"/>
      <c r="V90" s="2">
        <f t="shared" si="369"/>
        <v>7194.2</v>
      </c>
      <c r="W90" s="2"/>
      <c r="X90" s="198">
        <f t="shared" si="227"/>
        <v>7194.2</v>
      </c>
      <c r="Y90" s="198">
        <v>2266.6999999999998</v>
      </c>
      <c r="Z90" s="42">
        <v>4927.5</v>
      </c>
      <c r="AA90" s="2"/>
      <c r="AB90" s="567">
        <f t="shared" si="431"/>
        <v>7194.2</v>
      </c>
      <c r="AC90" s="567"/>
      <c r="AD90" s="568">
        <f t="shared" si="229"/>
        <v>7194.2</v>
      </c>
      <c r="AE90" s="568">
        <v>2266.6999999999998</v>
      </c>
      <c r="AF90" s="569">
        <v>4927.5</v>
      </c>
      <c r="AG90" s="567"/>
      <c r="AH90" s="570"/>
      <c r="AI90" s="567">
        <f t="shared" si="432"/>
        <v>2403.5</v>
      </c>
      <c r="AJ90" s="567"/>
      <c r="AK90" s="568">
        <v>2403.5</v>
      </c>
      <c r="AL90" s="567"/>
      <c r="AM90" s="570"/>
      <c r="AN90" s="567">
        <f t="shared" si="433"/>
        <v>2403.5</v>
      </c>
      <c r="AO90" s="567"/>
      <c r="AP90" s="568">
        <v>2403.5</v>
      </c>
      <c r="AQ90" s="567"/>
      <c r="AR90" s="570"/>
      <c r="AS90" s="567">
        <f t="shared" si="434"/>
        <v>1045</v>
      </c>
      <c r="AT90" s="567"/>
      <c r="AU90" s="568">
        <v>1045</v>
      </c>
      <c r="AV90" s="567"/>
      <c r="AW90" s="570"/>
      <c r="AX90" s="409" t="s">
        <v>383</v>
      </c>
      <c r="AY90" s="567">
        <f t="shared" si="476"/>
        <v>7194.2</v>
      </c>
      <c r="AZ90" s="567"/>
      <c r="BA90" s="578">
        <f t="shared" si="435"/>
        <v>7194.2</v>
      </c>
      <c r="BB90" s="568">
        <v>2266.6999999999998</v>
      </c>
      <c r="BC90" s="569">
        <v>4927.5</v>
      </c>
      <c r="BD90" s="567"/>
      <c r="BE90" s="570"/>
      <c r="BF90" s="567">
        <f t="shared" si="370"/>
        <v>0</v>
      </c>
      <c r="BG90" s="567">
        <f t="shared" si="371"/>
        <v>0</v>
      </c>
      <c r="BH90" s="567">
        <f t="shared" si="372"/>
        <v>0</v>
      </c>
      <c r="BI90" s="567">
        <f t="shared" si="373"/>
        <v>0</v>
      </c>
      <c r="BJ90" s="567">
        <f t="shared" si="374"/>
        <v>0</v>
      </c>
      <c r="BK90" s="567">
        <f t="shared" si="375"/>
        <v>0</v>
      </c>
      <c r="BL90" s="567" t="e">
        <f>#REF!-BE90</f>
        <v>#REF!</v>
      </c>
      <c r="BM90" s="567">
        <f t="shared" si="436"/>
        <v>2403.5</v>
      </c>
      <c r="BN90" s="567"/>
      <c r="BO90" s="568">
        <f>1045+1358.5</f>
        <v>2403.5</v>
      </c>
      <c r="BP90" s="567"/>
      <c r="BQ90" s="570"/>
      <c r="BR90" s="567">
        <f t="shared" si="437"/>
        <v>0</v>
      </c>
      <c r="BS90" s="567"/>
      <c r="BT90" s="568"/>
      <c r="BU90" s="567"/>
      <c r="BV90" s="570"/>
      <c r="BW90" s="567">
        <f t="shared" si="438"/>
        <v>6930.9566400000003</v>
      </c>
      <c r="BX90" s="567"/>
      <c r="BY90" s="568">
        <f t="shared" si="376"/>
        <v>6930.9566400000003</v>
      </c>
      <c r="BZ90" s="571">
        <v>2198.6990000000001</v>
      </c>
      <c r="CA90" s="571">
        <v>4732.2576399999998</v>
      </c>
      <c r="CB90" s="567"/>
      <c r="CC90" s="577"/>
      <c r="CD90" s="567">
        <f t="shared" si="439"/>
        <v>6930.9566400000003</v>
      </c>
      <c r="CE90" s="567"/>
      <c r="CF90" s="568">
        <f t="shared" si="377"/>
        <v>6930.9566400000003</v>
      </c>
      <c r="CG90" s="571">
        <v>2198.6990000000001</v>
      </c>
      <c r="CH90" s="571">
        <v>4732.2576399999998</v>
      </c>
      <c r="CI90" s="567"/>
      <c r="CJ90" s="570"/>
      <c r="CK90" s="567">
        <f t="shared" si="440"/>
        <v>9681.5346599999993</v>
      </c>
      <c r="CL90" s="567"/>
      <c r="CM90" s="567">
        <v>9681.5346599999993</v>
      </c>
      <c r="CN90" s="567"/>
      <c r="CO90" s="567"/>
      <c r="CP90" s="567"/>
      <c r="CQ90" s="567"/>
      <c r="CR90" s="573">
        <f t="shared" si="441"/>
        <v>16612.491300000002</v>
      </c>
      <c r="CS90" s="567">
        <f t="shared" si="379"/>
        <v>16612.491300000002</v>
      </c>
      <c r="CT90" s="567">
        <f t="shared" si="380"/>
        <v>0</v>
      </c>
      <c r="CU90" s="567">
        <f t="shared" si="381"/>
        <v>16612.491300000002</v>
      </c>
      <c r="CV90" s="567">
        <f t="shared" si="382"/>
        <v>0</v>
      </c>
      <c r="CW90" s="567">
        <f t="shared" si="442"/>
        <v>0</v>
      </c>
      <c r="CX90" s="567">
        <f t="shared" ca="1" si="477"/>
        <v>0</v>
      </c>
      <c r="CY90" s="567">
        <f t="shared" si="383"/>
        <v>0</v>
      </c>
      <c r="CZ90" s="567">
        <f t="shared" si="384"/>
        <v>0</v>
      </c>
      <c r="DA90" s="567">
        <f t="shared" si="385"/>
        <v>0</v>
      </c>
      <c r="DB90" s="2">
        <f t="shared" si="443"/>
        <v>0</v>
      </c>
      <c r="DC90" s="76"/>
      <c r="DD90" s="253"/>
      <c r="DE90" s="253"/>
      <c r="DF90" s="2">
        <f t="shared" si="444"/>
        <v>0</v>
      </c>
      <c r="DG90" s="2"/>
      <c r="DH90" s="198"/>
      <c r="DI90" s="2"/>
      <c r="DJ90" s="234"/>
      <c r="DK90" s="2">
        <f t="shared" si="445"/>
        <v>0</v>
      </c>
      <c r="DL90" s="2"/>
      <c r="DM90" s="198"/>
      <c r="DN90" s="2"/>
      <c r="DO90" s="234"/>
      <c r="DP90" s="2">
        <f t="shared" si="446"/>
        <v>0</v>
      </c>
      <c r="DQ90" s="2">
        <f t="shared" si="447"/>
        <v>0</v>
      </c>
      <c r="DR90" s="2">
        <f t="shared" si="447"/>
        <v>0</v>
      </c>
      <c r="DS90" s="2">
        <f t="shared" si="447"/>
        <v>0</v>
      </c>
      <c r="DT90" s="2">
        <f t="shared" si="447"/>
        <v>0</v>
      </c>
      <c r="DU90" s="2"/>
      <c r="DV90" s="2"/>
      <c r="DW90" s="2"/>
      <c r="DX90" s="2">
        <f t="shared" ca="1" si="448"/>
        <v>0</v>
      </c>
      <c r="DY90" s="46"/>
      <c r="DZ90" s="2">
        <f t="shared" si="449"/>
        <v>6930.9566400000003</v>
      </c>
      <c r="EA90" s="2">
        <f t="shared" si="450"/>
        <v>6930.9566400000003</v>
      </c>
      <c r="EB90" s="46"/>
      <c r="EC90" s="2"/>
      <c r="ED90" s="2"/>
      <c r="EE90" s="46"/>
      <c r="EF90" s="2"/>
      <c r="EG90" s="46"/>
      <c r="EH90" s="46"/>
      <c r="EI90" s="2">
        <f t="shared" si="357"/>
        <v>6930.9566400000003</v>
      </c>
      <c r="EJ90" s="2"/>
      <c r="EK90" s="198">
        <f t="shared" si="386"/>
        <v>6930.9566400000003</v>
      </c>
      <c r="EL90" s="446">
        <v>2198.6990000000001</v>
      </c>
      <c r="EM90" s="446">
        <v>4732.2576399999998</v>
      </c>
      <c r="EN90" s="2"/>
      <c r="EO90" s="234"/>
      <c r="EP90" s="2">
        <f t="shared" si="358"/>
        <v>9681.5346599999993</v>
      </c>
      <c r="EQ90" s="2"/>
      <c r="ER90" s="2">
        <v>9681.5346599999993</v>
      </c>
      <c r="ES90" s="2">
        <v>5598.5203000000001</v>
      </c>
      <c r="ET90" s="2">
        <v>4083.0143600000001</v>
      </c>
      <c r="EU90" s="2"/>
      <c r="EV90" s="141"/>
      <c r="EW90" s="310"/>
      <c r="EX90" s="310"/>
      <c r="EY90" s="310"/>
      <c r="EZ90" s="396"/>
      <c r="FA90" s="396"/>
      <c r="FB90" s="310"/>
      <c r="FC90" s="310"/>
      <c r="FD90" s="310"/>
      <c r="FE90" s="396"/>
      <c r="FF90" s="396"/>
      <c r="FG90" s="396"/>
      <c r="FH90" s="311"/>
      <c r="FI90" s="310"/>
      <c r="FJ90" s="296" t="e">
        <f t="shared" si="453"/>
        <v>#DIV/0!</v>
      </c>
      <c r="FK90" s="353">
        <f t="shared" si="389"/>
        <v>7194.2</v>
      </c>
      <c r="FL90" s="353">
        <f t="shared" si="473"/>
        <v>7194.2</v>
      </c>
      <c r="FM90" s="353"/>
      <c r="FN90" s="388">
        <f t="shared" si="461"/>
        <v>1</v>
      </c>
      <c r="FO90" s="388">
        <f t="shared" si="462"/>
        <v>0</v>
      </c>
      <c r="FP90" s="353">
        <f t="shared" si="390"/>
        <v>16612.491300000002</v>
      </c>
      <c r="FQ90" s="353">
        <f t="shared" si="463"/>
        <v>6930.9566400000003</v>
      </c>
      <c r="FR90" s="353">
        <f t="shared" si="464"/>
        <v>9681.5346599999993</v>
      </c>
      <c r="FS90" s="388">
        <f t="shared" si="465"/>
        <v>0.41721356025631146</v>
      </c>
      <c r="FT90" s="388">
        <f t="shared" si="466"/>
        <v>0.58278643974368849</v>
      </c>
      <c r="FU90" s="388"/>
      <c r="FV90" s="353">
        <f t="shared" si="467"/>
        <v>16612.491300000002</v>
      </c>
      <c r="FW90" s="353">
        <f t="shared" si="391"/>
        <v>-9681.5346600000012</v>
      </c>
      <c r="FX90" s="310"/>
      <c r="FY90" s="310"/>
      <c r="FZ90" s="310"/>
      <c r="GA90" s="396"/>
      <c r="GB90" s="396"/>
      <c r="GC90" s="310"/>
      <c r="GD90" s="310"/>
      <c r="GE90" s="310"/>
      <c r="GF90" s="396"/>
      <c r="GG90" s="396"/>
      <c r="GH90" s="396"/>
      <c r="GI90" s="311"/>
      <c r="GJ90" s="344"/>
      <c r="GK90" s="303">
        <f t="shared" si="368"/>
        <v>0.9634089460954659</v>
      </c>
    </row>
    <row r="91" spans="2:193" s="37" customFormat="1" ht="15.6" customHeight="1" x14ac:dyDescent="0.2">
      <c r="B91" s="29"/>
      <c r="C91" s="30">
        <v>1</v>
      </c>
      <c r="D91" s="30"/>
      <c r="E91" s="493">
        <v>73</v>
      </c>
      <c r="F91" s="29"/>
      <c r="G91" s="30">
        <v>1</v>
      </c>
      <c r="H91" s="30"/>
      <c r="M91" s="493">
        <v>55</v>
      </c>
      <c r="N91" s="494" t="s">
        <v>44</v>
      </c>
      <c r="O91" s="494" t="s">
        <v>338</v>
      </c>
      <c r="P91" s="494">
        <f t="shared" si="388"/>
        <v>0</v>
      </c>
      <c r="Q91" s="494" t="s">
        <v>701</v>
      </c>
      <c r="R91" s="494" t="s">
        <v>699</v>
      </c>
      <c r="S91" s="494" t="s">
        <v>571</v>
      </c>
      <c r="T91" s="156">
        <v>2</v>
      </c>
      <c r="U91" s="493"/>
      <c r="V91" s="2">
        <f t="shared" si="369"/>
        <v>7091.7999999999993</v>
      </c>
      <c r="W91" s="2"/>
      <c r="X91" s="2">
        <f t="shared" si="227"/>
        <v>7091.7999999999993</v>
      </c>
      <c r="Y91" s="2">
        <v>2234.4</v>
      </c>
      <c r="Z91" s="2">
        <v>4857.3999999999996</v>
      </c>
      <c r="AA91" s="2"/>
      <c r="AB91" s="567">
        <f t="shared" si="431"/>
        <v>7091.7999999999993</v>
      </c>
      <c r="AC91" s="567"/>
      <c r="AD91" s="567">
        <f t="shared" si="229"/>
        <v>7091.7999999999993</v>
      </c>
      <c r="AE91" s="567">
        <v>2234.4</v>
      </c>
      <c r="AF91" s="567">
        <v>4857.3999999999996</v>
      </c>
      <c r="AG91" s="567"/>
      <c r="AH91" s="580"/>
      <c r="AI91" s="567">
        <f t="shared" si="432"/>
        <v>8124.8</v>
      </c>
      <c r="AJ91" s="567"/>
      <c r="AK91" s="567">
        <v>2288.5</v>
      </c>
      <c r="AL91" s="567">
        <v>5836.3</v>
      </c>
      <c r="AM91" s="580"/>
      <c r="AN91" s="567">
        <f t="shared" si="433"/>
        <v>4488.5</v>
      </c>
      <c r="AO91" s="567"/>
      <c r="AP91" s="567">
        <v>2288.5</v>
      </c>
      <c r="AQ91" s="567">
        <v>2200</v>
      </c>
      <c r="AR91" s="580"/>
      <c r="AS91" s="567">
        <f t="shared" si="434"/>
        <v>3195</v>
      </c>
      <c r="AT91" s="567"/>
      <c r="AU91" s="567">
        <v>995</v>
      </c>
      <c r="AV91" s="567">
        <v>2200</v>
      </c>
      <c r="AW91" s="581"/>
      <c r="AX91" s="410" t="s">
        <v>434</v>
      </c>
      <c r="AY91" s="567">
        <f t="shared" si="476"/>
        <v>7025.978000000001</v>
      </c>
      <c r="AZ91" s="567"/>
      <c r="BA91" s="574">
        <f t="shared" si="435"/>
        <v>7025.978000000001</v>
      </c>
      <c r="BB91" s="567">
        <f>2234.4-65.822</f>
        <v>2168.578</v>
      </c>
      <c r="BC91" s="567">
        <f>4791.578+65.822</f>
        <v>4857.4000000000005</v>
      </c>
      <c r="BD91" s="567"/>
      <c r="BE91" s="567"/>
      <c r="BF91" s="567">
        <f t="shared" si="370"/>
        <v>65.822000000000116</v>
      </c>
      <c r="BG91" s="567">
        <f t="shared" si="371"/>
        <v>0</v>
      </c>
      <c r="BH91" s="567">
        <f t="shared" si="372"/>
        <v>65.822000000000116</v>
      </c>
      <c r="BI91" s="567">
        <f t="shared" si="373"/>
        <v>65.822000000000116</v>
      </c>
      <c r="BJ91" s="567">
        <f t="shared" si="374"/>
        <v>0</v>
      </c>
      <c r="BK91" s="567">
        <f t="shared" si="375"/>
        <v>0</v>
      </c>
      <c r="BL91" s="567" t="e">
        <f>#REF!-BE91</f>
        <v>#REF!</v>
      </c>
      <c r="BM91" s="567">
        <f t="shared" si="436"/>
        <v>8124.8</v>
      </c>
      <c r="BN91" s="567"/>
      <c r="BO91" s="567">
        <v>2288.5</v>
      </c>
      <c r="BP91" s="567">
        <v>5836.3</v>
      </c>
      <c r="BQ91" s="567"/>
      <c r="BR91" s="567">
        <f t="shared" si="437"/>
        <v>0</v>
      </c>
      <c r="BS91" s="567"/>
      <c r="BT91" s="567"/>
      <c r="BU91" s="567"/>
      <c r="BV91" s="567"/>
      <c r="BW91" s="567">
        <f t="shared" si="438"/>
        <v>6668.2235600000004</v>
      </c>
      <c r="BX91" s="567"/>
      <c r="BY91" s="567">
        <f t="shared" si="376"/>
        <v>6668.2235600000004</v>
      </c>
      <c r="BZ91" s="574">
        <f>2212.056-65.822</f>
        <v>2146.2339999999999</v>
      </c>
      <c r="CA91" s="574">
        <f>4456.16756+65.822</f>
        <v>4521.98956</v>
      </c>
      <c r="CB91" s="567"/>
      <c r="CC91" s="567"/>
      <c r="CD91" s="567">
        <f t="shared" si="439"/>
        <v>6668.2235600000004</v>
      </c>
      <c r="CE91" s="567"/>
      <c r="CF91" s="567">
        <f t="shared" si="377"/>
        <v>6668.2235600000004</v>
      </c>
      <c r="CG91" s="574">
        <f>2212.056-65.822</f>
        <v>2146.2339999999999</v>
      </c>
      <c r="CH91" s="574">
        <f>4456.16756+65.822</f>
        <v>4521.98956</v>
      </c>
      <c r="CI91" s="567"/>
      <c r="CJ91" s="567"/>
      <c r="CK91" s="567">
        <f t="shared" si="440"/>
        <v>2672.6424999999999</v>
      </c>
      <c r="CL91" s="567"/>
      <c r="CM91" s="567">
        <v>2672.6424999999999</v>
      </c>
      <c r="CN91" s="567">
        <v>1947.2198699999999</v>
      </c>
      <c r="CO91" s="567"/>
      <c r="CP91" s="567"/>
      <c r="CQ91" s="567"/>
      <c r="CR91" s="573">
        <f t="shared" si="441"/>
        <v>9340.8660600000003</v>
      </c>
      <c r="CS91" s="567">
        <f t="shared" si="379"/>
        <v>9340.8660600000003</v>
      </c>
      <c r="CT91" s="567">
        <f t="shared" si="380"/>
        <v>0</v>
      </c>
      <c r="CU91" s="567">
        <f t="shared" si="381"/>
        <v>9340.8660600000003</v>
      </c>
      <c r="CV91" s="567">
        <f t="shared" si="382"/>
        <v>0</v>
      </c>
      <c r="CW91" s="567">
        <f t="shared" si="442"/>
        <v>0</v>
      </c>
      <c r="CX91" s="567">
        <f t="shared" ca="1" si="477"/>
        <v>0</v>
      </c>
      <c r="CY91" s="567">
        <f t="shared" si="383"/>
        <v>0</v>
      </c>
      <c r="CZ91" s="567">
        <f t="shared" si="384"/>
        <v>0</v>
      </c>
      <c r="DA91" s="567">
        <f t="shared" si="385"/>
        <v>0</v>
      </c>
      <c r="DB91" s="2">
        <f t="shared" si="443"/>
        <v>0</v>
      </c>
      <c r="DC91" s="76"/>
      <c r="DD91" s="253"/>
      <c r="DE91" s="253"/>
      <c r="DF91" s="2">
        <f t="shared" si="444"/>
        <v>0</v>
      </c>
      <c r="DG91" s="2"/>
      <c r="DH91" s="2"/>
      <c r="DI91" s="2"/>
      <c r="DJ91" s="2"/>
      <c r="DK91" s="2">
        <f t="shared" si="445"/>
        <v>0</v>
      </c>
      <c r="DL91" s="2"/>
      <c r="DM91" s="2"/>
      <c r="DN91" s="2"/>
      <c r="DO91" s="2"/>
      <c r="DP91" s="2">
        <f t="shared" si="446"/>
        <v>0</v>
      </c>
      <c r="DQ91" s="2">
        <f t="shared" si="447"/>
        <v>0</v>
      </c>
      <c r="DR91" s="2">
        <f t="shared" si="447"/>
        <v>0</v>
      </c>
      <c r="DS91" s="2">
        <f t="shared" si="447"/>
        <v>0</v>
      </c>
      <c r="DT91" s="2">
        <f t="shared" si="447"/>
        <v>0</v>
      </c>
      <c r="DU91" s="2"/>
      <c r="DV91" s="2"/>
      <c r="DW91" s="2"/>
      <c r="DX91" s="2">
        <f t="shared" ca="1" si="448"/>
        <v>0</v>
      </c>
      <c r="DY91" s="46"/>
      <c r="DZ91" s="2">
        <f t="shared" si="449"/>
        <v>6668.2235600000004</v>
      </c>
      <c r="EA91" s="2">
        <f t="shared" si="450"/>
        <v>6668.2235600000004</v>
      </c>
      <c r="EB91" s="46"/>
      <c r="EC91" s="2"/>
      <c r="ED91" s="2"/>
      <c r="EE91" s="46"/>
      <c r="EF91" s="2"/>
      <c r="EG91" s="46"/>
      <c r="EH91" s="46"/>
      <c r="EI91" s="2">
        <f t="shared" si="357"/>
        <v>6668.2235600000004</v>
      </c>
      <c r="EJ91" s="2"/>
      <c r="EK91" s="2">
        <f t="shared" si="386"/>
        <v>6668.2235600000004</v>
      </c>
      <c r="EL91" s="432">
        <f>2212.056-65.822</f>
        <v>2146.2339999999999</v>
      </c>
      <c r="EM91" s="432">
        <f>4456.16756+65.822</f>
        <v>4521.98956</v>
      </c>
      <c r="EN91" s="2"/>
      <c r="EO91" s="2"/>
      <c r="EP91" s="2">
        <f t="shared" si="358"/>
        <v>2672.6424999999999</v>
      </c>
      <c r="EQ91" s="2"/>
      <c r="ER91" s="2">
        <v>2672.6424999999999</v>
      </c>
      <c r="ES91" s="2">
        <v>1947.2198699999999</v>
      </c>
      <c r="ET91" s="2">
        <v>725.42263000000003</v>
      </c>
      <c r="EU91" s="2"/>
      <c r="EV91" s="141"/>
      <c r="EW91" s="310"/>
      <c r="EX91" s="310"/>
      <c r="EY91" s="310"/>
      <c r="EZ91" s="396"/>
      <c r="FA91" s="396"/>
      <c r="FB91" s="310"/>
      <c r="FC91" s="310"/>
      <c r="FD91" s="310"/>
      <c r="FE91" s="396"/>
      <c r="FF91" s="396"/>
      <c r="FG91" s="396"/>
      <c r="FH91" s="311"/>
      <c r="FI91" s="310"/>
      <c r="FJ91" s="296" t="e">
        <f t="shared" si="453"/>
        <v>#DIV/0!</v>
      </c>
      <c r="FK91" s="353">
        <f t="shared" si="389"/>
        <v>7025.978000000001</v>
      </c>
      <c r="FL91" s="353">
        <f t="shared" si="473"/>
        <v>7025.978000000001</v>
      </c>
      <c r="FM91" s="353"/>
      <c r="FN91" s="388">
        <f t="shared" si="461"/>
        <v>1</v>
      </c>
      <c r="FO91" s="388">
        <f t="shared" si="462"/>
        <v>0</v>
      </c>
      <c r="FP91" s="353">
        <f t="shared" si="390"/>
        <v>9340.8660600000003</v>
      </c>
      <c r="FQ91" s="353">
        <f t="shared" si="463"/>
        <v>6668.2235600000004</v>
      </c>
      <c r="FR91" s="353">
        <f t="shared" si="464"/>
        <v>2672.6424999999999</v>
      </c>
      <c r="FS91" s="388">
        <f t="shared" si="465"/>
        <v>0.71387637047436692</v>
      </c>
      <c r="FT91" s="388">
        <f t="shared" si="466"/>
        <v>0.28612362952563308</v>
      </c>
      <c r="FU91" s="388"/>
      <c r="FV91" s="353">
        <f t="shared" si="467"/>
        <v>9340.8660600000003</v>
      </c>
      <c r="FW91" s="353">
        <f t="shared" si="391"/>
        <v>-2672.6424999999999</v>
      </c>
      <c r="FX91" s="310">
        <f t="shared" ref="FX91" si="485">FY91+FZ91</f>
        <v>0</v>
      </c>
      <c r="FY91" s="310">
        <f>BD91</f>
        <v>0</v>
      </c>
      <c r="FZ91" s="310"/>
      <c r="GA91" s="396" t="e">
        <f t="shared" ref="GA91" si="486">FY91/FX91</f>
        <v>#DIV/0!</v>
      </c>
      <c r="GB91" s="396" t="e">
        <f t="shared" ref="GB91" si="487">FZ91/FX91</f>
        <v>#DIV/0!</v>
      </c>
      <c r="GC91" s="310">
        <f t="shared" ref="GC91" si="488">GD91+GE91</f>
        <v>0</v>
      </c>
      <c r="GD91" s="310">
        <f>EN91</f>
        <v>0</v>
      </c>
      <c r="GE91" s="310">
        <f>EU91</f>
        <v>0</v>
      </c>
      <c r="GF91" s="396" t="e">
        <f t="shared" ref="GF91" si="489">GD91/GC91</f>
        <v>#DIV/0!</v>
      </c>
      <c r="GG91" s="396" t="e">
        <f t="shared" ref="GG91" si="490">GE91/GC91</f>
        <v>#DIV/0!</v>
      </c>
      <c r="GH91" s="396"/>
      <c r="GI91" s="311" t="e">
        <f t="shared" ref="GI91" si="491">GC91*GA91</f>
        <v>#DIV/0!</v>
      </c>
      <c r="GJ91" s="344" t="e">
        <f t="shared" ref="GJ91" si="492">GD91-GI91</f>
        <v>#DIV/0!</v>
      </c>
      <c r="GK91" s="303">
        <f t="shared" si="368"/>
        <v>0.94027236526692815</v>
      </c>
    </row>
    <row r="92" spans="2:193" s="37" customFormat="1" ht="15.75" customHeight="1" x14ac:dyDescent="0.25">
      <c r="B92" s="29"/>
      <c r="C92" s="30">
        <v>1</v>
      </c>
      <c r="D92" s="30"/>
      <c r="E92" s="493">
        <v>74</v>
      </c>
      <c r="F92" s="29"/>
      <c r="G92" s="30">
        <v>1</v>
      </c>
      <c r="H92" s="30">
        <v>1</v>
      </c>
      <c r="M92" s="493">
        <v>56</v>
      </c>
      <c r="N92" s="494" t="s">
        <v>45</v>
      </c>
      <c r="O92" s="494"/>
      <c r="P92" s="494">
        <f t="shared" si="388"/>
        <v>0</v>
      </c>
      <c r="Q92" s="494" t="s">
        <v>701</v>
      </c>
      <c r="R92" s="494" t="s">
        <v>700</v>
      </c>
      <c r="S92" s="494">
        <v>379</v>
      </c>
      <c r="T92" s="156">
        <v>1</v>
      </c>
      <c r="U92" s="493">
        <v>1</v>
      </c>
      <c r="V92" s="2">
        <f t="shared" si="369"/>
        <v>11969</v>
      </c>
      <c r="W92" s="2"/>
      <c r="X92" s="198">
        <f t="shared" si="227"/>
        <v>11969</v>
      </c>
      <c r="Y92" s="198">
        <v>3771.1</v>
      </c>
      <c r="Z92" s="42">
        <v>8197.9</v>
      </c>
      <c r="AA92" s="2"/>
      <c r="AB92" s="567">
        <f t="shared" si="431"/>
        <v>11969</v>
      </c>
      <c r="AC92" s="567"/>
      <c r="AD92" s="568">
        <f t="shared" si="229"/>
        <v>11969</v>
      </c>
      <c r="AE92" s="568">
        <v>3771.1</v>
      </c>
      <c r="AF92" s="569">
        <v>8197.9</v>
      </c>
      <c r="AG92" s="567"/>
      <c r="AH92" s="570"/>
      <c r="AI92" s="567">
        <f t="shared" si="432"/>
        <v>33388.400000000001</v>
      </c>
      <c r="AJ92" s="567"/>
      <c r="AK92" s="568">
        <v>3698.4</v>
      </c>
      <c r="AL92" s="567">
        <v>29690</v>
      </c>
      <c r="AM92" s="570"/>
      <c r="AN92" s="567">
        <f t="shared" si="433"/>
        <v>23698.400000000001</v>
      </c>
      <c r="AO92" s="567"/>
      <c r="AP92" s="568">
        <v>3698.4</v>
      </c>
      <c r="AQ92" s="567">
        <v>20000</v>
      </c>
      <c r="AR92" s="570"/>
      <c r="AS92" s="567">
        <f t="shared" si="434"/>
        <v>21608</v>
      </c>
      <c r="AT92" s="567"/>
      <c r="AU92" s="568">
        <v>1608</v>
      </c>
      <c r="AV92" s="567">
        <v>20000</v>
      </c>
      <c r="AW92" s="570"/>
      <c r="AX92" s="409" t="s">
        <v>694</v>
      </c>
      <c r="AY92" s="567">
        <f t="shared" si="476"/>
        <v>11639.066559999999</v>
      </c>
      <c r="AZ92" s="567"/>
      <c r="BA92" s="578">
        <f t="shared" si="435"/>
        <v>11639.066559999999</v>
      </c>
      <c r="BB92" s="568">
        <f>3444.158-2.99144</f>
        <v>3441.1665600000001</v>
      </c>
      <c r="BC92" s="569">
        <f>8197.9</f>
        <v>8197.9</v>
      </c>
      <c r="BD92" s="574"/>
      <c r="BE92" s="570"/>
      <c r="BF92" s="567">
        <f t="shared" si="370"/>
        <v>329.93343999999979</v>
      </c>
      <c r="BG92" s="567">
        <f t="shared" si="371"/>
        <v>0</v>
      </c>
      <c r="BH92" s="567">
        <f t="shared" si="372"/>
        <v>329.93343999999979</v>
      </c>
      <c r="BI92" s="567">
        <f t="shared" si="373"/>
        <v>329.93343999999979</v>
      </c>
      <c r="BJ92" s="567">
        <f t="shared" si="374"/>
        <v>0</v>
      </c>
      <c r="BK92" s="567">
        <f t="shared" si="375"/>
        <v>0</v>
      </c>
      <c r="BL92" s="567" t="e">
        <f>#REF!-BE92</f>
        <v>#REF!</v>
      </c>
      <c r="BM92" s="567">
        <f t="shared" si="436"/>
        <v>31960</v>
      </c>
      <c r="BN92" s="567"/>
      <c r="BO92" s="568">
        <f>1320+2190</f>
        <v>3510</v>
      </c>
      <c r="BP92" s="567">
        <f>14560+14630-740</f>
        <v>28450</v>
      </c>
      <c r="BQ92" s="570"/>
      <c r="BR92" s="567">
        <f t="shared" si="437"/>
        <v>0</v>
      </c>
      <c r="BS92" s="567"/>
      <c r="BT92" s="567"/>
      <c r="BU92" s="567"/>
      <c r="BV92" s="570"/>
      <c r="BW92" s="567">
        <f t="shared" si="438"/>
        <v>11345.410029999999</v>
      </c>
      <c r="BX92" s="567"/>
      <c r="BY92" s="568">
        <f t="shared" si="376"/>
        <v>11345.410029999999</v>
      </c>
      <c r="BZ92" s="571">
        <f>1362.64584+1784.86419</f>
        <v>3147.5100299999999</v>
      </c>
      <c r="CA92" s="571">
        <f>2629.23547+1587.25942+2176.95007+1804.45504</f>
        <v>8197.9</v>
      </c>
      <c r="CB92" s="567"/>
      <c r="CC92" s="577"/>
      <c r="CD92" s="567">
        <f t="shared" si="439"/>
        <v>11345.410029999999</v>
      </c>
      <c r="CE92" s="567"/>
      <c r="CF92" s="568">
        <f t="shared" si="377"/>
        <v>11345.410029999999</v>
      </c>
      <c r="CG92" s="571">
        <f>1362.64584+1784.86419</f>
        <v>3147.5100299999999</v>
      </c>
      <c r="CH92" s="571">
        <f>2629.23547+1587.25942+2176.95007+1804.45504</f>
        <v>8197.9</v>
      </c>
      <c r="CI92" s="567"/>
      <c r="CJ92" s="570"/>
      <c r="CK92" s="567">
        <f t="shared" si="440"/>
        <v>1260.6011800000001</v>
      </c>
      <c r="CL92" s="567"/>
      <c r="CM92" s="567">
        <v>1260.6011800000001</v>
      </c>
      <c r="CN92" s="567"/>
      <c r="CO92" s="567">
        <f>292.13729+176.36217</f>
        <v>468.49946</v>
      </c>
      <c r="CP92" s="567"/>
      <c r="CQ92" s="567"/>
      <c r="CR92" s="573">
        <f t="shared" si="441"/>
        <v>12606.011209999999</v>
      </c>
      <c r="CS92" s="567">
        <f t="shared" si="379"/>
        <v>12606.011209999999</v>
      </c>
      <c r="CT92" s="567">
        <f t="shared" si="380"/>
        <v>0</v>
      </c>
      <c r="CU92" s="567">
        <f t="shared" si="381"/>
        <v>12606.011209999999</v>
      </c>
      <c r="CV92" s="567">
        <f t="shared" si="382"/>
        <v>0</v>
      </c>
      <c r="CW92" s="567">
        <f t="shared" si="442"/>
        <v>0</v>
      </c>
      <c r="CX92" s="567">
        <f t="shared" ca="1" si="477"/>
        <v>0</v>
      </c>
      <c r="CY92" s="567">
        <f t="shared" si="383"/>
        <v>0</v>
      </c>
      <c r="CZ92" s="567">
        <f t="shared" si="384"/>
        <v>0</v>
      </c>
      <c r="DA92" s="567">
        <f t="shared" si="385"/>
        <v>0</v>
      </c>
      <c r="DB92" s="2">
        <f t="shared" si="443"/>
        <v>0</v>
      </c>
      <c r="DC92" s="76"/>
      <c r="DD92" s="253"/>
      <c r="DE92" s="253"/>
      <c r="DF92" s="2">
        <f t="shared" si="444"/>
        <v>0</v>
      </c>
      <c r="DG92" s="2"/>
      <c r="DH92" s="2"/>
      <c r="DI92" s="2"/>
      <c r="DJ92" s="234"/>
      <c r="DK92" s="2">
        <f t="shared" si="445"/>
        <v>0</v>
      </c>
      <c r="DL92" s="2"/>
      <c r="DM92" s="2"/>
      <c r="DN92" s="2"/>
      <c r="DO92" s="234"/>
      <c r="DP92" s="2">
        <f t="shared" si="446"/>
        <v>0</v>
      </c>
      <c r="DQ92" s="2">
        <f t="shared" si="447"/>
        <v>0</v>
      </c>
      <c r="DR92" s="2">
        <f t="shared" si="447"/>
        <v>0</v>
      </c>
      <c r="DS92" s="2">
        <f t="shared" si="447"/>
        <v>0</v>
      </c>
      <c r="DT92" s="2">
        <f t="shared" si="447"/>
        <v>0</v>
      </c>
      <c r="DU92" s="2"/>
      <c r="DV92" s="2"/>
      <c r="DW92" s="2"/>
      <c r="DX92" s="2">
        <f t="shared" ca="1" si="448"/>
        <v>0</v>
      </c>
      <c r="DY92" s="46"/>
      <c r="DZ92" s="2">
        <f t="shared" si="449"/>
        <v>11345.410029999999</v>
      </c>
      <c r="EA92" s="2">
        <f t="shared" si="450"/>
        <v>11345.410029999999</v>
      </c>
      <c r="EB92" s="46"/>
      <c r="EC92" s="2"/>
      <c r="ED92" s="2"/>
      <c r="EE92" s="46"/>
      <c r="EF92" s="2"/>
      <c r="EG92" s="46"/>
      <c r="EH92" s="46"/>
      <c r="EI92" s="2">
        <f t="shared" si="357"/>
        <v>11345.410029999999</v>
      </c>
      <c r="EJ92" s="2"/>
      <c r="EK92" s="198">
        <f t="shared" si="386"/>
        <v>11345.410029999999</v>
      </c>
      <c r="EL92" s="446">
        <f>1362.64584+1784.86419</f>
        <v>3147.5100299999999</v>
      </c>
      <c r="EM92" s="446">
        <f>2629.23547+1587.25942+2176.95007+1804.45504</f>
        <v>8197.9</v>
      </c>
      <c r="EN92" s="2"/>
      <c r="EO92" s="234"/>
      <c r="EP92" s="2">
        <f t="shared" si="358"/>
        <v>1260.6011800000001</v>
      </c>
      <c r="EQ92" s="2"/>
      <c r="ER92" s="2">
        <v>1260.6011800000001</v>
      </c>
      <c r="ES92" s="2">
        <f>393.28846+198.31825</f>
        <v>591.60671000000002</v>
      </c>
      <c r="ET92" s="2">
        <f>292.13729+176.3621+200.495017</f>
        <v>668.99440700000002</v>
      </c>
      <c r="EU92" s="2"/>
      <c r="EV92" s="141"/>
      <c r="EW92" s="310"/>
      <c r="EX92" s="310"/>
      <c r="EY92" s="310"/>
      <c r="EZ92" s="396"/>
      <c r="FA92" s="396"/>
      <c r="FB92" s="310"/>
      <c r="FC92" s="310"/>
      <c r="FD92" s="310"/>
      <c r="FE92" s="396"/>
      <c r="FF92" s="396"/>
      <c r="FG92" s="396"/>
      <c r="FH92" s="311"/>
      <c r="FI92" s="310"/>
      <c r="FJ92" s="296" t="e">
        <f t="shared" si="453"/>
        <v>#DIV/0!</v>
      </c>
      <c r="FK92" s="353">
        <f t="shared" si="389"/>
        <v>11639.066559999999</v>
      </c>
      <c r="FL92" s="353">
        <f t="shared" si="473"/>
        <v>11639.066559999999</v>
      </c>
      <c r="FM92" s="353"/>
      <c r="FN92" s="388">
        <f t="shared" si="461"/>
        <v>1</v>
      </c>
      <c r="FO92" s="388">
        <f t="shared" si="462"/>
        <v>0</v>
      </c>
      <c r="FP92" s="353">
        <f t="shared" si="390"/>
        <v>12606.011209999999</v>
      </c>
      <c r="FQ92" s="353">
        <f t="shared" si="463"/>
        <v>11345.410029999999</v>
      </c>
      <c r="FR92" s="353">
        <f t="shared" si="464"/>
        <v>1260.6011800000001</v>
      </c>
      <c r="FS92" s="388">
        <f t="shared" si="465"/>
        <v>0.89999999531969321</v>
      </c>
      <c r="FT92" s="388">
        <f t="shared" si="466"/>
        <v>0.10000000468030681</v>
      </c>
      <c r="FU92" s="388"/>
      <c r="FV92" s="353">
        <f t="shared" si="467"/>
        <v>12606.011209999999</v>
      </c>
      <c r="FW92" s="353">
        <f t="shared" si="391"/>
        <v>-1260.6011799999997</v>
      </c>
      <c r="FX92" s="310">
        <f t="shared" ref="FX92" si="493">FY92+FZ92</f>
        <v>0</v>
      </c>
      <c r="FY92" s="310">
        <f>BD92</f>
        <v>0</v>
      </c>
      <c r="FZ92" s="310"/>
      <c r="GA92" s="396" t="e">
        <f t="shared" ref="GA92" si="494">FY92/FX92</f>
        <v>#DIV/0!</v>
      </c>
      <c r="GB92" s="396" t="e">
        <f t="shared" ref="GB92" si="495">FZ92/FX92</f>
        <v>#DIV/0!</v>
      </c>
      <c r="GC92" s="310">
        <f t="shared" ref="GC92" si="496">GD92+GE92</f>
        <v>0</v>
      </c>
      <c r="GD92" s="310">
        <f>EN92</f>
        <v>0</v>
      </c>
      <c r="GE92" s="310">
        <f>EU92</f>
        <v>0</v>
      </c>
      <c r="GF92" s="396" t="e">
        <f t="shared" ref="GF92" si="497">GD92/GC92</f>
        <v>#DIV/0!</v>
      </c>
      <c r="GG92" s="396" t="e">
        <f t="shared" ref="GG92" si="498">GE92/GC92</f>
        <v>#DIV/0!</v>
      </c>
      <c r="GH92" s="396"/>
      <c r="GI92" s="311" t="e">
        <f t="shared" ref="GI92" si="499">GC92*GA92</f>
        <v>#DIV/0!</v>
      </c>
      <c r="GJ92" s="344" t="e">
        <f t="shared" ref="GJ92" si="500">GD92-GI92</f>
        <v>#DIV/0!</v>
      </c>
      <c r="GK92" s="303">
        <f t="shared" si="368"/>
        <v>0.94789957640571465</v>
      </c>
    </row>
    <row r="93" spans="2:193" s="37" customFormat="1" ht="15.75" customHeight="1" x14ac:dyDescent="0.25">
      <c r="B93" s="29"/>
      <c r="C93" s="30">
        <v>1</v>
      </c>
      <c r="D93" s="30"/>
      <c r="E93" s="493">
        <v>75</v>
      </c>
      <c r="F93" s="29"/>
      <c r="G93" s="30">
        <v>1</v>
      </c>
      <c r="H93" s="30">
        <v>1</v>
      </c>
      <c r="M93" s="493">
        <v>57</v>
      </c>
      <c r="N93" s="494" t="s">
        <v>46</v>
      </c>
      <c r="O93" s="494"/>
      <c r="P93" s="494">
        <f t="shared" si="388"/>
        <v>0</v>
      </c>
      <c r="Q93" s="494" t="s">
        <v>701</v>
      </c>
      <c r="R93" s="494" t="s">
        <v>699</v>
      </c>
      <c r="S93" s="494" t="s">
        <v>515</v>
      </c>
      <c r="T93" s="156">
        <v>3</v>
      </c>
      <c r="U93" s="493">
        <v>1</v>
      </c>
      <c r="V93" s="2">
        <f t="shared" si="369"/>
        <v>20228.651000000002</v>
      </c>
      <c r="W93" s="2"/>
      <c r="X93" s="198">
        <f t="shared" si="227"/>
        <v>3321.9</v>
      </c>
      <c r="Y93" s="198">
        <v>1046.5999999999999</v>
      </c>
      <c r="Z93" s="198">
        <v>2275.3000000000002</v>
      </c>
      <c r="AA93" s="236">
        <v>16906.751</v>
      </c>
      <c r="AB93" s="567">
        <f t="shared" si="431"/>
        <v>20228.651000000002</v>
      </c>
      <c r="AC93" s="567"/>
      <c r="AD93" s="568">
        <f t="shared" si="229"/>
        <v>3321.9</v>
      </c>
      <c r="AE93" s="568">
        <v>1046.5999999999999</v>
      </c>
      <c r="AF93" s="568">
        <v>2275.3000000000002</v>
      </c>
      <c r="AG93" s="577">
        <v>16906.751</v>
      </c>
      <c r="AH93" s="570"/>
      <c r="AI93" s="567">
        <f t="shared" si="432"/>
        <v>1329.4</v>
      </c>
      <c r="AJ93" s="567"/>
      <c r="AK93" s="568">
        <v>1329.4</v>
      </c>
      <c r="AL93" s="570"/>
      <c r="AM93" s="570"/>
      <c r="AN93" s="567">
        <f t="shared" si="433"/>
        <v>1329.4</v>
      </c>
      <c r="AO93" s="567"/>
      <c r="AP93" s="568">
        <v>1329.4</v>
      </c>
      <c r="AQ93" s="570"/>
      <c r="AR93" s="570"/>
      <c r="AS93" s="567">
        <f t="shared" si="434"/>
        <v>578</v>
      </c>
      <c r="AT93" s="567"/>
      <c r="AU93" s="568">
        <v>578</v>
      </c>
      <c r="AV93" s="570"/>
      <c r="AW93" s="570"/>
      <c r="AX93" s="409" t="s">
        <v>687</v>
      </c>
      <c r="AY93" s="567">
        <f t="shared" si="476"/>
        <v>20228.65019</v>
      </c>
      <c r="AZ93" s="567"/>
      <c r="BA93" s="578">
        <f t="shared" si="435"/>
        <v>3321.8991900000001</v>
      </c>
      <c r="BB93" s="568">
        <f>1046.6-0.00081</f>
        <v>1046.5991899999999</v>
      </c>
      <c r="BC93" s="568">
        <f>2275.3-0.00081+0.00081</f>
        <v>2275.3000000000002</v>
      </c>
      <c r="BD93" s="592">
        <v>16906.751</v>
      </c>
      <c r="BE93" s="570"/>
      <c r="BF93" s="567">
        <f t="shared" si="370"/>
        <v>8.1000000000130967E-4</v>
      </c>
      <c r="BG93" s="567">
        <f t="shared" si="371"/>
        <v>0</v>
      </c>
      <c r="BH93" s="567">
        <f t="shared" si="372"/>
        <v>8.1000000000130967E-4</v>
      </c>
      <c r="BI93" s="567">
        <f t="shared" si="373"/>
        <v>8.1000000000130967E-4</v>
      </c>
      <c r="BJ93" s="567">
        <f t="shared" si="374"/>
        <v>0</v>
      </c>
      <c r="BK93" s="567">
        <f t="shared" si="375"/>
        <v>0</v>
      </c>
      <c r="BL93" s="567" t="e">
        <f>#REF!-BE93</f>
        <v>#REF!</v>
      </c>
      <c r="BM93" s="567">
        <f t="shared" si="436"/>
        <v>1329.4</v>
      </c>
      <c r="BN93" s="567"/>
      <c r="BO93" s="568">
        <f>578+751.4</f>
        <v>1329.4</v>
      </c>
      <c r="BP93" s="570"/>
      <c r="BQ93" s="570"/>
      <c r="BR93" s="567">
        <f t="shared" si="437"/>
        <v>0</v>
      </c>
      <c r="BS93" s="567"/>
      <c r="BT93" s="570"/>
      <c r="BU93" s="570"/>
      <c r="BV93" s="570"/>
      <c r="BW93" s="567">
        <f t="shared" si="438"/>
        <v>16790.584490000001</v>
      </c>
      <c r="BX93" s="567"/>
      <c r="BY93" s="568">
        <f t="shared" si="376"/>
        <v>3259.1028300000003</v>
      </c>
      <c r="BZ93" s="578">
        <v>983.80363999999997</v>
      </c>
      <c r="CA93" s="578">
        <f>1786.1105+489.18869</f>
        <v>2275.2991900000002</v>
      </c>
      <c r="CB93" s="577">
        <f>4291.5511+643.25189+8596.67867</f>
        <v>13531.481659999999</v>
      </c>
      <c r="CC93" s="577"/>
      <c r="CD93" s="567">
        <f t="shared" si="439"/>
        <v>16790.584490000001</v>
      </c>
      <c r="CE93" s="567"/>
      <c r="CF93" s="568">
        <f t="shared" si="377"/>
        <v>3259.1028300000003</v>
      </c>
      <c r="CG93" s="578">
        <v>983.80363999999997</v>
      </c>
      <c r="CH93" s="578">
        <f>1786.1105+489.18869</f>
        <v>2275.2991900000002</v>
      </c>
      <c r="CI93" s="577">
        <f>4291.5511+643.25189+8596.67867</f>
        <v>13531.481659999999</v>
      </c>
      <c r="CJ93" s="570"/>
      <c r="CK93" s="567">
        <f t="shared" si="440"/>
        <v>2143.1477099999997</v>
      </c>
      <c r="CL93" s="567"/>
      <c r="CM93" s="567">
        <v>639.64964999999995</v>
      </c>
      <c r="CN93" s="567">
        <v>384.64974000000001</v>
      </c>
      <c r="CO93" s="567">
        <v>200.17500000000001</v>
      </c>
      <c r="CP93" s="567">
        <v>1503.4980599999999</v>
      </c>
      <c r="CQ93" s="567"/>
      <c r="CR93" s="573">
        <f t="shared" si="441"/>
        <v>18933.732199999999</v>
      </c>
      <c r="CS93" s="567">
        <f t="shared" si="379"/>
        <v>18933.732199999999</v>
      </c>
      <c r="CT93" s="567">
        <f t="shared" si="380"/>
        <v>0</v>
      </c>
      <c r="CU93" s="567">
        <f t="shared" si="381"/>
        <v>3898.7524800000001</v>
      </c>
      <c r="CV93" s="567">
        <f t="shared" si="382"/>
        <v>15034.979719999999</v>
      </c>
      <c r="CW93" s="567">
        <f t="shared" si="442"/>
        <v>0</v>
      </c>
      <c r="CX93" s="567">
        <f t="shared" ca="1" si="477"/>
        <v>0</v>
      </c>
      <c r="CY93" s="567">
        <f t="shared" si="383"/>
        <v>0</v>
      </c>
      <c r="CZ93" s="567">
        <f t="shared" si="384"/>
        <v>0</v>
      </c>
      <c r="DA93" s="567">
        <f t="shared" si="385"/>
        <v>0</v>
      </c>
      <c r="DB93" s="2">
        <f t="shared" si="443"/>
        <v>0</v>
      </c>
      <c r="DC93" s="76"/>
      <c r="DD93" s="253"/>
      <c r="DE93" s="253"/>
      <c r="DF93" s="2">
        <f t="shared" si="444"/>
        <v>0</v>
      </c>
      <c r="DG93" s="2"/>
      <c r="DH93" s="234"/>
      <c r="DI93" s="234"/>
      <c r="DJ93" s="234"/>
      <c r="DK93" s="2">
        <f t="shared" si="445"/>
        <v>0</v>
      </c>
      <c r="DL93" s="2"/>
      <c r="DM93" s="234"/>
      <c r="DN93" s="234"/>
      <c r="DO93" s="234"/>
      <c r="DP93" s="2">
        <f t="shared" si="446"/>
        <v>0</v>
      </c>
      <c r="DQ93" s="2">
        <f t="shared" si="447"/>
        <v>0</v>
      </c>
      <c r="DR93" s="2">
        <f t="shared" si="447"/>
        <v>0</v>
      </c>
      <c r="DS93" s="2">
        <f t="shared" si="447"/>
        <v>0</v>
      </c>
      <c r="DT93" s="2">
        <f t="shared" si="447"/>
        <v>0</v>
      </c>
      <c r="DU93" s="2"/>
      <c r="DV93" s="2"/>
      <c r="DW93" s="2"/>
      <c r="DX93" s="2">
        <f t="shared" ca="1" si="448"/>
        <v>0</v>
      </c>
      <c r="DY93" s="46"/>
      <c r="DZ93" s="2">
        <f t="shared" si="449"/>
        <v>16790.584490000001</v>
      </c>
      <c r="EA93" s="2">
        <f t="shared" si="450"/>
        <v>16790.584490000001</v>
      </c>
      <c r="EB93" s="46"/>
      <c r="EC93" s="2"/>
      <c r="ED93" s="2"/>
      <c r="EE93" s="46"/>
      <c r="EF93" s="2"/>
      <c r="EG93" s="46"/>
      <c r="EH93" s="46"/>
      <c r="EI93" s="2">
        <f t="shared" si="357"/>
        <v>16790.584490000001</v>
      </c>
      <c r="EJ93" s="2"/>
      <c r="EK93" s="198">
        <f t="shared" si="386"/>
        <v>3259.1028300000003</v>
      </c>
      <c r="EL93" s="433">
        <v>983.80363999999997</v>
      </c>
      <c r="EM93" s="433">
        <f>1786.1105+489.18869</f>
        <v>2275.2991900000002</v>
      </c>
      <c r="EN93" s="236">
        <f>4291.5511+643.25189+8596.67867</f>
        <v>13531.481659999999</v>
      </c>
      <c r="EO93" s="234"/>
      <c r="EP93" s="2">
        <f t="shared" si="358"/>
        <v>2143.1477099999997</v>
      </c>
      <c r="EQ93" s="2"/>
      <c r="ER93" s="2">
        <v>639.64964999999995</v>
      </c>
      <c r="ES93" s="2">
        <v>384.64974000000001</v>
      </c>
      <c r="ET93" s="2">
        <f>200.175+54.82491</f>
        <v>254.99991</v>
      </c>
      <c r="EU93" s="2">
        <v>1503.4980599999999</v>
      </c>
      <c r="EV93" s="141"/>
      <c r="EW93" s="310"/>
      <c r="EX93" s="310"/>
      <c r="EY93" s="310"/>
      <c r="EZ93" s="396"/>
      <c r="FA93" s="396"/>
      <c r="FB93" s="310"/>
      <c r="FC93" s="310"/>
      <c r="FD93" s="310"/>
      <c r="FE93" s="396"/>
      <c r="FF93" s="396"/>
      <c r="FG93" s="396"/>
      <c r="FH93" s="311"/>
      <c r="FI93" s="310"/>
      <c r="FJ93" s="296" t="e">
        <f t="shared" si="453"/>
        <v>#DIV/0!</v>
      </c>
      <c r="FK93" s="353">
        <f t="shared" si="389"/>
        <v>3321.8991900000001</v>
      </c>
      <c r="FL93" s="353">
        <f t="shared" si="473"/>
        <v>3321.8991900000001</v>
      </c>
      <c r="FM93" s="353"/>
      <c r="FN93" s="388">
        <f t="shared" si="461"/>
        <v>1</v>
      </c>
      <c r="FO93" s="388">
        <f t="shared" si="462"/>
        <v>0</v>
      </c>
      <c r="FP93" s="353">
        <f t="shared" si="390"/>
        <v>3898.7524800000001</v>
      </c>
      <c r="FQ93" s="353">
        <f t="shared" si="463"/>
        <v>3259.1028300000003</v>
      </c>
      <c r="FR93" s="353">
        <f t="shared" si="464"/>
        <v>639.64964999999995</v>
      </c>
      <c r="FS93" s="388">
        <f t="shared" si="465"/>
        <v>0.83593478855574854</v>
      </c>
      <c r="FT93" s="388">
        <f t="shared" si="466"/>
        <v>0.16406521144425151</v>
      </c>
      <c r="FU93" s="388"/>
      <c r="FV93" s="353">
        <f t="shared" si="467"/>
        <v>3898.7524800000001</v>
      </c>
      <c r="FW93" s="353">
        <f t="shared" si="391"/>
        <v>-639.64964999999984</v>
      </c>
      <c r="FX93" s="310">
        <f t="shared" si="468"/>
        <v>16906.751</v>
      </c>
      <c r="FY93" s="310">
        <f>BD93</f>
        <v>16906.751</v>
      </c>
      <c r="FZ93" s="310"/>
      <c r="GA93" s="396">
        <f t="shared" si="469"/>
        <v>1</v>
      </c>
      <c r="GB93" s="396">
        <f t="shared" si="470"/>
        <v>0</v>
      </c>
      <c r="GC93" s="310">
        <f t="shared" si="402"/>
        <v>15034.979719999999</v>
      </c>
      <c r="GD93" s="310">
        <f t="shared" ref="GD93:GD148" si="501">EN93</f>
        <v>13531.481659999999</v>
      </c>
      <c r="GE93" s="310">
        <f t="shared" ref="GE93:GE148" si="502">EU93</f>
        <v>1503.4980599999999</v>
      </c>
      <c r="GF93" s="396">
        <f t="shared" si="471"/>
        <v>0.89999999414698251</v>
      </c>
      <c r="GG93" s="396">
        <f t="shared" si="472"/>
        <v>0.10000000585301753</v>
      </c>
      <c r="GH93" s="396"/>
      <c r="GI93" s="311">
        <f t="shared" si="262"/>
        <v>15034.979719999999</v>
      </c>
      <c r="GJ93" s="344">
        <f t="shared" si="403"/>
        <v>-1503.4980599999999</v>
      </c>
      <c r="GK93" s="303">
        <f t="shared" si="368"/>
        <v>0.83003975351594128</v>
      </c>
    </row>
    <row r="94" spans="2:193" s="37" customFormat="1" ht="15.75" customHeight="1" x14ac:dyDescent="0.25">
      <c r="B94" s="29"/>
      <c r="C94" s="30"/>
      <c r="D94" s="30">
        <v>1</v>
      </c>
      <c r="E94" s="493">
        <v>76</v>
      </c>
      <c r="F94" s="29"/>
      <c r="G94" s="30"/>
      <c r="H94" s="30">
        <v>1</v>
      </c>
      <c r="M94" s="493">
        <v>58</v>
      </c>
      <c r="N94" s="494" t="s">
        <v>101</v>
      </c>
      <c r="O94" s="494"/>
      <c r="P94" s="494">
        <f t="shared" si="388"/>
        <v>0</v>
      </c>
      <c r="Q94" s="494" t="s">
        <v>701</v>
      </c>
      <c r="R94" s="494" t="s">
        <v>699</v>
      </c>
      <c r="S94" s="494">
        <v>41</v>
      </c>
      <c r="T94" s="156">
        <v>1</v>
      </c>
      <c r="U94" s="493"/>
      <c r="V94" s="2">
        <f t="shared" si="369"/>
        <v>1155.5</v>
      </c>
      <c r="W94" s="2"/>
      <c r="X94" s="198">
        <f t="shared" si="227"/>
        <v>1155.5</v>
      </c>
      <c r="Y94" s="198">
        <v>1155.5</v>
      </c>
      <c r="Z94" s="42"/>
      <c r="AA94" s="2"/>
      <c r="AB94" s="567">
        <f t="shared" si="431"/>
        <v>1155.5</v>
      </c>
      <c r="AC94" s="567"/>
      <c r="AD94" s="568">
        <f t="shared" si="229"/>
        <v>1155.5</v>
      </c>
      <c r="AE94" s="568">
        <v>1155.5</v>
      </c>
      <c r="AF94" s="569"/>
      <c r="AG94" s="567"/>
      <c r="AH94" s="570"/>
      <c r="AI94" s="567">
        <f t="shared" si="432"/>
        <v>1184.5</v>
      </c>
      <c r="AJ94" s="567"/>
      <c r="AK94" s="568">
        <v>1184.5</v>
      </c>
      <c r="AL94" s="567"/>
      <c r="AM94" s="570"/>
      <c r="AN94" s="567">
        <f t="shared" si="433"/>
        <v>1184.5</v>
      </c>
      <c r="AO94" s="567"/>
      <c r="AP94" s="568">
        <v>1184.5</v>
      </c>
      <c r="AQ94" s="567"/>
      <c r="AR94" s="570"/>
      <c r="AS94" s="567">
        <f t="shared" si="434"/>
        <v>515</v>
      </c>
      <c r="AT94" s="567"/>
      <c r="AU94" s="568">
        <v>515</v>
      </c>
      <c r="AV94" s="567"/>
      <c r="AW94" s="570"/>
      <c r="AX94" s="409" t="s">
        <v>366</v>
      </c>
      <c r="AY94" s="567">
        <f t="shared" si="476"/>
        <v>1155.5</v>
      </c>
      <c r="AZ94" s="567"/>
      <c r="BA94" s="578">
        <f t="shared" si="435"/>
        <v>1155.5</v>
      </c>
      <c r="BB94" s="568">
        <v>1155.5</v>
      </c>
      <c r="BC94" s="569"/>
      <c r="BD94" s="574"/>
      <c r="BE94" s="570"/>
      <c r="BF94" s="567">
        <f t="shared" si="370"/>
        <v>0</v>
      </c>
      <c r="BG94" s="567">
        <f t="shared" si="371"/>
        <v>0</v>
      </c>
      <c r="BH94" s="567">
        <f t="shared" si="372"/>
        <v>0</v>
      </c>
      <c r="BI94" s="567">
        <f t="shared" si="373"/>
        <v>0</v>
      </c>
      <c r="BJ94" s="567">
        <f t="shared" si="374"/>
        <v>0</v>
      </c>
      <c r="BK94" s="567">
        <f t="shared" si="375"/>
        <v>0</v>
      </c>
      <c r="BL94" s="567" t="e">
        <f>#REF!-BE94</f>
        <v>#REF!</v>
      </c>
      <c r="BM94" s="567">
        <f t="shared" si="436"/>
        <v>1184.5</v>
      </c>
      <c r="BN94" s="567"/>
      <c r="BO94" s="568">
        <f>515+669.5</f>
        <v>1184.5</v>
      </c>
      <c r="BP94" s="567"/>
      <c r="BQ94" s="570"/>
      <c r="BR94" s="567">
        <f t="shared" si="437"/>
        <v>0</v>
      </c>
      <c r="BS94" s="567"/>
      <c r="BT94" s="567"/>
      <c r="BU94" s="567"/>
      <c r="BV94" s="570"/>
      <c r="BW94" s="567">
        <f t="shared" si="438"/>
        <v>941.73249999999996</v>
      </c>
      <c r="BX94" s="567"/>
      <c r="BY94" s="568">
        <f t="shared" si="376"/>
        <v>941.73249999999996</v>
      </c>
      <c r="BZ94" s="571">
        <v>941.73249999999996</v>
      </c>
      <c r="CA94" s="571"/>
      <c r="CB94" s="567"/>
      <c r="CC94" s="577"/>
      <c r="CD94" s="567">
        <f t="shared" si="439"/>
        <v>941.73249999999996</v>
      </c>
      <c r="CE94" s="567"/>
      <c r="CF94" s="568">
        <f t="shared" si="377"/>
        <v>941.73249999999996</v>
      </c>
      <c r="CG94" s="571">
        <v>941.73249999999996</v>
      </c>
      <c r="CH94" s="571"/>
      <c r="CI94" s="567"/>
      <c r="CJ94" s="570"/>
      <c r="CK94" s="567">
        <f t="shared" si="440"/>
        <v>163</v>
      </c>
      <c r="CL94" s="567"/>
      <c r="CM94" s="568">
        <f t="shared" si="378"/>
        <v>163</v>
      </c>
      <c r="CN94" s="569">
        <v>163</v>
      </c>
      <c r="CO94" s="569"/>
      <c r="CP94" s="567"/>
      <c r="CQ94" s="567"/>
      <c r="CR94" s="573">
        <f t="shared" si="441"/>
        <v>1104.7325000000001</v>
      </c>
      <c r="CS94" s="567">
        <f t="shared" si="379"/>
        <v>1104.7325000000001</v>
      </c>
      <c r="CT94" s="567">
        <f t="shared" si="380"/>
        <v>0</v>
      </c>
      <c r="CU94" s="567">
        <f t="shared" si="381"/>
        <v>1104.7325000000001</v>
      </c>
      <c r="CV94" s="567">
        <f t="shared" si="382"/>
        <v>0</v>
      </c>
      <c r="CW94" s="567">
        <f t="shared" si="442"/>
        <v>0</v>
      </c>
      <c r="CX94" s="567">
        <f t="shared" ca="1" si="477"/>
        <v>0</v>
      </c>
      <c r="CY94" s="567">
        <f t="shared" si="383"/>
        <v>0</v>
      </c>
      <c r="CZ94" s="567">
        <f t="shared" si="384"/>
        <v>0</v>
      </c>
      <c r="DA94" s="567">
        <f t="shared" si="385"/>
        <v>0</v>
      </c>
      <c r="DB94" s="2">
        <f t="shared" si="443"/>
        <v>0</v>
      </c>
      <c r="DC94" s="76"/>
      <c r="DD94" s="253"/>
      <c r="DE94" s="253"/>
      <c r="DF94" s="2">
        <f t="shared" si="444"/>
        <v>0</v>
      </c>
      <c r="DG94" s="2"/>
      <c r="DH94" s="2"/>
      <c r="DI94" s="2"/>
      <c r="DJ94" s="234"/>
      <c r="DK94" s="2">
        <f t="shared" si="445"/>
        <v>0</v>
      </c>
      <c r="DL94" s="2"/>
      <c r="DM94" s="2"/>
      <c r="DN94" s="2"/>
      <c r="DO94" s="234"/>
      <c r="DP94" s="2">
        <f t="shared" si="446"/>
        <v>0</v>
      </c>
      <c r="DQ94" s="2">
        <f t="shared" si="447"/>
        <v>0</v>
      </c>
      <c r="DR94" s="2">
        <f t="shared" si="447"/>
        <v>0</v>
      </c>
      <c r="DS94" s="2">
        <f t="shared" si="447"/>
        <v>0</v>
      </c>
      <c r="DT94" s="2">
        <f t="shared" si="447"/>
        <v>0</v>
      </c>
      <c r="DU94" s="2"/>
      <c r="DV94" s="2"/>
      <c r="DW94" s="2"/>
      <c r="DX94" s="2">
        <f t="shared" ca="1" si="448"/>
        <v>0</v>
      </c>
      <c r="DY94" s="46"/>
      <c r="DZ94" s="2">
        <f t="shared" si="449"/>
        <v>941.73249999999996</v>
      </c>
      <c r="EA94" s="2">
        <f t="shared" si="450"/>
        <v>941.73249999999996</v>
      </c>
      <c r="EB94" s="46"/>
      <c r="EC94" s="2"/>
      <c r="ED94" s="2"/>
      <c r="EE94" s="46"/>
      <c r="EF94" s="2"/>
      <c r="EG94" s="46"/>
      <c r="EH94" s="46"/>
      <c r="EI94" s="2">
        <f t="shared" si="357"/>
        <v>941.73249999999996</v>
      </c>
      <c r="EJ94" s="2"/>
      <c r="EK94" s="198">
        <f t="shared" si="386"/>
        <v>941.73249999999996</v>
      </c>
      <c r="EL94" s="446">
        <v>941.73249999999996</v>
      </c>
      <c r="EM94" s="446"/>
      <c r="EN94" s="2"/>
      <c r="EO94" s="234"/>
      <c r="EP94" s="2">
        <f t="shared" si="358"/>
        <v>163</v>
      </c>
      <c r="EQ94" s="2"/>
      <c r="ER94" s="198">
        <f t="shared" si="387"/>
        <v>163</v>
      </c>
      <c r="ES94" s="42">
        <v>163</v>
      </c>
      <c r="ET94" s="42"/>
      <c r="EU94" s="2"/>
      <c r="EV94" s="141"/>
      <c r="EW94" s="310"/>
      <c r="EX94" s="310"/>
      <c r="EY94" s="310"/>
      <c r="EZ94" s="396"/>
      <c r="FA94" s="396"/>
      <c r="FB94" s="310"/>
      <c r="FC94" s="310"/>
      <c r="FD94" s="310"/>
      <c r="FE94" s="396"/>
      <c r="FF94" s="396"/>
      <c r="FG94" s="396"/>
      <c r="FH94" s="311"/>
      <c r="FI94" s="310"/>
      <c r="FJ94" s="296" t="e">
        <f t="shared" si="453"/>
        <v>#DIV/0!</v>
      </c>
      <c r="FK94" s="353">
        <f t="shared" si="389"/>
        <v>1155.5</v>
      </c>
      <c r="FL94" s="353">
        <f t="shared" si="473"/>
        <v>1155.5</v>
      </c>
      <c r="FM94" s="353"/>
      <c r="FN94" s="388">
        <f t="shared" si="461"/>
        <v>1</v>
      </c>
      <c r="FO94" s="388">
        <f t="shared" si="462"/>
        <v>0</v>
      </c>
      <c r="FP94" s="353">
        <f t="shared" si="390"/>
        <v>1104.7325000000001</v>
      </c>
      <c r="FQ94" s="353">
        <f t="shared" si="463"/>
        <v>941.73249999999996</v>
      </c>
      <c r="FR94" s="353">
        <f t="shared" si="464"/>
        <v>163</v>
      </c>
      <c r="FS94" s="388">
        <f t="shared" si="465"/>
        <v>0.85245296938399107</v>
      </c>
      <c r="FT94" s="388">
        <f t="shared" si="466"/>
        <v>0.14754703061600885</v>
      </c>
      <c r="FU94" s="388"/>
      <c r="FV94" s="353">
        <f t="shared" si="467"/>
        <v>1104.7325000000001</v>
      </c>
      <c r="FW94" s="353">
        <f t="shared" si="391"/>
        <v>-163.00000000000011</v>
      </c>
      <c r="FX94" s="310"/>
      <c r="FY94" s="310"/>
      <c r="FZ94" s="310"/>
      <c r="GA94" s="396"/>
      <c r="GB94" s="396"/>
      <c r="GC94" s="310"/>
      <c r="GD94" s="310"/>
      <c r="GE94" s="310"/>
      <c r="GF94" s="396"/>
      <c r="GG94" s="396"/>
      <c r="GH94" s="396"/>
      <c r="GI94" s="311"/>
      <c r="GJ94" s="344"/>
      <c r="GK94" s="303">
        <f t="shared" si="368"/>
        <v>0.81499999999999995</v>
      </c>
    </row>
    <row r="95" spans="2:193" s="37" customFormat="1" ht="15.75" customHeight="1" x14ac:dyDescent="0.25">
      <c r="B95" s="29"/>
      <c r="C95" s="30">
        <v>1</v>
      </c>
      <c r="D95" s="30"/>
      <c r="E95" s="493">
        <v>77</v>
      </c>
      <c r="F95" s="29"/>
      <c r="G95" s="30">
        <v>1</v>
      </c>
      <c r="H95" s="30">
        <v>1</v>
      </c>
      <c r="M95" s="493">
        <v>59</v>
      </c>
      <c r="N95" s="494" t="s">
        <v>47</v>
      </c>
      <c r="O95" s="494"/>
      <c r="P95" s="494">
        <f t="shared" si="388"/>
        <v>0</v>
      </c>
      <c r="Q95" s="494"/>
      <c r="R95" s="494"/>
      <c r="S95" s="494">
        <v>164</v>
      </c>
      <c r="T95" s="156">
        <v>1</v>
      </c>
      <c r="U95" s="493"/>
      <c r="V95" s="2">
        <f t="shared" si="369"/>
        <v>1712.1</v>
      </c>
      <c r="W95" s="234"/>
      <c r="X95" s="198">
        <f t="shared" si="227"/>
        <v>1712.1</v>
      </c>
      <c r="Y95" s="198">
        <v>1712.1</v>
      </c>
      <c r="Z95" s="42"/>
      <c r="AA95" s="2"/>
      <c r="AB95" s="567">
        <f t="shared" si="431"/>
        <v>1712.1</v>
      </c>
      <c r="AC95" s="570"/>
      <c r="AD95" s="568">
        <f t="shared" si="229"/>
        <v>1712.1</v>
      </c>
      <c r="AE95" s="568">
        <v>1712.1</v>
      </c>
      <c r="AF95" s="569"/>
      <c r="AG95" s="567"/>
      <c r="AH95" s="570"/>
      <c r="AI95" s="567">
        <f t="shared" si="432"/>
        <v>1754.9</v>
      </c>
      <c r="AJ95" s="570"/>
      <c r="AK95" s="568">
        <v>1754.9</v>
      </c>
      <c r="AL95" s="567"/>
      <c r="AM95" s="570"/>
      <c r="AN95" s="567">
        <f t="shared" si="433"/>
        <v>1754.9</v>
      </c>
      <c r="AO95" s="570"/>
      <c r="AP95" s="568">
        <v>1754.9</v>
      </c>
      <c r="AQ95" s="567"/>
      <c r="AR95" s="570"/>
      <c r="AS95" s="567">
        <f t="shared" si="434"/>
        <v>763</v>
      </c>
      <c r="AT95" s="570"/>
      <c r="AU95" s="568">
        <v>763</v>
      </c>
      <c r="AV95" s="567"/>
      <c r="AW95" s="570"/>
      <c r="AX95" s="409" t="s">
        <v>370</v>
      </c>
      <c r="AY95" s="567">
        <f t="shared" si="476"/>
        <v>1697.22</v>
      </c>
      <c r="AZ95" s="570"/>
      <c r="BA95" s="578">
        <f t="shared" si="435"/>
        <v>1697.22</v>
      </c>
      <c r="BB95" s="568">
        <v>1697.22</v>
      </c>
      <c r="BC95" s="569"/>
      <c r="BD95" s="567"/>
      <c r="BE95" s="570"/>
      <c r="BF95" s="567">
        <f t="shared" si="370"/>
        <v>14.879999999999882</v>
      </c>
      <c r="BG95" s="567">
        <f t="shared" si="371"/>
        <v>0</v>
      </c>
      <c r="BH95" s="567">
        <f t="shared" si="372"/>
        <v>14.879999999999882</v>
      </c>
      <c r="BI95" s="567">
        <f t="shared" si="373"/>
        <v>14.879999999999882</v>
      </c>
      <c r="BJ95" s="567">
        <f t="shared" si="374"/>
        <v>0</v>
      </c>
      <c r="BK95" s="567">
        <f t="shared" si="375"/>
        <v>0</v>
      </c>
      <c r="BL95" s="567" t="e">
        <f>#REF!-BE95</f>
        <v>#REF!</v>
      </c>
      <c r="BM95" s="567">
        <f t="shared" si="436"/>
        <v>1754.9</v>
      </c>
      <c r="BN95" s="570"/>
      <c r="BO95" s="568">
        <f>763+991.9</f>
        <v>1754.9</v>
      </c>
      <c r="BP95" s="567"/>
      <c r="BQ95" s="570"/>
      <c r="BR95" s="567">
        <f t="shared" si="437"/>
        <v>0</v>
      </c>
      <c r="BS95" s="570"/>
      <c r="BT95" s="568"/>
      <c r="BU95" s="567"/>
      <c r="BV95" s="570"/>
      <c r="BW95" s="567">
        <f t="shared" si="438"/>
        <v>1697.22</v>
      </c>
      <c r="BX95" s="570"/>
      <c r="BY95" s="568">
        <f t="shared" si="376"/>
        <v>1697.22</v>
      </c>
      <c r="BZ95" s="571">
        <v>1697.22</v>
      </c>
      <c r="CA95" s="569"/>
      <c r="CB95" s="567"/>
      <c r="CC95" s="577"/>
      <c r="CD95" s="567">
        <f t="shared" si="439"/>
        <v>1697.22</v>
      </c>
      <c r="CE95" s="570"/>
      <c r="CF95" s="568">
        <f t="shared" si="377"/>
        <v>1697.22</v>
      </c>
      <c r="CG95" s="571">
        <v>1697.22</v>
      </c>
      <c r="CH95" s="569"/>
      <c r="CI95" s="567"/>
      <c r="CJ95" s="570"/>
      <c r="CK95" s="567">
        <f t="shared" si="440"/>
        <v>188.58</v>
      </c>
      <c r="CL95" s="567"/>
      <c r="CM95" s="567">
        <f t="shared" si="378"/>
        <v>188.58</v>
      </c>
      <c r="CN95" s="567">
        <v>188.58</v>
      </c>
      <c r="CO95" s="567"/>
      <c r="CP95" s="567"/>
      <c r="CQ95" s="567"/>
      <c r="CR95" s="573">
        <f t="shared" si="441"/>
        <v>1885.8</v>
      </c>
      <c r="CS95" s="567">
        <f t="shared" si="379"/>
        <v>1885.8</v>
      </c>
      <c r="CT95" s="567">
        <f t="shared" si="380"/>
        <v>0</v>
      </c>
      <c r="CU95" s="567">
        <f t="shared" si="381"/>
        <v>1885.8</v>
      </c>
      <c r="CV95" s="567">
        <f t="shared" si="382"/>
        <v>0</v>
      </c>
      <c r="CW95" s="567">
        <f t="shared" si="442"/>
        <v>0</v>
      </c>
      <c r="CX95" s="567">
        <f t="shared" ca="1" si="477"/>
        <v>0</v>
      </c>
      <c r="CY95" s="567">
        <f t="shared" si="383"/>
        <v>0</v>
      </c>
      <c r="CZ95" s="567">
        <f t="shared" si="384"/>
        <v>0</v>
      </c>
      <c r="DA95" s="567">
        <f t="shared" si="385"/>
        <v>0</v>
      </c>
      <c r="DB95" s="2">
        <f t="shared" si="443"/>
        <v>0</v>
      </c>
      <c r="DC95" s="76"/>
      <c r="DD95" s="253"/>
      <c r="DE95" s="253"/>
      <c r="DF95" s="2">
        <f t="shared" si="444"/>
        <v>0</v>
      </c>
      <c r="DG95" s="234"/>
      <c r="DH95" s="198"/>
      <c r="DI95" s="2"/>
      <c r="DJ95" s="234"/>
      <c r="DK95" s="2">
        <f t="shared" si="445"/>
        <v>0</v>
      </c>
      <c r="DL95" s="234"/>
      <c r="DM95" s="198"/>
      <c r="DN95" s="2"/>
      <c r="DO95" s="234"/>
      <c r="DP95" s="2">
        <f t="shared" si="446"/>
        <v>0</v>
      </c>
      <c r="DQ95" s="2">
        <f t="shared" si="447"/>
        <v>0</v>
      </c>
      <c r="DR95" s="2">
        <f t="shared" si="447"/>
        <v>0</v>
      </c>
      <c r="DS95" s="2">
        <f t="shared" si="447"/>
        <v>0</v>
      </c>
      <c r="DT95" s="2">
        <f t="shared" si="447"/>
        <v>0</v>
      </c>
      <c r="DU95" s="2"/>
      <c r="DV95" s="2"/>
      <c r="DW95" s="2"/>
      <c r="DX95" s="2">
        <f t="shared" ca="1" si="448"/>
        <v>0</v>
      </c>
      <c r="DY95" s="46"/>
      <c r="DZ95" s="2">
        <f t="shared" si="449"/>
        <v>1697.22</v>
      </c>
      <c r="EA95" s="2">
        <f t="shared" si="450"/>
        <v>1697.22</v>
      </c>
      <c r="EB95" s="46"/>
      <c r="EC95" s="2"/>
      <c r="ED95" s="2"/>
      <c r="EE95" s="46"/>
      <c r="EF95" s="2"/>
      <c r="EG95" s="46"/>
      <c r="EH95" s="46"/>
      <c r="EI95" s="2">
        <f t="shared" si="357"/>
        <v>1697.22</v>
      </c>
      <c r="EJ95" s="236"/>
      <c r="EK95" s="198">
        <f t="shared" si="386"/>
        <v>1697.22</v>
      </c>
      <c r="EL95" s="446">
        <v>1697.22</v>
      </c>
      <c r="EM95" s="42"/>
      <c r="EN95" s="2"/>
      <c r="EO95" s="234"/>
      <c r="EP95" s="2">
        <f t="shared" si="358"/>
        <v>188.58</v>
      </c>
      <c r="EQ95" s="2"/>
      <c r="ER95" s="2">
        <f t="shared" si="387"/>
        <v>188.58</v>
      </c>
      <c r="ES95" s="2">
        <v>188.58</v>
      </c>
      <c r="ET95" s="2"/>
      <c r="EU95" s="2"/>
      <c r="EV95" s="141"/>
      <c r="EW95" s="310"/>
      <c r="EX95" s="310"/>
      <c r="EY95" s="310"/>
      <c r="EZ95" s="396"/>
      <c r="FA95" s="396"/>
      <c r="FB95" s="310"/>
      <c r="FC95" s="310"/>
      <c r="FD95" s="310"/>
      <c r="FE95" s="396"/>
      <c r="FF95" s="396"/>
      <c r="FG95" s="396"/>
      <c r="FH95" s="311"/>
      <c r="FI95" s="310"/>
      <c r="FJ95" s="296" t="e">
        <f t="shared" si="453"/>
        <v>#DIV/0!</v>
      </c>
      <c r="FK95" s="353">
        <f t="shared" si="389"/>
        <v>1697.22</v>
      </c>
      <c r="FL95" s="353">
        <f t="shared" si="473"/>
        <v>1697.22</v>
      </c>
      <c r="FM95" s="353"/>
      <c r="FN95" s="388">
        <f t="shared" si="461"/>
        <v>1</v>
      </c>
      <c r="FO95" s="388">
        <f t="shared" si="462"/>
        <v>0</v>
      </c>
      <c r="FP95" s="353">
        <f t="shared" si="390"/>
        <v>1885.8</v>
      </c>
      <c r="FQ95" s="353">
        <f t="shared" si="463"/>
        <v>1697.22</v>
      </c>
      <c r="FR95" s="353">
        <f t="shared" si="464"/>
        <v>188.58</v>
      </c>
      <c r="FS95" s="388">
        <f t="shared" si="465"/>
        <v>0.9</v>
      </c>
      <c r="FT95" s="388">
        <f t="shared" si="466"/>
        <v>0.1</v>
      </c>
      <c r="FU95" s="388"/>
      <c r="FV95" s="353">
        <f t="shared" si="467"/>
        <v>1885.8</v>
      </c>
      <c r="FW95" s="353">
        <f t="shared" si="391"/>
        <v>-188.57999999999993</v>
      </c>
      <c r="FX95" s="310">
        <f t="shared" ref="FX95" si="503">FY95+FZ95</f>
        <v>0</v>
      </c>
      <c r="FY95" s="310">
        <f>BD95</f>
        <v>0</v>
      </c>
      <c r="FZ95" s="310"/>
      <c r="GA95" s="396" t="e">
        <f t="shared" ref="GA95" si="504">FY95/FX95</f>
        <v>#DIV/0!</v>
      </c>
      <c r="GB95" s="396" t="e">
        <f t="shared" ref="GB95" si="505">FZ95/FX95</f>
        <v>#DIV/0!</v>
      </c>
      <c r="GC95" s="310">
        <f t="shared" ref="GC95" si="506">GD95+GE95</f>
        <v>0</v>
      </c>
      <c r="GD95" s="310">
        <f t="shared" ref="GD95" si="507">EN95</f>
        <v>0</v>
      </c>
      <c r="GE95" s="310">
        <f t="shared" ref="GE95" si="508">EU95</f>
        <v>0</v>
      </c>
      <c r="GF95" s="396" t="e">
        <f t="shared" ref="GF95" si="509">GD95/GC95</f>
        <v>#DIV/0!</v>
      </c>
      <c r="GG95" s="396" t="e">
        <f t="shared" ref="GG95" si="510">GE95/GC95</f>
        <v>#DIV/0!</v>
      </c>
      <c r="GH95" s="396"/>
      <c r="GI95" s="311" t="e">
        <f t="shared" ref="GI95" si="511">GC95*GA95</f>
        <v>#DIV/0!</v>
      </c>
      <c r="GJ95" s="344" t="e">
        <f t="shared" ref="GJ95" si="512">GD95-GI95</f>
        <v>#DIV/0!</v>
      </c>
      <c r="GK95" s="303">
        <f t="shared" si="368"/>
        <v>0.99130891887156136</v>
      </c>
    </row>
    <row r="96" spans="2:193" s="115" customFormat="1" ht="15.75" customHeight="1" x14ac:dyDescent="0.2">
      <c r="B96" s="109"/>
      <c r="C96" s="110"/>
      <c r="D96" s="110"/>
      <c r="E96" s="111"/>
      <c r="F96" s="109"/>
      <c r="G96" s="110"/>
      <c r="H96" s="110"/>
      <c r="M96" s="111"/>
      <c r="N96" s="114" t="s">
        <v>17</v>
      </c>
      <c r="O96" s="114"/>
      <c r="P96" s="114">
        <f t="shared" si="388"/>
        <v>0</v>
      </c>
      <c r="Q96" s="114"/>
      <c r="R96" s="114"/>
      <c r="S96" s="114"/>
      <c r="T96" s="158">
        <f t="shared" ref="T96:AH96" si="513">SUM(T97:T115)-T98</f>
        <v>30</v>
      </c>
      <c r="U96" s="158">
        <f>U97+U98+U99+U100+U101+U102+U103+U104+U105+U106+U107+U108+U109+U110+U111+U112+U113+U114+U115</f>
        <v>8</v>
      </c>
      <c r="V96" s="57">
        <f t="shared" si="369"/>
        <v>120105.19499999999</v>
      </c>
      <c r="W96" s="57">
        <f t="shared" ref="W96:AA96" si="514">SUM(W97:W115)-W98</f>
        <v>19969.713</v>
      </c>
      <c r="X96" s="57">
        <f t="shared" si="514"/>
        <v>87201.4</v>
      </c>
      <c r="Y96" s="57">
        <f t="shared" si="514"/>
        <v>28575.199999999997</v>
      </c>
      <c r="Z96" s="57">
        <f t="shared" si="514"/>
        <v>58626.200000000004</v>
      </c>
      <c r="AA96" s="57">
        <f t="shared" si="514"/>
        <v>12934.082</v>
      </c>
      <c r="AB96" s="564">
        <f t="shared" si="513"/>
        <v>120105.19499999998</v>
      </c>
      <c r="AC96" s="564">
        <f t="shared" si="513"/>
        <v>19969.713</v>
      </c>
      <c r="AD96" s="564">
        <f t="shared" si="513"/>
        <v>87201.4</v>
      </c>
      <c r="AE96" s="564">
        <f t="shared" si="513"/>
        <v>29269.605940000001</v>
      </c>
      <c r="AF96" s="564">
        <f t="shared" si="513"/>
        <v>57931.794060000007</v>
      </c>
      <c r="AG96" s="564">
        <f t="shared" si="513"/>
        <v>12934.082</v>
      </c>
      <c r="AH96" s="564">
        <f t="shared" si="513"/>
        <v>0</v>
      </c>
      <c r="AI96" s="564">
        <f t="shared" ref="AI96:AM96" si="515">SUM(AI97:AI115)-AI98</f>
        <v>179496.90199999997</v>
      </c>
      <c r="AJ96" s="564">
        <f t="shared" si="515"/>
        <v>83271.239999999991</v>
      </c>
      <c r="AK96" s="564">
        <f t="shared" si="515"/>
        <v>27181.399999999994</v>
      </c>
      <c r="AL96" s="564">
        <f t="shared" si="515"/>
        <v>69044.262000000002</v>
      </c>
      <c r="AM96" s="564">
        <f t="shared" si="515"/>
        <v>0</v>
      </c>
      <c r="AN96" s="564">
        <f t="shared" ref="AN96:AR96" si="516">SUM(AN97:AN115)-AN98</f>
        <v>162229.52599999995</v>
      </c>
      <c r="AO96" s="564">
        <f t="shared" si="516"/>
        <v>83271.239999999991</v>
      </c>
      <c r="AP96" s="564">
        <f t="shared" si="516"/>
        <v>27181.399999999994</v>
      </c>
      <c r="AQ96" s="564">
        <f t="shared" si="516"/>
        <v>51776.885999999999</v>
      </c>
      <c r="AR96" s="564">
        <f t="shared" si="516"/>
        <v>0</v>
      </c>
      <c r="AS96" s="566">
        <f t="shared" ref="AS96:AW96" si="517">SUM(AS97:AS115)-AS98</f>
        <v>146866.12599999999</v>
      </c>
      <c r="AT96" s="564">
        <f t="shared" si="517"/>
        <v>83271.239999999991</v>
      </c>
      <c r="AU96" s="564">
        <f t="shared" si="517"/>
        <v>11818</v>
      </c>
      <c r="AV96" s="564">
        <f t="shared" si="517"/>
        <v>51776.885999999999</v>
      </c>
      <c r="AW96" s="564">
        <f t="shared" si="517"/>
        <v>0</v>
      </c>
      <c r="AX96" s="565"/>
      <c r="AY96" s="564">
        <f t="shared" ref="AY96:BD96" si="518">SUM(AY97:AY115)-AY98</f>
        <v>119213.60245999998</v>
      </c>
      <c r="AZ96" s="564">
        <f t="shared" si="518"/>
        <v>19969.71228</v>
      </c>
      <c r="BA96" s="564">
        <f t="shared" si="518"/>
        <v>86310.97368000001</v>
      </c>
      <c r="BB96" s="564">
        <f t="shared" ref="BB96:BC96" si="519">SUM(BB97:BB115)-BB98</f>
        <v>28379.179619999995</v>
      </c>
      <c r="BC96" s="564">
        <f t="shared" si="519"/>
        <v>57931.794060000007</v>
      </c>
      <c r="BD96" s="564">
        <f t="shared" si="518"/>
        <v>12932.916499999999</v>
      </c>
      <c r="BE96" s="564">
        <f>SUM(BE97:BE115)-BE98</f>
        <v>0</v>
      </c>
      <c r="BF96" s="564">
        <f t="shared" si="370"/>
        <v>891.59254000000692</v>
      </c>
      <c r="BG96" s="564">
        <f t="shared" si="371"/>
        <v>7.2000000000116415E-4</v>
      </c>
      <c r="BH96" s="564">
        <f t="shared" si="372"/>
        <v>890.42632000000594</v>
      </c>
      <c r="BI96" s="564">
        <f t="shared" si="373"/>
        <v>890.42632000000594</v>
      </c>
      <c r="BJ96" s="564">
        <f t="shared" si="374"/>
        <v>0</v>
      </c>
      <c r="BK96" s="564">
        <f t="shared" si="375"/>
        <v>1.165500000000975</v>
      </c>
      <c r="BL96" s="564" t="e">
        <f t="shared" ref="BL96:BQ96" si="520">SUM(BL97:BL115)-BL98</f>
        <v>#REF!</v>
      </c>
      <c r="BM96" s="564">
        <f t="shared" si="520"/>
        <v>159273.92241</v>
      </c>
      <c r="BN96" s="564">
        <f t="shared" si="520"/>
        <v>66248.596409999998</v>
      </c>
      <c r="BO96" s="564">
        <f t="shared" si="520"/>
        <v>23981.063999999998</v>
      </c>
      <c r="BP96" s="564">
        <f t="shared" si="520"/>
        <v>69044.262000000002</v>
      </c>
      <c r="BQ96" s="564">
        <f t="shared" si="520"/>
        <v>0</v>
      </c>
      <c r="BR96" s="564">
        <f t="shared" ref="BR96:DB96" si="521">SUM(BR97:BR115)-BR98</f>
        <v>0</v>
      </c>
      <c r="BS96" s="564">
        <f t="shared" si="521"/>
        <v>0</v>
      </c>
      <c r="BT96" s="564">
        <f t="shared" si="521"/>
        <v>0</v>
      </c>
      <c r="BU96" s="564">
        <f t="shared" si="521"/>
        <v>0</v>
      </c>
      <c r="BV96" s="564">
        <f t="shared" si="521"/>
        <v>0</v>
      </c>
      <c r="BW96" s="564">
        <f t="shared" si="521"/>
        <v>106969.07871000002</v>
      </c>
      <c r="BX96" s="564">
        <f t="shared" si="521"/>
        <v>14366.381160000001</v>
      </c>
      <c r="BY96" s="564">
        <f t="shared" si="376"/>
        <v>80460.96235999999</v>
      </c>
      <c r="BZ96" s="564">
        <f t="shared" si="521"/>
        <v>26763.136389999996</v>
      </c>
      <c r="CA96" s="564">
        <f t="shared" si="521"/>
        <v>53697.825969999998</v>
      </c>
      <c r="CB96" s="564">
        <f t="shared" si="521"/>
        <v>12141.735189999999</v>
      </c>
      <c r="CC96" s="564">
        <f t="shared" si="521"/>
        <v>0</v>
      </c>
      <c r="CD96" s="564">
        <f t="shared" si="521"/>
        <v>106969.07871000002</v>
      </c>
      <c r="CE96" s="564">
        <f t="shared" ref="CE96" si="522">SUM(CE97:CE115)-CE98</f>
        <v>14366.381160000001</v>
      </c>
      <c r="CF96" s="564">
        <f t="shared" si="377"/>
        <v>80460.96235999999</v>
      </c>
      <c r="CG96" s="564">
        <f t="shared" ref="CG96:CH96" si="523">SUM(CG97:CG115)-CG98</f>
        <v>26763.136389999996</v>
      </c>
      <c r="CH96" s="564">
        <f t="shared" si="523"/>
        <v>53697.825969999998</v>
      </c>
      <c r="CI96" s="564">
        <f t="shared" ref="CI96" si="524">SUM(CI97:CI115)-CI98</f>
        <v>12141.735189999999</v>
      </c>
      <c r="CJ96" s="564">
        <f t="shared" si="521"/>
        <v>0</v>
      </c>
      <c r="CK96" s="566">
        <f t="shared" si="521"/>
        <v>28904.428770000006</v>
      </c>
      <c r="CL96" s="564">
        <f t="shared" si="521"/>
        <v>519.80404999999996</v>
      </c>
      <c r="CM96" s="564">
        <f>SUM(CM97:CM115)</f>
        <v>27144.073260000005</v>
      </c>
      <c r="CN96" s="564">
        <f t="shared" si="521"/>
        <v>3972.27081</v>
      </c>
      <c r="CO96" s="564">
        <f t="shared" si="521"/>
        <v>12139.910619999999</v>
      </c>
      <c r="CP96" s="564">
        <f t="shared" si="521"/>
        <v>1240.5514599999999</v>
      </c>
      <c r="CQ96" s="564">
        <f t="shared" si="521"/>
        <v>0</v>
      </c>
      <c r="CR96" s="564">
        <f t="shared" si="521"/>
        <v>135873.50748</v>
      </c>
      <c r="CS96" s="564">
        <f t="shared" si="379"/>
        <v>135873.50748</v>
      </c>
      <c r="CT96" s="564">
        <f t="shared" si="380"/>
        <v>14886.185210000001</v>
      </c>
      <c r="CU96" s="564">
        <f t="shared" si="381"/>
        <v>107605.03562</v>
      </c>
      <c r="CV96" s="564">
        <f t="shared" si="382"/>
        <v>13382.28665</v>
      </c>
      <c r="CW96" s="564">
        <f t="shared" si="521"/>
        <v>0</v>
      </c>
      <c r="CX96" s="564">
        <f t="shared" ca="1" si="477"/>
        <v>0</v>
      </c>
      <c r="CY96" s="564">
        <f t="shared" si="383"/>
        <v>0</v>
      </c>
      <c r="CZ96" s="564">
        <f t="shared" si="384"/>
        <v>0</v>
      </c>
      <c r="DA96" s="564">
        <f t="shared" si="385"/>
        <v>0</v>
      </c>
      <c r="DB96" s="57">
        <f t="shared" si="521"/>
        <v>0</v>
      </c>
      <c r="DC96" s="225">
        <f>DD96+DF96-BR96</f>
        <v>159273.92241</v>
      </c>
      <c r="DD96" s="226">
        <f t="shared" ref="DD96:DX96" si="525">SUM(DD97:DD115)-DD98</f>
        <v>159273.92241</v>
      </c>
      <c r="DE96" s="226">
        <f t="shared" si="525"/>
        <v>159273.92241</v>
      </c>
      <c r="DF96" s="57">
        <f t="shared" si="525"/>
        <v>0</v>
      </c>
      <c r="DG96" s="57">
        <f t="shared" si="525"/>
        <v>0</v>
      </c>
      <c r="DH96" s="57">
        <f t="shared" si="525"/>
        <v>0</v>
      </c>
      <c r="DI96" s="57">
        <f t="shared" si="525"/>
        <v>0</v>
      </c>
      <c r="DJ96" s="57">
        <f t="shared" si="525"/>
        <v>0</v>
      </c>
      <c r="DK96" s="57">
        <f t="shared" si="525"/>
        <v>0</v>
      </c>
      <c r="DL96" s="57">
        <f t="shared" si="525"/>
        <v>0</v>
      </c>
      <c r="DM96" s="57">
        <f t="shared" si="525"/>
        <v>0</v>
      </c>
      <c r="DN96" s="57">
        <f t="shared" si="525"/>
        <v>0</v>
      </c>
      <c r="DO96" s="57">
        <f t="shared" si="525"/>
        <v>0</v>
      </c>
      <c r="DP96" s="57">
        <f t="shared" si="525"/>
        <v>0</v>
      </c>
      <c r="DQ96" s="57">
        <f t="shared" si="525"/>
        <v>0</v>
      </c>
      <c r="DR96" s="57">
        <f t="shared" si="525"/>
        <v>0</v>
      </c>
      <c r="DS96" s="57">
        <f t="shared" si="525"/>
        <v>0</v>
      </c>
      <c r="DT96" s="57">
        <f t="shared" si="525"/>
        <v>0</v>
      </c>
      <c r="DU96" s="57">
        <f t="shared" si="525"/>
        <v>0</v>
      </c>
      <c r="DV96" s="57">
        <f t="shared" si="525"/>
        <v>0</v>
      </c>
      <c r="DW96" s="57">
        <f t="shared" si="525"/>
        <v>0</v>
      </c>
      <c r="DX96" s="57">
        <f t="shared" ca="1" si="525"/>
        <v>0</v>
      </c>
      <c r="DY96" s="124"/>
      <c r="DZ96" s="57">
        <f>SUM(DZ97:DZ115)-DZ98</f>
        <v>106969.07871000002</v>
      </c>
      <c r="EA96" s="57">
        <f>SUM(EA97:EA115)-EA98</f>
        <v>106969.07871000002</v>
      </c>
      <c r="EB96" s="124"/>
      <c r="EC96" s="57">
        <f>SUM(EC97:EC115)-EC98</f>
        <v>106969.07870999999</v>
      </c>
      <c r="ED96" s="57">
        <f ca="1">SUM(ED97:ED115)-ED98</f>
        <v>0</v>
      </c>
      <c r="EE96" s="124"/>
      <c r="EF96" s="57">
        <f>SUM(EF97:EF115)-EF98</f>
        <v>52304.843700000012</v>
      </c>
      <c r="EG96" s="124">
        <f ca="1">DX96-EF96</f>
        <v>-52304.843700000012</v>
      </c>
      <c r="EH96" s="124"/>
      <c r="EI96" s="57">
        <f t="shared" si="357"/>
        <v>106969.07871</v>
      </c>
      <c r="EJ96" s="57">
        <f t="shared" ref="EJ96:EN96" si="526">SUM(EJ97:EJ115)-EJ98</f>
        <v>14366.381160000001</v>
      </c>
      <c r="EK96" s="57">
        <f t="shared" si="386"/>
        <v>80460.96235999999</v>
      </c>
      <c r="EL96" s="57">
        <f t="shared" ref="EL96:EM96" si="527">SUM(EL97:EL115)-EL98</f>
        <v>26763.136389999996</v>
      </c>
      <c r="EM96" s="57">
        <f t="shared" si="527"/>
        <v>53697.825969999998</v>
      </c>
      <c r="EN96" s="57">
        <f t="shared" si="526"/>
        <v>12141.735189999999</v>
      </c>
      <c r="EO96" s="57">
        <f t="shared" ref="EO96" si="528">SUM(EO97:EO115)-EO98</f>
        <v>0</v>
      </c>
      <c r="EP96" s="57">
        <f t="shared" si="358"/>
        <v>28904.428770000002</v>
      </c>
      <c r="EQ96" s="57">
        <f t="shared" ref="EQ96" si="529">SUM(EQ97:EQ115)-EQ98</f>
        <v>519.80404999999996</v>
      </c>
      <c r="ER96" s="57">
        <f>SUM(ER97:ER115)</f>
        <v>27144.073260000005</v>
      </c>
      <c r="ES96" s="57">
        <f t="shared" ref="ES96:EU96" si="530">SUM(ES97:ES115)-ES98</f>
        <v>9758.8572699999986</v>
      </c>
      <c r="ET96" s="57">
        <f t="shared" si="530"/>
        <v>17385.215989999997</v>
      </c>
      <c r="EU96" s="57">
        <f t="shared" si="530"/>
        <v>1240.5514599999999</v>
      </c>
      <c r="EV96" s="140">
        <f t="shared" ref="EV96" si="531">SUM(EV97:EV115)-EV98</f>
        <v>0</v>
      </c>
      <c r="EW96" s="57">
        <f t="shared" si="423"/>
        <v>17027.383000000002</v>
      </c>
      <c r="EX96" s="57">
        <f>EX103+EX111</f>
        <v>17027.383000000002</v>
      </c>
      <c r="EY96" s="57">
        <f>EY103+EY111</f>
        <v>0</v>
      </c>
      <c r="EZ96" s="390"/>
      <c r="FA96" s="390"/>
      <c r="FB96" s="57">
        <f t="shared" si="425"/>
        <v>12246.18721</v>
      </c>
      <c r="FC96" s="57">
        <f>FC103+FC111</f>
        <v>11937.583000000001</v>
      </c>
      <c r="FD96" s="57">
        <f>FD103+FD111</f>
        <v>308.60421000000002</v>
      </c>
      <c r="FE96" s="390"/>
      <c r="FF96" s="390"/>
      <c r="FG96" s="390"/>
      <c r="FH96" s="304"/>
      <c r="FI96" s="57"/>
      <c r="FJ96" s="295"/>
      <c r="FK96" s="57">
        <f t="shared" si="389"/>
        <v>86310.97368000001</v>
      </c>
      <c r="FL96" s="57">
        <f t="shared" si="473"/>
        <v>86310.97368000001</v>
      </c>
      <c r="FM96" s="57">
        <f t="shared" ref="FM96" si="532">SUM(FM97:FM115)-FM98</f>
        <v>0</v>
      </c>
      <c r="FN96" s="390"/>
      <c r="FO96" s="390"/>
      <c r="FP96" s="57">
        <f t="shared" si="390"/>
        <v>107605.03562000002</v>
      </c>
      <c r="FQ96" s="57">
        <f>SUM(FQ97:FQ115)</f>
        <v>80460.96236000002</v>
      </c>
      <c r="FR96" s="57">
        <f>SUM(FR97:FR115)</f>
        <v>27144.073260000005</v>
      </c>
      <c r="FS96" s="390"/>
      <c r="FT96" s="390"/>
      <c r="FU96" s="390"/>
      <c r="FV96" s="57">
        <f t="shared" si="467"/>
        <v>0</v>
      </c>
      <c r="FW96" s="57">
        <f t="shared" si="391"/>
        <v>80460.96236000002</v>
      </c>
      <c r="FX96" s="57">
        <f t="shared" ref="FX96" si="533">FY96+FZ96+GA96</f>
        <v>12932.916499999999</v>
      </c>
      <c r="FY96" s="57">
        <f>BD96</f>
        <v>12932.916499999999</v>
      </c>
      <c r="FZ96" s="57">
        <f t="shared" ref="FZ96" si="534">SUM(FZ97:FZ115)-FZ98</f>
        <v>0</v>
      </c>
      <c r="GA96" s="390"/>
      <c r="GB96" s="390"/>
      <c r="GC96" s="57">
        <f t="shared" si="402"/>
        <v>13382.28665</v>
      </c>
      <c r="GD96" s="57">
        <f t="shared" si="501"/>
        <v>12141.735189999999</v>
      </c>
      <c r="GE96" s="57">
        <f t="shared" si="502"/>
        <v>1240.5514599999999</v>
      </c>
      <c r="GF96" s="390"/>
      <c r="GG96" s="390"/>
      <c r="GH96" s="390"/>
      <c r="GI96" s="304">
        <f t="shared" si="262"/>
        <v>0</v>
      </c>
      <c r="GJ96" s="77">
        <f t="shared" si="403"/>
        <v>12141.735189999999</v>
      </c>
      <c r="GK96" s="462">
        <f t="shared" si="368"/>
        <v>0.89062824226712289</v>
      </c>
    </row>
    <row r="97" spans="1:193" s="38" customFormat="1" ht="15.75" customHeight="1" x14ac:dyDescent="0.25">
      <c r="B97" s="31">
        <v>1</v>
      </c>
      <c r="C97" s="30"/>
      <c r="D97" s="30"/>
      <c r="E97" s="493">
        <v>78</v>
      </c>
      <c r="F97" s="31">
        <v>1</v>
      </c>
      <c r="G97" s="30"/>
      <c r="H97" s="30">
        <v>1</v>
      </c>
      <c r="M97" s="493">
        <v>60</v>
      </c>
      <c r="N97" s="494" t="s">
        <v>209</v>
      </c>
      <c r="O97" s="128"/>
      <c r="P97" s="128">
        <f t="shared" si="388"/>
        <v>0</v>
      </c>
      <c r="Q97" s="128"/>
      <c r="R97" s="128"/>
      <c r="S97" s="127" t="s">
        <v>630</v>
      </c>
      <c r="T97" s="476">
        <v>3</v>
      </c>
      <c r="U97" s="476"/>
      <c r="V97" s="2">
        <f t="shared" si="369"/>
        <v>8800.93</v>
      </c>
      <c r="W97" s="2">
        <v>2942.33</v>
      </c>
      <c r="X97" s="198">
        <f t="shared" si="227"/>
        <v>5858.6</v>
      </c>
      <c r="Y97" s="198">
        <v>2699.5</v>
      </c>
      <c r="Z97" s="42">
        <v>3159.1</v>
      </c>
      <c r="AA97" s="44"/>
      <c r="AB97" s="567">
        <f t="shared" ref="AB97:AB115" si="535">AC97+AD97+AG97+AH97</f>
        <v>8800.93</v>
      </c>
      <c r="AC97" s="567">
        <v>2942.33</v>
      </c>
      <c r="AD97" s="568">
        <f t="shared" si="229"/>
        <v>5858.6</v>
      </c>
      <c r="AE97" s="568">
        <v>2699.5</v>
      </c>
      <c r="AF97" s="569">
        <v>3159.1</v>
      </c>
      <c r="AG97" s="593"/>
      <c r="AH97" s="594"/>
      <c r="AI97" s="567">
        <f t="shared" ref="AI97:AI115" si="536">AJ97+AK97+AL97+AM97</f>
        <v>42564.74</v>
      </c>
      <c r="AJ97" s="567">
        <v>42564.74</v>
      </c>
      <c r="AK97" s="568">
        <v>0</v>
      </c>
      <c r="AL97" s="593"/>
      <c r="AM97" s="594"/>
      <c r="AN97" s="567">
        <f t="shared" ref="AN97:AN115" si="537">AO97+AP97+AQ97+AR97</f>
        <v>42564.74</v>
      </c>
      <c r="AO97" s="567">
        <v>42564.74</v>
      </c>
      <c r="AP97" s="568">
        <v>0</v>
      </c>
      <c r="AQ97" s="593"/>
      <c r="AR97" s="594"/>
      <c r="AS97" s="567">
        <f t="shared" ref="AS97:AS115" si="538">AT97+AU97+AV97+AW97</f>
        <v>43747.74</v>
      </c>
      <c r="AT97" s="567">
        <v>42564.74</v>
      </c>
      <c r="AU97" s="568">
        <v>1183</v>
      </c>
      <c r="AV97" s="593"/>
      <c r="AW97" s="593"/>
      <c r="AX97" s="409" t="s">
        <v>481</v>
      </c>
      <c r="AY97" s="567">
        <f t="shared" ref="AY97:AY115" si="539">AZ97+BA97+BD97+BE97</f>
        <v>8800.9292800000003</v>
      </c>
      <c r="AZ97" s="567">
        <v>2942.3292799999999</v>
      </c>
      <c r="BA97" s="568">
        <f t="shared" ref="BA97:BA115" si="540">BB97+BC97</f>
        <v>5858.6</v>
      </c>
      <c r="BB97" s="568">
        <v>2699.5</v>
      </c>
      <c r="BC97" s="569">
        <v>3159.1</v>
      </c>
      <c r="BD97" s="593"/>
      <c r="BE97" s="593"/>
      <c r="BF97" s="567">
        <f t="shared" si="370"/>
        <v>7.2000000000116415E-4</v>
      </c>
      <c r="BG97" s="567">
        <f t="shared" si="371"/>
        <v>7.2000000000116415E-4</v>
      </c>
      <c r="BH97" s="567">
        <f t="shared" si="372"/>
        <v>0</v>
      </c>
      <c r="BI97" s="567">
        <f t="shared" si="373"/>
        <v>0</v>
      </c>
      <c r="BJ97" s="567">
        <f t="shared" si="374"/>
        <v>0</v>
      </c>
      <c r="BK97" s="567">
        <f t="shared" si="375"/>
        <v>0</v>
      </c>
      <c r="BL97" s="567" t="e">
        <f>#REF!-BE97</f>
        <v>#REF!</v>
      </c>
      <c r="BM97" s="567">
        <f t="shared" ref="BM97:BM115" si="541">BN97+BO97+BP97+BQ97</f>
        <v>42564.740000000005</v>
      </c>
      <c r="BN97" s="567">
        <f>4470.69038+12326.72774+5484.42853+19769.46707+513.42628</f>
        <v>42564.740000000005</v>
      </c>
      <c r="BO97" s="568"/>
      <c r="BP97" s="593"/>
      <c r="BQ97" s="593"/>
      <c r="BR97" s="567">
        <f t="shared" ref="BR97:BR115" si="542">BS97+BT97+BU97+BV97</f>
        <v>0</v>
      </c>
      <c r="BS97" s="567"/>
      <c r="BT97" s="568"/>
      <c r="BU97" s="593"/>
      <c r="BV97" s="593"/>
      <c r="BW97" s="567">
        <f t="shared" ref="BW97:BW115" si="543">BX97+BY97+CB97+CC97</f>
        <v>7273.1461600000002</v>
      </c>
      <c r="BX97" s="567">
        <v>2428.7981599999998</v>
      </c>
      <c r="BY97" s="568">
        <f t="shared" si="376"/>
        <v>4844.348</v>
      </c>
      <c r="BZ97" s="571">
        <f>9.97375+2190.11875</f>
        <v>2200.0925000000002</v>
      </c>
      <c r="CA97" s="571">
        <f>4.95075+1243.13886+5.14255+1391.02334</f>
        <v>2644.2555000000002</v>
      </c>
      <c r="CB97" s="593"/>
      <c r="CC97" s="593"/>
      <c r="CD97" s="567">
        <f t="shared" ref="CD97:CD115" si="544">CE97+CF97+CI97+CJ97</f>
        <v>7273.1461600000002</v>
      </c>
      <c r="CE97" s="567">
        <v>2428.7981599999998</v>
      </c>
      <c r="CF97" s="568">
        <f t="shared" si="377"/>
        <v>4844.348</v>
      </c>
      <c r="CG97" s="571">
        <f>9.97375+2190.11875</f>
        <v>2200.0925000000002</v>
      </c>
      <c r="CH97" s="571">
        <f>4.95075+1243.13886+5.14255+1391.02334</f>
        <v>2644.2555000000002</v>
      </c>
      <c r="CI97" s="593"/>
      <c r="CJ97" s="567">
        <v>0</v>
      </c>
      <c r="CK97" s="567">
        <f t="shared" ref="CK97:CK115" si="545">CL97+CM97+CP97+CQ97</f>
        <v>2763.9729500000003</v>
      </c>
      <c r="CL97" s="567">
        <v>211.19983999999999</v>
      </c>
      <c r="CM97" s="567">
        <v>2552.7731100000001</v>
      </c>
      <c r="CN97" s="567"/>
      <c r="CO97" s="567"/>
      <c r="CP97" s="593"/>
      <c r="CQ97" s="593"/>
      <c r="CR97" s="573">
        <f t="shared" ref="CR97:CR115" si="546">CS97</f>
        <v>10037.11911</v>
      </c>
      <c r="CS97" s="567">
        <f t="shared" si="379"/>
        <v>10037.11911</v>
      </c>
      <c r="CT97" s="567">
        <f t="shared" si="380"/>
        <v>2639.9979999999996</v>
      </c>
      <c r="CU97" s="567">
        <f t="shared" si="381"/>
        <v>7397.12111</v>
      </c>
      <c r="CV97" s="567">
        <f t="shared" si="382"/>
        <v>0</v>
      </c>
      <c r="CW97" s="567">
        <f t="shared" ref="CW97:CW115" si="547">CJ97+CQ97</f>
        <v>0</v>
      </c>
      <c r="CX97" s="567">
        <f t="shared" ca="1" si="477"/>
        <v>0</v>
      </c>
      <c r="CY97" s="567">
        <f t="shared" si="383"/>
        <v>0</v>
      </c>
      <c r="CZ97" s="567">
        <f t="shared" si="384"/>
        <v>0</v>
      </c>
      <c r="DA97" s="567">
        <f t="shared" si="385"/>
        <v>0</v>
      </c>
      <c r="DB97" s="2">
        <f t="shared" ref="DB97:DB115" si="548">CC97-CJ97</f>
        <v>0</v>
      </c>
      <c r="DC97" s="257"/>
      <c r="DD97" s="261">
        <f>BM97</f>
        <v>42564.740000000005</v>
      </c>
      <c r="DE97" s="261">
        <f>DD97+DF97</f>
        <v>42564.740000000005</v>
      </c>
      <c r="DF97" s="2">
        <f t="shared" ref="DF97:DF115" si="549">DG97+DH97+DI97+DJ97</f>
        <v>0</v>
      </c>
      <c r="DG97" s="2"/>
      <c r="DH97" s="198"/>
      <c r="DI97" s="44"/>
      <c r="DJ97" s="44"/>
      <c r="DK97" s="2">
        <f t="shared" ref="DK97:DK115" si="550">DL97+DM97+DN97+DO97</f>
        <v>0</v>
      </c>
      <c r="DL97" s="2"/>
      <c r="DM97" s="198"/>
      <c r="DN97" s="44"/>
      <c r="DO97" s="44"/>
      <c r="DP97" s="2">
        <f t="shared" ref="DP97:DP115" si="551">DQ97+DR97+DS97+DT97</f>
        <v>0</v>
      </c>
      <c r="DQ97" s="2">
        <f t="shared" ref="DQ97:DT115" si="552">DG97-DL97</f>
        <v>0</v>
      </c>
      <c r="DR97" s="2">
        <f t="shared" si="552"/>
        <v>0</v>
      </c>
      <c r="DS97" s="2">
        <f t="shared" si="552"/>
        <v>0</v>
      </c>
      <c r="DT97" s="2">
        <f t="shared" si="552"/>
        <v>0</v>
      </c>
      <c r="DU97" s="44"/>
      <c r="DV97" s="44"/>
      <c r="DW97" s="44"/>
      <c r="DX97" s="2">
        <f t="shared" ref="DX97:DX115" ca="1" si="553">CX97+DP97+DW97</f>
        <v>0</v>
      </c>
      <c r="DY97" s="46"/>
      <c r="DZ97" s="2">
        <f t="shared" ref="DZ97:DZ115" si="554">BW97+DF97+DU97</f>
        <v>7273.1461600000002</v>
      </c>
      <c r="EA97" s="2">
        <f t="shared" ref="EA97:EA115" si="555">CD97+DK97+DV97</f>
        <v>7273.1461600000002</v>
      </c>
      <c r="EB97" s="259"/>
      <c r="EC97" s="2">
        <f>EA97</f>
        <v>7273.1461600000002</v>
      </c>
      <c r="ED97" s="2">
        <f ca="1">DX97</f>
        <v>0</v>
      </c>
      <c r="EE97" s="259"/>
      <c r="EF97" s="2">
        <f>DE97-EC97</f>
        <v>35291.593840000001</v>
      </c>
      <c r="EG97" s="259"/>
      <c r="EH97" s="259"/>
      <c r="EI97" s="2">
        <f t="shared" si="357"/>
        <v>7273.1461600000002</v>
      </c>
      <c r="EJ97" s="2">
        <v>2428.7981599999998</v>
      </c>
      <c r="EK97" s="198">
        <f t="shared" si="386"/>
        <v>4844.348</v>
      </c>
      <c r="EL97" s="446">
        <f>9.97375+2190.11875</f>
        <v>2200.0925000000002</v>
      </c>
      <c r="EM97" s="446">
        <f>4.95075+1243.13886+5.14255+1391.02334</f>
        <v>2644.2555000000002</v>
      </c>
      <c r="EN97" s="44"/>
      <c r="EO97" s="44"/>
      <c r="EP97" s="2">
        <f t="shared" si="358"/>
        <v>2763.9729500000003</v>
      </c>
      <c r="EQ97" s="2">
        <v>211.19983999999999</v>
      </c>
      <c r="ER97" s="2">
        <v>2552.7731100000001</v>
      </c>
      <c r="ES97" s="2">
        <f>8.08823+1776.0788</f>
        <v>1784.1670300000001</v>
      </c>
      <c r="ET97" s="2">
        <f>1.43904+361.34333+1.49478+404.32893</f>
        <v>768.60608000000002</v>
      </c>
      <c r="EU97" s="44"/>
      <c r="EV97" s="148"/>
      <c r="EW97" s="310"/>
      <c r="EX97" s="310"/>
      <c r="EY97" s="310"/>
      <c r="EZ97" s="399"/>
      <c r="FA97" s="399"/>
      <c r="FB97" s="310"/>
      <c r="FC97" s="310"/>
      <c r="FD97" s="310"/>
      <c r="FE97" s="399"/>
      <c r="FF97" s="399"/>
      <c r="FG97" s="396"/>
      <c r="FH97" s="318"/>
      <c r="FI97" s="319"/>
      <c r="FJ97" s="300" t="e">
        <f t="shared" ref="FJ97:FJ115" si="556">FH97/FE97</f>
        <v>#DIV/0!</v>
      </c>
      <c r="FK97" s="353">
        <f t="shared" si="389"/>
        <v>5858.6</v>
      </c>
      <c r="FL97" s="353">
        <f t="shared" si="473"/>
        <v>5858.6</v>
      </c>
      <c r="FM97" s="353"/>
      <c r="FN97" s="388">
        <f t="shared" ref="FN97:FN115" si="557">FL97/FK97</f>
        <v>1</v>
      </c>
      <c r="FO97" s="388">
        <f t="shared" ref="FO97:FO115" si="558">FM97/FK97</f>
        <v>0</v>
      </c>
      <c r="FP97" s="353">
        <f t="shared" si="390"/>
        <v>7397.12111</v>
      </c>
      <c r="FQ97" s="353">
        <f t="shared" ref="FQ97:FQ115" si="559">EK97</f>
        <v>4844.348</v>
      </c>
      <c r="FR97" s="353">
        <f t="shared" ref="FR97:FR115" si="560">ER97</f>
        <v>2552.7731100000001</v>
      </c>
      <c r="FS97" s="388">
        <f t="shared" ref="FS97:FS115" si="561">FQ97/FP97</f>
        <v>0.6548964019868535</v>
      </c>
      <c r="FT97" s="388">
        <f t="shared" ref="FT97:FT115" si="562">FR97/FP97</f>
        <v>0.3451035980131465</v>
      </c>
      <c r="FU97" s="388"/>
      <c r="FV97" s="353">
        <f t="shared" ref="FV97:FV115" si="563">FP97*FN97</f>
        <v>7397.12111</v>
      </c>
      <c r="FW97" s="353">
        <f t="shared" si="391"/>
        <v>-2552.7731100000001</v>
      </c>
      <c r="FX97" s="310"/>
      <c r="FY97" s="310"/>
      <c r="FZ97" s="310"/>
      <c r="GA97" s="399"/>
      <c r="GB97" s="399"/>
      <c r="GC97" s="310"/>
      <c r="GD97" s="310"/>
      <c r="GE97" s="310"/>
      <c r="GF97" s="399"/>
      <c r="GG97" s="399"/>
      <c r="GH97" s="396"/>
      <c r="GI97" s="318"/>
      <c r="GJ97" s="454"/>
      <c r="GK97" s="463">
        <f t="shared" si="368"/>
        <v>0.82640654567187788</v>
      </c>
    </row>
    <row r="98" spans="1:193" s="38" customFormat="1" ht="15.75" hidden="1" customHeight="1" x14ac:dyDescent="0.25">
      <c r="B98" s="31"/>
      <c r="C98" s="30"/>
      <c r="D98" s="30"/>
      <c r="E98" s="493"/>
      <c r="F98" s="31"/>
      <c r="G98" s="30"/>
      <c r="H98" s="30"/>
      <c r="M98" s="493"/>
      <c r="N98" s="18" t="s">
        <v>246</v>
      </c>
      <c r="O98" s="128"/>
      <c r="P98" s="128">
        <f t="shared" si="388"/>
        <v>0</v>
      </c>
      <c r="Q98" s="128"/>
      <c r="R98" s="128"/>
      <c r="S98" s="128"/>
      <c r="T98" s="128"/>
      <c r="U98" s="128"/>
      <c r="V98" s="2">
        <f t="shared" si="369"/>
        <v>0</v>
      </c>
      <c r="W98" s="2"/>
      <c r="X98" s="233">
        <f t="shared" si="227"/>
        <v>0</v>
      </c>
      <c r="Y98" s="233"/>
      <c r="Z98" s="43"/>
      <c r="AA98" s="44"/>
      <c r="AB98" s="567">
        <f t="shared" si="535"/>
        <v>0</v>
      </c>
      <c r="AC98" s="567"/>
      <c r="AD98" s="575">
        <f t="shared" si="229"/>
        <v>0</v>
      </c>
      <c r="AE98" s="575"/>
      <c r="AF98" s="576"/>
      <c r="AG98" s="593"/>
      <c r="AH98" s="594"/>
      <c r="AI98" s="567">
        <f t="shared" si="536"/>
        <v>0</v>
      </c>
      <c r="AJ98" s="567"/>
      <c r="AK98" s="575"/>
      <c r="AL98" s="593"/>
      <c r="AM98" s="594"/>
      <c r="AN98" s="567">
        <f t="shared" si="537"/>
        <v>0</v>
      </c>
      <c r="AO98" s="567"/>
      <c r="AP98" s="575"/>
      <c r="AQ98" s="593"/>
      <c r="AR98" s="594"/>
      <c r="AS98" s="567">
        <f t="shared" si="538"/>
        <v>0</v>
      </c>
      <c r="AT98" s="567"/>
      <c r="AU98" s="575"/>
      <c r="AV98" s="593"/>
      <c r="AW98" s="593"/>
      <c r="AX98" s="595"/>
      <c r="AY98" s="567">
        <f t="shared" si="539"/>
        <v>0</v>
      </c>
      <c r="AZ98" s="575"/>
      <c r="BA98" s="596">
        <f t="shared" si="540"/>
        <v>0</v>
      </c>
      <c r="BB98" s="575"/>
      <c r="BC98" s="576"/>
      <c r="BD98" s="593"/>
      <c r="BE98" s="593"/>
      <c r="BF98" s="567">
        <f t="shared" si="370"/>
        <v>0</v>
      </c>
      <c r="BG98" s="567">
        <f t="shared" si="371"/>
        <v>0</v>
      </c>
      <c r="BH98" s="567">
        <f t="shared" si="372"/>
        <v>0</v>
      </c>
      <c r="BI98" s="567">
        <f t="shared" si="373"/>
        <v>0</v>
      </c>
      <c r="BJ98" s="567">
        <f t="shared" si="374"/>
        <v>0</v>
      </c>
      <c r="BK98" s="567">
        <f t="shared" si="375"/>
        <v>0</v>
      </c>
      <c r="BL98" s="567" t="e">
        <f>#REF!-BE98</f>
        <v>#REF!</v>
      </c>
      <c r="BM98" s="567">
        <f t="shared" si="541"/>
        <v>0</v>
      </c>
      <c r="BN98" s="575"/>
      <c r="BO98" s="575"/>
      <c r="BP98" s="593"/>
      <c r="BQ98" s="593"/>
      <c r="BR98" s="567">
        <f t="shared" si="542"/>
        <v>0</v>
      </c>
      <c r="BS98" s="575"/>
      <c r="BT98" s="575"/>
      <c r="BU98" s="593"/>
      <c r="BV98" s="593"/>
      <c r="BW98" s="567">
        <f t="shared" si="543"/>
        <v>0</v>
      </c>
      <c r="BX98" s="575"/>
      <c r="BY98" s="597">
        <f t="shared" si="376"/>
        <v>0</v>
      </c>
      <c r="BZ98" s="598"/>
      <c r="CA98" s="598"/>
      <c r="CB98" s="593"/>
      <c r="CC98" s="593"/>
      <c r="CD98" s="567">
        <f t="shared" si="544"/>
        <v>0</v>
      </c>
      <c r="CE98" s="575"/>
      <c r="CF98" s="597">
        <f t="shared" si="377"/>
        <v>0</v>
      </c>
      <c r="CG98" s="598"/>
      <c r="CH98" s="598"/>
      <c r="CI98" s="593"/>
      <c r="CJ98" s="593"/>
      <c r="CK98" s="567">
        <f t="shared" si="545"/>
        <v>0</v>
      </c>
      <c r="CL98" s="593"/>
      <c r="CM98" s="593">
        <f t="shared" si="378"/>
        <v>0</v>
      </c>
      <c r="CN98" s="593"/>
      <c r="CO98" s="593"/>
      <c r="CP98" s="593"/>
      <c r="CQ98" s="593"/>
      <c r="CR98" s="573">
        <f t="shared" si="546"/>
        <v>0</v>
      </c>
      <c r="CS98" s="567">
        <f t="shared" si="379"/>
        <v>0</v>
      </c>
      <c r="CT98" s="567">
        <f t="shared" si="380"/>
        <v>0</v>
      </c>
      <c r="CU98" s="567">
        <f t="shared" si="381"/>
        <v>0</v>
      </c>
      <c r="CV98" s="567">
        <f t="shared" si="382"/>
        <v>0</v>
      </c>
      <c r="CW98" s="567">
        <f t="shared" si="547"/>
        <v>0</v>
      </c>
      <c r="CX98" s="567">
        <f t="shared" ca="1" si="477"/>
        <v>0</v>
      </c>
      <c r="CY98" s="567">
        <f t="shared" si="383"/>
        <v>0</v>
      </c>
      <c r="CZ98" s="567">
        <f t="shared" si="384"/>
        <v>0</v>
      </c>
      <c r="DA98" s="567">
        <f t="shared" si="385"/>
        <v>0</v>
      </c>
      <c r="DB98" s="2">
        <f t="shared" si="548"/>
        <v>0</v>
      </c>
      <c r="DC98" s="257"/>
      <c r="DD98" s="261"/>
      <c r="DE98" s="261"/>
      <c r="DF98" s="2">
        <f t="shared" si="549"/>
        <v>0</v>
      </c>
      <c r="DG98" s="233"/>
      <c r="DH98" s="233"/>
      <c r="DI98" s="44"/>
      <c r="DJ98" s="44"/>
      <c r="DK98" s="2">
        <f t="shared" si="550"/>
        <v>0</v>
      </c>
      <c r="DL98" s="233"/>
      <c r="DM98" s="233"/>
      <c r="DN98" s="44"/>
      <c r="DO98" s="44"/>
      <c r="DP98" s="2">
        <f t="shared" si="551"/>
        <v>0</v>
      </c>
      <c r="DQ98" s="2">
        <f t="shared" si="552"/>
        <v>0</v>
      </c>
      <c r="DR98" s="2">
        <f t="shared" si="552"/>
        <v>0</v>
      </c>
      <c r="DS98" s="2">
        <f t="shared" si="552"/>
        <v>0</v>
      </c>
      <c r="DT98" s="2">
        <f t="shared" si="552"/>
        <v>0</v>
      </c>
      <c r="DU98" s="44"/>
      <c r="DV98" s="44"/>
      <c r="DW98" s="44"/>
      <c r="DX98" s="2">
        <f t="shared" ca="1" si="553"/>
        <v>0</v>
      </c>
      <c r="DY98" s="46"/>
      <c r="DZ98" s="2">
        <f t="shared" si="554"/>
        <v>0</v>
      </c>
      <c r="EA98" s="2">
        <f t="shared" si="555"/>
        <v>0</v>
      </c>
      <c r="EB98" s="259"/>
      <c r="EC98" s="44"/>
      <c r="ED98" s="44"/>
      <c r="EE98" s="259"/>
      <c r="EF98" s="44"/>
      <c r="EG98" s="259"/>
      <c r="EH98" s="259"/>
      <c r="EI98" s="2">
        <f t="shared" si="357"/>
        <v>0</v>
      </c>
      <c r="EJ98" s="262"/>
      <c r="EK98" s="262">
        <f t="shared" si="386"/>
        <v>0</v>
      </c>
      <c r="EL98" s="498"/>
      <c r="EM98" s="498"/>
      <c r="EN98" s="44"/>
      <c r="EO98" s="44"/>
      <c r="EP98" s="2">
        <f t="shared" si="358"/>
        <v>0</v>
      </c>
      <c r="EQ98" s="44"/>
      <c r="ER98" s="44">
        <f t="shared" si="387"/>
        <v>0</v>
      </c>
      <c r="ES98" s="44"/>
      <c r="ET98" s="44"/>
      <c r="EU98" s="44"/>
      <c r="EV98" s="148"/>
      <c r="EW98" s="310"/>
      <c r="EX98" s="319"/>
      <c r="EY98" s="319"/>
      <c r="EZ98" s="399"/>
      <c r="FA98" s="399"/>
      <c r="FB98" s="310"/>
      <c r="FC98" s="319"/>
      <c r="FD98" s="319"/>
      <c r="FE98" s="399"/>
      <c r="FF98" s="399"/>
      <c r="FG98" s="399"/>
      <c r="FH98" s="318"/>
      <c r="FI98" s="319"/>
      <c r="FJ98" s="300" t="e">
        <f t="shared" si="556"/>
        <v>#DIV/0!</v>
      </c>
      <c r="FK98" s="353"/>
      <c r="FL98" s="359"/>
      <c r="FM98" s="359"/>
      <c r="FN98" s="393"/>
      <c r="FO98" s="393"/>
      <c r="FP98" s="353"/>
      <c r="FQ98" s="359"/>
      <c r="FR98" s="359"/>
      <c r="FS98" s="393"/>
      <c r="FT98" s="393"/>
      <c r="FU98" s="393"/>
      <c r="FV98" s="359"/>
      <c r="FW98" s="359"/>
      <c r="FX98" s="310"/>
      <c r="FY98" s="319"/>
      <c r="FZ98" s="319"/>
      <c r="GA98" s="399"/>
      <c r="GB98" s="399"/>
      <c r="GC98" s="310"/>
      <c r="GD98" s="319"/>
      <c r="GE98" s="319"/>
      <c r="GF98" s="399"/>
      <c r="GG98" s="399"/>
      <c r="GH98" s="399"/>
      <c r="GI98" s="318"/>
      <c r="GJ98" s="454"/>
      <c r="GK98" s="463" t="e">
        <f t="shared" si="368"/>
        <v>#DIV/0!</v>
      </c>
    </row>
    <row r="99" spans="1:193" s="37" customFormat="1" ht="15.6" customHeight="1" x14ac:dyDescent="0.25">
      <c r="B99" s="29"/>
      <c r="C99" s="30"/>
      <c r="D99" s="30">
        <v>1</v>
      </c>
      <c r="E99" s="493">
        <v>79</v>
      </c>
      <c r="F99" s="29"/>
      <c r="G99" s="30"/>
      <c r="H99" s="30">
        <v>1</v>
      </c>
      <c r="M99" s="493">
        <v>61</v>
      </c>
      <c r="N99" s="494" t="s">
        <v>102</v>
      </c>
      <c r="O99" s="494"/>
      <c r="P99" s="494">
        <f t="shared" si="388"/>
        <v>0</v>
      </c>
      <c r="Q99" s="494" t="s">
        <v>701</v>
      </c>
      <c r="R99" s="494" t="s">
        <v>699</v>
      </c>
      <c r="S99" s="494">
        <v>352</v>
      </c>
      <c r="T99" s="156">
        <v>1</v>
      </c>
      <c r="U99" s="493"/>
      <c r="V99" s="2">
        <f t="shared" si="369"/>
        <v>1249.4000000000001</v>
      </c>
      <c r="W99" s="2"/>
      <c r="X99" s="198">
        <f t="shared" si="227"/>
        <v>1249.4000000000001</v>
      </c>
      <c r="Y99" s="198"/>
      <c r="Z99" s="42">
        <v>1249.4000000000001</v>
      </c>
      <c r="AA99" s="2"/>
      <c r="AB99" s="567">
        <f t="shared" si="535"/>
        <v>1249.4000000000001</v>
      </c>
      <c r="AC99" s="567"/>
      <c r="AD99" s="568">
        <f t="shared" si="229"/>
        <v>1249.4000000000001</v>
      </c>
      <c r="AE99" s="568">
        <v>44.911999999999999</v>
      </c>
      <c r="AF99" s="569">
        <f>1249.4-44.912</f>
        <v>1204.4880000000001</v>
      </c>
      <c r="AG99" s="567"/>
      <c r="AH99" s="570"/>
      <c r="AI99" s="567">
        <f t="shared" si="536"/>
        <v>556.6</v>
      </c>
      <c r="AJ99" s="567"/>
      <c r="AK99" s="568">
        <v>556.6</v>
      </c>
      <c r="AL99" s="567"/>
      <c r="AM99" s="570"/>
      <c r="AN99" s="567">
        <f t="shared" si="537"/>
        <v>556.6</v>
      </c>
      <c r="AO99" s="567"/>
      <c r="AP99" s="568">
        <v>556.6</v>
      </c>
      <c r="AQ99" s="567"/>
      <c r="AR99" s="570"/>
      <c r="AS99" s="567">
        <f t="shared" si="538"/>
        <v>242</v>
      </c>
      <c r="AT99" s="567"/>
      <c r="AU99" s="568">
        <v>242</v>
      </c>
      <c r="AV99" s="567"/>
      <c r="AW99" s="570"/>
      <c r="AX99" s="425" t="s">
        <v>476</v>
      </c>
      <c r="AY99" s="567">
        <f t="shared" si="539"/>
        <v>1204.4880000000001</v>
      </c>
      <c r="AZ99" s="567"/>
      <c r="BA99" s="568">
        <f t="shared" si="540"/>
        <v>1204.4880000000001</v>
      </c>
      <c r="BB99" s="568"/>
      <c r="BC99" s="569">
        <v>1204.4880000000001</v>
      </c>
      <c r="BD99" s="567"/>
      <c r="BE99" s="570"/>
      <c r="BF99" s="567">
        <f t="shared" si="370"/>
        <v>44.911999999999999</v>
      </c>
      <c r="BG99" s="567">
        <f t="shared" si="371"/>
        <v>0</v>
      </c>
      <c r="BH99" s="567">
        <f t="shared" si="372"/>
        <v>44.911999999999999</v>
      </c>
      <c r="BI99" s="567">
        <f t="shared" si="373"/>
        <v>44.911999999999999</v>
      </c>
      <c r="BJ99" s="567">
        <f t="shared" si="374"/>
        <v>0</v>
      </c>
      <c r="BK99" s="567">
        <f t="shared" si="375"/>
        <v>0</v>
      </c>
      <c r="BL99" s="567" t="e">
        <f>#REF!-BE99</f>
        <v>#REF!</v>
      </c>
      <c r="BM99" s="567">
        <f t="shared" si="541"/>
        <v>556.6</v>
      </c>
      <c r="BN99" s="567"/>
      <c r="BO99" s="568">
        <f>242+314.6</f>
        <v>556.6</v>
      </c>
      <c r="BP99" s="567"/>
      <c r="BQ99" s="570"/>
      <c r="BR99" s="567">
        <f t="shared" si="542"/>
        <v>0</v>
      </c>
      <c r="BS99" s="567"/>
      <c r="BT99" s="568"/>
      <c r="BU99" s="567"/>
      <c r="BV99" s="570"/>
      <c r="BW99" s="567">
        <f t="shared" si="543"/>
        <v>1204.4880000000001</v>
      </c>
      <c r="BX99" s="567"/>
      <c r="BY99" s="568">
        <f t="shared" si="376"/>
        <v>1204.4880000000001</v>
      </c>
      <c r="BZ99" s="571"/>
      <c r="CA99" s="571">
        <v>1204.4880000000001</v>
      </c>
      <c r="CB99" s="567"/>
      <c r="CC99" s="577"/>
      <c r="CD99" s="567">
        <f t="shared" si="544"/>
        <v>1204.4880000000001</v>
      </c>
      <c r="CE99" s="567"/>
      <c r="CF99" s="568">
        <f t="shared" si="377"/>
        <v>1204.4880000000001</v>
      </c>
      <c r="CG99" s="571"/>
      <c r="CH99" s="571">
        <v>1204.4880000000001</v>
      </c>
      <c r="CI99" s="567"/>
      <c r="CJ99" s="577"/>
      <c r="CK99" s="567">
        <f t="shared" si="545"/>
        <v>133.83199999999999</v>
      </c>
      <c r="CL99" s="567"/>
      <c r="CM99" s="567">
        <f t="shared" si="378"/>
        <v>133.83199999999999</v>
      </c>
      <c r="CN99" s="567"/>
      <c r="CO99" s="567">
        <v>133.83199999999999</v>
      </c>
      <c r="CP99" s="567"/>
      <c r="CQ99" s="567"/>
      <c r="CR99" s="573">
        <f t="shared" si="546"/>
        <v>1338.3200000000002</v>
      </c>
      <c r="CS99" s="567">
        <f t="shared" si="379"/>
        <v>1338.3200000000002</v>
      </c>
      <c r="CT99" s="567">
        <f t="shared" si="380"/>
        <v>0</v>
      </c>
      <c r="CU99" s="567">
        <f t="shared" si="381"/>
        <v>1338.3200000000002</v>
      </c>
      <c r="CV99" s="567">
        <f t="shared" si="382"/>
        <v>0</v>
      </c>
      <c r="CW99" s="567">
        <f t="shared" si="547"/>
        <v>0</v>
      </c>
      <c r="CX99" s="567">
        <f t="shared" ca="1" si="477"/>
        <v>0</v>
      </c>
      <c r="CY99" s="567">
        <f t="shared" si="383"/>
        <v>0</v>
      </c>
      <c r="CZ99" s="567">
        <f t="shared" si="384"/>
        <v>0</v>
      </c>
      <c r="DA99" s="567">
        <f t="shared" si="385"/>
        <v>0</v>
      </c>
      <c r="DB99" s="2">
        <f t="shared" si="548"/>
        <v>0</v>
      </c>
      <c r="DC99" s="76"/>
      <c r="DD99" s="253"/>
      <c r="DE99" s="253"/>
      <c r="DF99" s="2">
        <f t="shared" si="549"/>
        <v>0</v>
      </c>
      <c r="DG99" s="2"/>
      <c r="DH99" s="198"/>
      <c r="DI99" s="2"/>
      <c r="DJ99" s="234"/>
      <c r="DK99" s="2">
        <f t="shared" si="550"/>
        <v>0</v>
      </c>
      <c r="DL99" s="2"/>
      <c r="DM99" s="198"/>
      <c r="DN99" s="2"/>
      <c r="DO99" s="234"/>
      <c r="DP99" s="2">
        <f t="shared" si="551"/>
        <v>0</v>
      </c>
      <c r="DQ99" s="2">
        <f t="shared" si="552"/>
        <v>0</v>
      </c>
      <c r="DR99" s="2">
        <f t="shared" si="552"/>
        <v>0</v>
      </c>
      <c r="DS99" s="2">
        <f t="shared" si="552"/>
        <v>0</v>
      </c>
      <c r="DT99" s="2">
        <f t="shared" si="552"/>
        <v>0</v>
      </c>
      <c r="DU99" s="2"/>
      <c r="DV99" s="2"/>
      <c r="DW99" s="2"/>
      <c r="DX99" s="2">
        <f t="shared" ca="1" si="553"/>
        <v>0</v>
      </c>
      <c r="DY99" s="46"/>
      <c r="DZ99" s="2">
        <f t="shared" si="554"/>
        <v>1204.4880000000001</v>
      </c>
      <c r="EA99" s="2">
        <f t="shared" si="555"/>
        <v>1204.4880000000001</v>
      </c>
      <c r="EB99" s="46"/>
      <c r="EC99" s="2"/>
      <c r="ED99" s="2"/>
      <c r="EE99" s="46"/>
      <c r="EF99" s="2"/>
      <c r="EG99" s="46"/>
      <c r="EH99" s="46"/>
      <c r="EI99" s="2">
        <f t="shared" si="357"/>
        <v>1204.4880000000001</v>
      </c>
      <c r="EJ99" s="2"/>
      <c r="EK99" s="198">
        <f t="shared" si="386"/>
        <v>1204.4880000000001</v>
      </c>
      <c r="EL99" s="446"/>
      <c r="EM99" s="446">
        <v>1204.4880000000001</v>
      </c>
      <c r="EN99" s="2"/>
      <c r="EO99" s="236"/>
      <c r="EP99" s="2">
        <f t="shared" si="358"/>
        <v>133.83199999999999</v>
      </c>
      <c r="EQ99" s="2"/>
      <c r="ER99" s="2">
        <f t="shared" si="387"/>
        <v>133.83199999999999</v>
      </c>
      <c r="ES99" s="2"/>
      <c r="ET99" s="2">
        <v>133.83199999999999</v>
      </c>
      <c r="EU99" s="2"/>
      <c r="EV99" s="141"/>
      <c r="EW99" s="310"/>
      <c r="EX99" s="310"/>
      <c r="EY99" s="310"/>
      <c r="EZ99" s="396"/>
      <c r="FA99" s="396"/>
      <c r="FB99" s="310"/>
      <c r="FC99" s="310"/>
      <c r="FD99" s="310"/>
      <c r="FE99" s="396"/>
      <c r="FF99" s="396"/>
      <c r="FG99" s="396"/>
      <c r="FH99" s="311"/>
      <c r="FI99" s="310"/>
      <c r="FJ99" s="296" t="e">
        <f t="shared" si="556"/>
        <v>#DIV/0!</v>
      </c>
      <c r="FK99" s="353">
        <f t="shared" si="389"/>
        <v>1204.4880000000001</v>
      </c>
      <c r="FL99" s="353">
        <f t="shared" ref="FL99:FL112" si="564">BA99</f>
        <v>1204.4880000000001</v>
      </c>
      <c r="FM99" s="353"/>
      <c r="FN99" s="388">
        <f t="shared" si="557"/>
        <v>1</v>
      </c>
      <c r="FO99" s="388">
        <f t="shared" si="558"/>
        <v>0</v>
      </c>
      <c r="FP99" s="353">
        <f t="shared" si="390"/>
        <v>1338.3200000000002</v>
      </c>
      <c r="FQ99" s="353">
        <f t="shared" si="559"/>
        <v>1204.4880000000001</v>
      </c>
      <c r="FR99" s="353">
        <f t="shared" si="560"/>
        <v>133.83199999999999</v>
      </c>
      <c r="FS99" s="388">
        <f t="shared" si="561"/>
        <v>0.89999999999999991</v>
      </c>
      <c r="FT99" s="388">
        <f t="shared" si="562"/>
        <v>9.9999999999999978E-2</v>
      </c>
      <c r="FU99" s="388"/>
      <c r="FV99" s="353">
        <f t="shared" si="563"/>
        <v>1338.3200000000002</v>
      </c>
      <c r="FW99" s="353">
        <f t="shared" si="391"/>
        <v>-133.83200000000011</v>
      </c>
      <c r="FX99" s="310"/>
      <c r="FY99" s="310"/>
      <c r="FZ99" s="310"/>
      <c r="GA99" s="396"/>
      <c r="GB99" s="396"/>
      <c r="GC99" s="310"/>
      <c r="GD99" s="310"/>
      <c r="GE99" s="310"/>
      <c r="GF99" s="396"/>
      <c r="GG99" s="396"/>
      <c r="GH99" s="396"/>
      <c r="GI99" s="311"/>
      <c r="GJ99" s="344"/>
      <c r="GK99" s="303">
        <f t="shared" si="368"/>
        <v>0.96405314550984467</v>
      </c>
    </row>
    <row r="100" spans="1:193" s="37" customFormat="1" ht="15.75" customHeight="1" x14ac:dyDescent="0.25">
      <c r="A100" s="37" t="s">
        <v>702</v>
      </c>
      <c r="B100" s="29"/>
      <c r="C100" s="30"/>
      <c r="D100" s="30">
        <v>1</v>
      </c>
      <c r="E100" s="493">
        <v>80</v>
      </c>
      <c r="F100" s="29"/>
      <c r="G100" s="30"/>
      <c r="H100" s="30">
        <v>1</v>
      </c>
      <c r="M100" s="493">
        <v>62</v>
      </c>
      <c r="N100" s="494" t="s">
        <v>103</v>
      </c>
      <c r="O100" s="494"/>
      <c r="P100" s="494">
        <f t="shared" si="388"/>
        <v>0</v>
      </c>
      <c r="Q100" s="494" t="s">
        <v>701</v>
      </c>
      <c r="R100" s="494" t="s">
        <v>699</v>
      </c>
      <c r="S100" s="494" t="s">
        <v>573</v>
      </c>
      <c r="T100" s="156">
        <v>3</v>
      </c>
      <c r="U100" s="493">
        <v>1</v>
      </c>
      <c r="V100" s="2">
        <f t="shared" si="369"/>
        <v>15656.79</v>
      </c>
      <c r="W100" s="2"/>
      <c r="X100" s="198">
        <f t="shared" si="227"/>
        <v>6767</v>
      </c>
      <c r="Y100" s="198">
        <v>3917.4</v>
      </c>
      <c r="Z100" s="42">
        <v>2849.6</v>
      </c>
      <c r="AA100" s="2">
        <v>8889.7900000000009</v>
      </c>
      <c r="AB100" s="567">
        <f t="shared" si="535"/>
        <v>15656.79</v>
      </c>
      <c r="AC100" s="567"/>
      <c r="AD100" s="568">
        <f t="shared" si="229"/>
        <v>6767</v>
      </c>
      <c r="AE100" s="568">
        <v>3917.4</v>
      </c>
      <c r="AF100" s="569">
        <v>2849.6</v>
      </c>
      <c r="AG100" s="567">
        <v>8889.7900000000009</v>
      </c>
      <c r="AH100" s="570"/>
      <c r="AI100" s="567">
        <f t="shared" si="536"/>
        <v>1317.9</v>
      </c>
      <c r="AJ100" s="567"/>
      <c r="AK100" s="568">
        <v>1317.9</v>
      </c>
      <c r="AL100" s="567"/>
      <c r="AM100" s="570"/>
      <c r="AN100" s="567">
        <f t="shared" si="537"/>
        <v>1317.9</v>
      </c>
      <c r="AO100" s="567"/>
      <c r="AP100" s="568">
        <v>1317.9</v>
      </c>
      <c r="AQ100" s="567"/>
      <c r="AR100" s="570"/>
      <c r="AS100" s="567">
        <f t="shared" si="538"/>
        <v>573</v>
      </c>
      <c r="AT100" s="567"/>
      <c r="AU100" s="568">
        <v>573</v>
      </c>
      <c r="AV100" s="567"/>
      <c r="AW100" s="570"/>
      <c r="AX100" s="409" t="s">
        <v>724</v>
      </c>
      <c r="AY100" s="567">
        <f t="shared" si="539"/>
        <v>15655.6252</v>
      </c>
      <c r="AZ100" s="567"/>
      <c r="BA100" s="568">
        <f t="shared" si="540"/>
        <v>6767</v>
      </c>
      <c r="BB100" s="568">
        <v>3917.4</v>
      </c>
      <c r="BC100" s="569">
        <v>2849.6</v>
      </c>
      <c r="BD100" s="567">
        <v>8888.6252000000004</v>
      </c>
      <c r="BE100" s="567"/>
      <c r="BF100" s="567">
        <f t="shared" si="370"/>
        <v>1.1648000000004686</v>
      </c>
      <c r="BG100" s="567">
        <f t="shared" si="371"/>
        <v>0</v>
      </c>
      <c r="BH100" s="567">
        <f t="shared" si="372"/>
        <v>0</v>
      </c>
      <c r="BI100" s="567">
        <f t="shared" si="373"/>
        <v>0</v>
      </c>
      <c r="BJ100" s="567">
        <f t="shared" si="374"/>
        <v>0</v>
      </c>
      <c r="BK100" s="567">
        <f t="shared" si="375"/>
        <v>1.1648000000004686</v>
      </c>
      <c r="BL100" s="567" t="e">
        <f>#REF!-BE100</f>
        <v>#REF!</v>
      </c>
      <c r="BM100" s="567">
        <f t="shared" si="541"/>
        <v>1317.9</v>
      </c>
      <c r="BN100" s="567"/>
      <c r="BO100" s="568">
        <v>1317.9</v>
      </c>
      <c r="BP100" s="567"/>
      <c r="BQ100" s="567"/>
      <c r="BR100" s="567">
        <f t="shared" si="542"/>
        <v>0</v>
      </c>
      <c r="BS100" s="567"/>
      <c r="BT100" s="568"/>
      <c r="BU100" s="567"/>
      <c r="BV100" s="567"/>
      <c r="BW100" s="567">
        <f t="shared" si="543"/>
        <v>15587.955190000001</v>
      </c>
      <c r="BX100" s="567"/>
      <c r="BY100" s="568">
        <f t="shared" si="376"/>
        <v>6699.3299900000002</v>
      </c>
      <c r="BZ100" s="571">
        <v>3878.2260000000001</v>
      </c>
      <c r="CA100" s="571">
        <v>2821.1039900000001</v>
      </c>
      <c r="CB100" s="567">
        <v>8888.6252000000004</v>
      </c>
      <c r="CC100" s="567"/>
      <c r="CD100" s="567">
        <f t="shared" si="544"/>
        <v>15587.955190000001</v>
      </c>
      <c r="CE100" s="567"/>
      <c r="CF100" s="568">
        <f t="shared" si="377"/>
        <v>6699.3299900000002</v>
      </c>
      <c r="CG100" s="571">
        <v>3878.2260000000001</v>
      </c>
      <c r="CH100" s="571">
        <v>2821.1039900000001</v>
      </c>
      <c r="CI100" s="567">
        <v>8888.6252000000004</v>
      </c>
      <c r="CJ100" s="567"/>
      <c r="CK100" s="567">
        <f t="shared" si="545"/>
        <v>2591.1998100000001</v>
      </c>
      <c r="CL100" s="567"/>
      <c r="CM100" s="567">
        <v>1712.10501</v>
      </c>
      <c r="CN100" s="567">
        <v>1299.0562199999999</v>
      </c>
      <c r="CO100" s="567"/>
      <c r="CP100" s="567">
        <v>879.09479999999996</v>
      </c>
      <c r="CQ100" s="567"/>
      <c r="CR100" s="573">
        <f t="shared" si="546"/>
        <v>18179.154999999999</v>
      </c>
      <c r="CS100" s="567">
        <f t="shared" si="379"/>
        <v>18179.154999999999</v>
      </c>
      <c r="CT100" s="567">
        <f t="shared" si="380"/>
        <v>0</v>
      </c>
      <c r="CU100" s="567">
        <f t="shared" si="381"/>
        <v>8411.4349999999995</v>
      </c>
      <c r="CV100" s="567">
        <f t="shared" si="382"/>
        <v>9767.7200000000012</v>
      </c>
      <c r="CW100" s="567">
        <f t="shared" si="547"/>
        <v>0</v>
      </c>
      <c r="CX100" s="567">
        <f t="shared" ca="1" si="477"/>
        <v>0</v>
      </c>
      <c r="CY100" s="567">
        <f t="shared" si="383"/>
        <v>0</v>
      </c>
      <c r="CZ100" s="567">
        <f t="shared" si="384"/>
        <v>0</v>
      </c>
      <c r="DA100" s="567">
        <f t="shared" si="385"/>
        <v>0</v>
      </c>
      <c r="DB100" s="2">
        <f t="shared" si="548"/>
        <v>0</v>
      </c>
      <c r="DC100" s="76"/>
      <c r="DD100" s="253"/>
      <c r="DE100" s="253"/>
      <c r="DF100" s="2">
        <f t="shared" si="549"/>
        <v>0</v>
      </c>
      <c r="DG100" s="2"/>
      <c r="DH100" s="198"/>
      <c r="DI100" s="2"/>
      <c r="DJ100" s="2"/>
      <c r="DK100" s="2">
        <f t="shared" si="550"/>
        <v>0</v>
      </c>
      <c r="DL100" s="2"/>
      <c r="DM100" s="198"/>
      <c r="DN100" s="2"/>
      <c r="DO100" s="2"/>
      <c r="DP100" s="2">
        <f t="shared" si="551"/>
        <v>0</v>
      </c>
      <c r="DQ100" s="2">
        <f t="shared" si="552"/>
        <v>0</v>
      </c>
      <c r="DR100" s="2">
        <f t="shared" si="552"/>
        <v>0</v>
      </c>
      <c r="DS100" s="2">
        <f t="shared" si="552"/>
        <v>0</v>
      </c>
      <c r="DT100" s="2">
        <f t="shared" si="552"/>
        <v>0</v>
      </c>
      <c r="DU100" s="2"/>
      <c r="DV100" s="2"/>
      <c r="DW100" s="2"/>
      <c r="DX100" s="2">
        <f t="shared" ca="1" si="553"/>
        <v>0</v>
      </c>
      <c r="DY100" s="46"/>
      <c r="DZ100" s="2">
        <f t="shared" si="554"/>
        <v>15587.955190000001</v>
      </c>
      <c r="EA100" s="2">
        <f t="shared" si="555"/>
        <v>15587.955190000001</v>
      </c>
      <c r="EB100" s="46"/>
      <c r="EC100" s="2"/>
      <c r="ED100" s="2"/>
      <c r="EE100" s="46"/>
      <c r="EF100" s="2"/>
      <c r="EG100" s="46"/>
      <c r="EH100" s="46"/>
      <c r="EI100" s="2">
        <f t="shared" si="357"/>
        <v>15587.955190000001</v>
      </c>
      <c r="EJ100" s="2"/>
      <c r="EK100" s="198">
        <f t="shared" si="386"/>
        <v>6699.3299900000002</v>
      </c>
      <c r="EL100" s="446">
        <v>3878.2260000000001</v>
      </c>
      <c r="EM100" s="446">
        <v>2821.1039900000001</v>
      </c>
      <c r="EN100" s="2">
        <v>8888.6252000000004</v>
      </c>
      <c r="EO100" s="2"/>
      <c r="EP100" s="2">
        <f t="shared" si="358"/>
        <v>2591.1998100000001</v>
      </c>
      <c r="EQ100" s="2"/>
      <c r="ER100" s="2">
        <v>1712.10501</v>
      </c>
      <c r="ES100" s="2">
        <v>1299.0562199999999</v>
      </c>
      <c r="ET100" s="2">
        <v>413.04879</v>
      </c>
      <c r="EU100" s="2">
        <v>879.09479999999996</v>
      </c>
      <c r="EV100" s="141"/>
      <c r="EW100" s="310"/>
      <c r="EX100" s="310"/>
      <c r="EY100" s="310"/>
      <c r="EZ100" s="396"/>
      <c r="FA100" s="396"/>
      <c r="FB100" s="310"/>
      <c r="FC100" s="310"/>
      <c r="FD100" s="310"/>
      <c r="FE100" s="396"/>
      <c r="FF100" s="396"/>
      <c r="FG100" s="396"/>
      <c r="FH100" s="311"/>
      <c r="FI100" s="310"/>
      <c r="FJ100" s="296" t="e">
        <f t="shared" si="556"/>
        <v>#DIV/0!</v>
      </c>
      <c r="FK100" s="353">
        <f t="shared" si="389"/>
        <v>6767</v>
      </c>
      <c r="FL100" s="353">
        <f t="shared" si="564"/>
        <v>6767</v>
      </c>
      <c r="FM100" s="353"/>
      <c r="FN100" s="388"/>
      <c r="FO100" s="388"/>
      <c r="FP100" s="353">
        <f t="shared" si="390"/>
        <v>8411.4349999999995</v>
      </c>
      <c r="FQ100" s="353">
        <f t="shared" si="559"/>
        <v>6699.3299900000002</v>
      </c>
      <c r="FR100" s="353">
        <f t="shared" si="560"/>
        <v>1712.10501</v>
      </c>
      <c r="FS100" s="388"/>
      <c r="FT100" s="388"/>
      <c r="FU100" s="388"/>
      <c r="FV100" s="353">
        <f t="shared" si="563"/>
        <v>0</v>
      </c>
      <c r="FW100" s="353">
        <f t="shared" si="391"/>
        <v>6699.3299900000002</v>
      </c>
      <c r="FX100" s="310">
        <f t="shared" ref="FX100" si="565">FY100+FZ100</f>
        <v>8888.6252000000004</v>
      </c>
      <c r="FY100" s="310">
        <f>BD100</f>
        <v>8888.6252000000004</v>
      </c>
      <c r="FZ100" s="310"/>
      <c r="GA100" s="396">
        <f t="shared" ref="GA100" si="566">FY100/FX100</f>
        <v>1</v>
      </c>
      <c r="GB100" s="396">
        <f t="shared" ref="GB100" si="567">FZ100/FX100</f>
        <v>0</v>
      </c>
      <c r="GC100" s="310">
        <f t="shared" ref="GC100" si="568">GD100+GE100</f>
        <v>9767.7200000000012</v>
      </c>
      <c r="GD100" s="310">
        <f t="shared" ref="GD100" si="569">EN100</f>
        <v>8888.6252000000004</v>
      </c>
      <c r="GE100" s="310">
        <f t="shared" ref="GE100" si="570">EU100</f>
        <v>879.09479999999996</v>
      </c>
      <c r="GF100" s="396">
        <f t="shared" ref="GF100" si="571">GD100/GC100</f>
        <v>0.90999999999999992</v>
      </c>
      <c r="GG100" s="396">
        <f t="shared" ref="GG100" si="572">GE100/GC100</f>
        <v>8.9999999999999983E-2</v>
      </c>
      <c r="GH100" s="396"/>
      <c r="GI100" s="311">
        <f t="shared" ref="GI100" si="573">GC100*GA100</f>
        <v>9767.7200000000012</v>
      </c>
      <c r="GJ100" s="344">
        <f t="shared" ref="GJ100" si="574">GD100-GI100</f>
        <v>-879.09480000000076</v>
      </c>
      <c r="GK100" s="303">
        <f t="shared" si="368"/>
        <v>0.99560351706831351</v>
      </c>
    </row>
    <row r="101" spans="1:193" s="37" customFormat="1" ht="15.6" hidden="1" customHeight="1" x14ac:dyDescent="0.25">
      <c r="B101" s="29"/>
      <c r="C101" s="30"/>
      <c r="D101" s="30">
        <v>1</v>
      </c>
      <c r="E101" s="493">
        <v>81</v>
      </c>
      <c r="F101" s="29"/>
      <c r="G101" s="30"/>
      <c r="H101" s="30">
        <v>1</v>
      </c>
      <c r="M101" s="493">
        <v>63</v>
      </c>
      <c r="N101" s="494" t="s">
        <v>104</v>
      </c>
      <c r="O101" s="494"/>
      <c r="P101" s="494">
        <f t="shared" si="388"/>
        <v>0</v>
      </c>
      <c r="Q101" s="494"/>
      <c r="R101" s="494"/>
      <c r="S101" s="494"/>
      <c r="T101" s="156"/>
      <c r="U101" s="493"/>
      <c r="V101" s="2">
        <f t="shared" si="369"/>
        <v>0</v>
      </c>
      <c r="W101" s="2"/>
      <c r="X101" s="198">
        <f t="shared" si="227"/>
        <v>0</v>
      </c>
      <c r="Y101" s="198"/>
      <c r="Z101" s="42">
        <f>1030.2-1030.2</f>
        <v>0</v>
      </c>
      <c r="AA101" s="2"/>
      <c r="AB101" s="567">
        <f t="shared" si="535"/>
        <v>0</v>
      </c>
      <c r="AC101" s="567"/>
      <c r="AD101" s="568">
        <f t="shared" si="229"/>
        <v>0</v>
      </c>
      <c r="AE101" s="568"/>
      <c r="AF101" s="569">
        <f>1030.2-1030.2</f>
        <v>0</v>
      </c>
      <c r="AG101" s="567"/>
      <c r="AH101" s="570"/>
      <c r="AI101" s="567">
        <f t="shared" si="536"/>
        <v>485.3</v>
      </c>
      <c r="AJ101" s="567"/>
      <c r="AK101" s="568">
        <v>485.3</v>
      </c>
      <c r="AL101" s="567"/>
      <c r="AM101" s="570"/>
      <c r="AN101" s="567">
        <f t="shared" si="537"/>
        <v>485.3</v>
      </c>
      <c r="AO101" s="567"/>
      <c r="AP101" s="568">
        <v>485.3</v>
      </c>
      <c r="AQ101" s="567"/>
      <c r="AR101" s="570"/>
      <c r="AS101" s="567">
        <f t="shared" si="538"/>
        <v>211</v>
      </c>
      <c r="AT101" s="567"/>
      <c r="AU101" s="568">
        <v>211</v>
      </c>
      <c r="AV101" s="567"/>
      <c r="AW101" s="570"/>
      <c r="AX101" s="409"/>
      <c r="AY101" s="567">
        <f t="shared" si="539"/>
        <v>0</v>
      </c>
      <c r="AZ101" s="567"/>
      <c r="BA101" s="568">
        <f t="shared" si="540"/>
        <v>0</v>
      </c>
      <c r="BB101" s="568"/>
      <c r="BC101" s="569"/>
      <c r="BD101" s="567"/>
      <c r="BE101" s="567"/>
      <c r="BF101" s="567">
        <f t="shared" si="370"/>
        <v>0</v>
      </c>
      <c r="BG101" s="567">
        <f t="shared" si="371"/>
        <v>0</v>
      </c>
      <c r="BH101" s="567">
        <f t="shared" si="372"/>
        <v>0</v>
      </c>
      <c r="BI101" s="567">
        <f t="shared" si="373"/>
        <v>0</v>
      </c>
      <c r="BJ101" s="567">
        <f t="shared" si="374"/>
        <v>0</v>
      </c>
      <c r="BK101" s="567">
        <f t="shared" si="375"/>
        <v>0</v>
      </c>
      <c r="BL101" s="567" t="e">
        <f>#REF!-BE101</f>
        <v>#REF!</v>
      </c>
      <c r="BM101" s="567">
        <f t="shared" si="541"/>
        <v>485.3</v>
      </c>
      <c r="BN101" s="567"/>
      <c r="BO101" s="568">
        <f>211+274.3</f>
        <v>485.3</v>
      </c>
      <c r="BP101" s="567"/>
      <c r="BQ101" s="567"/>
      <c r="BR101" s="567">
        <f t="shared" si="542"/>
        <v>0</v>
      </c>
      <c r="BS101" s="567"/>
      <c r="BT101" s="568"/>
      <c r="BU101" s="567"/>
      <c r="BV101" s="567"/>
      <c r="BW101" s="567">
        <f t="shared" si="543"/>
        <v>0</v>
      </c>
      <c r="BX101" s="567"/>
      <c r="BY101" s="568">
        <f t="shared" si="376"/>
        <v>0</v>
      </c>
      <c r="BZ101" s="571"/>
      <c r="CA101" s="571"/>
      <c r="CB101" s="567"/>
      <c r="CC101" s="567"/>
      <c r="CD101" s="567">
        <f t="shared" si="544"/>
        <v>0</v>
      </c>
      <c r="CE101" s="567"/>
      <c r="CF101" s="568">
        <f t="shared" si="377"/>
        <v>0</v>
      </c>
      <c r="CG101" s="571"/>
      <c r="CH101" s="571"/>
      <c r="CI101" s="567"/>
      <c r="CJ101" s="567"/>
      <c r="CK101" s="567">
        <f t="shared" si="545"/>
        <v>0</v>
      </c>
      <c r="CL101" s="567"/>
      <c r="CM101" s="567">
        <f t="shared" si="378"/>
        <v>0</v>
      </c>
      <c r="CN101" s="567"/>
      <c r="CO101" s="567"/>
      <c r="CP101" s="567"/>
      <c r="CQ101" s="567"/>
      <c r="CR101" s="573">
        <f t="shared" si="546"/>
        <v>0</v>
      </c>
      <c r="CS101" s="567">
        <f t="shared" si="379"/>
        <v>0</v>
      </c>
      <c r="CT101" s="567">
        <f t="shared" si="380"/>
        <v>0</v>
      </c>
      <c r="CU101" s="567">
        <f t="shared" si="381"/>
        <v>0</v>
      </c>
      <c r="CV101" s="567">
        <f t="shared" si="382"/>
        <v>0</v>
      </c>
      <c r="CW101" s="567">
        <f t="shared" si="547"/>
        <v>0</v>
      </c>
      <c r="CX101" s="567">
        <f t="shared" ca="1" si="477"/>
        <v>0</v>
      </c>
      <c r="CY101" s="567">
        <f t="shared" si="383"/>
        <v>0</v>
      </c>
      <c r="CZ101" s="567">
        <f t="shared" si="384"/>
        <v>0</v>
      </c>
      <c r="DA101" s="567">
        <f t="shared" si="385"/>
        <v>0</v>
      </c>
      <c r="DB101" s="2">
        <f t="shared" si="548"/>
        <v>0</v>
      </c>
      <c r="DC101" s="76"/>
      <c r="DD101" s="253"/>
      <c r="DE101" s="253"/>
      <c r="DF101" s="2">
        <f t="shared" si="549"/>
        <v>0</v>
      </c>
      <c r="DG101" s="2"/>
      <c r="DH101" s="198"/>
      <c r="DI101" s="2"/>
      <c r="DJ101" s="2"/>
      <c r="DK101" s="2">
        <f t="shared" si="550"/>
        <v>0</v>
      </c>
      <c r="DL101" s="2"/>
      <c r="DM101" s="198"/>
      <c r="DN101" s="2"/>
      <c r="DO101" s="2"/>
      <c r="DP101" s="2">
        <f t="shared" si="551"/>
        <v>0</v>
      </c>
      <c r="DQ101" s="2">
        <f t="shared" si="552"/>
        <v>0</v>
      </c>
      <c r="DR101" s="2">
        <f t="shared" si="552"/>
        <v>0</v>
      </c>
      <c r="DS101" s="2">
        <f t="shared" si="552"/>
        <v>0</v>
      </c>
      <c r="DT101" s="2">
        <f t="shared" si="552"/>
        <v>0</v>
      </c>
      <c r="DU101" s="2"/>
      <c r="DV101" s="2"/>
      <c r="DW101" s="2"/>
      <c r="DX101" s="2">
        <f t="shared" ca="1" si="553"/>
        <v>0</v>
      </c>
      <c r="DY101" s="46"/>
      <c r="DZ101" s="2">
        <f t="shared" si="554"/>
        <v>0</v>
      </c>
      <c r="EA101" s="2">
        <f t="shared" si="555"/>
        <v>0</v>
      </c>
      <c r="EB101" s="46"/>
      <c r="EC101" s="2"/>
      <c r="ED101" s="2"/>
      <c r="EE101" s="46"/>
      <c r="EF101" s="2"/>
      <c r="EG101" s="46"/>
      <c r="EH101" s="46"/>
      <c r="EI101" s="2">
        <f t="shared" si="357"/>
        <v>0</v>
      </c>
      <c r="EJ101" s="2"/>
      <c r="EK101" s="198">
        <f t="shared" si="386"/>
        <v>0</v>
      </c>
      <c r="EL101" s="446"/>
      <c r="EM101" s="446"/>
      <c r="EN101" s="2"/>
      <c r="EO101" s="2"/>
      <c r="EP101" s="2">
        <f t="shared" si="358"/>
        <v>0</v>
      </c>
      <c r="EQ101" s="2"/>
      <c r="ER101" s="2">
        <f t="shared" si="387"/>
        <v>0</v>
      </c>
      <c r="ES101" s="2"/>
      <c r="ET101" s="2"/>
      <c r="EU101" s="2"/>
      <c r="EV101" s="141"/>
      <c r="EW101" s="310"/>
      <c r="EX101" s="310"/>
      <c r="EY101" s="310"/>
      <c r="EZ101" s="396"/>
      <c r="FA101" s="396"/>
      <c r="FB101" s="310"/>
      <c r="FC101" s="310"/>
      <c r="FD101" s="310"/>
      <c r="FE101" s="396"/>
      <c r="FF101" s="396"/>
      <c r="FG101" s="396"/>
      <c r="FH101" s="311"/>
      <c r="FI101" s="310"/>
      <c r="FJ101" s="296" t="e">
        <f t="shared" si="556"/>
        <v>#DIV/0!</v>
      </c>
      <c r="FK101" s="353">
        <f t="shared" si="389"/>
        <v>0</v>
      </c>
      <c r="FL101" s="353">
        <f t="shared" si="564"/>
        <v>0</v>
      </c>
      <c r="FM101" s="353"/>
      <c r="FN101" s="388"/>
      <c r="FO101" s="388"/>
      <c r="FP101" s="353">
        <f t="shared" si="390"/>
        <v>0</v>
      </c>
      <c r="FQ101" s="353">
        <f t="shared" si="559"/>
        <v>0</v>
      </c>
      <c r="FR101" s="353">
        <f t="shared" si="560"/>
        <v>0</v>
      </c>
      <c r="FS101" s="388"/>
      <c r="FT101" s="388"/>
      <c r="FU101" s="388"/>
      <c r="FV101" s="353">
        <f t="shared" si="563"/>
        <v>0</v>
      </c>
      <c r="FW101" s="353">
        <f t="shared" si="391"/>
        <v>0</v>
      </c>
      <c r="FX101" s="310"/>
      <c r="FY101" s="310"/>
      <c r="FZ101" s="310"/>
      <c r="GA101" s="396"/>
      <c r="GB101" s="396"/>
      <c r="GC101" s="310"/>
      <c r="GD101" s="310"/>
      <c r="GE101" s="310"/>
      <c r="GF101" s="396"/>
      <c r="GG101" s="396"/>
      <c r="GH101" s="396"/>
      <c r="GI101" s="311"/>
      <c r="GJ101" s="344"/>
      <c r="GK101" s="303" t="e">
        <f t="shared" si="368"/>
        <v>#DIV/0!</v>
      </c>
    </row>
    <row r="102" spans="1:193" s="37" customFormat="1" ht="15.6" customHeight="1" x14ac:dyDescent="0.25">
      <c r="B102" s="29"/>
      <c r="C102" s="30">
        <v>1</v>
      </c>
      <c r="D102" s="30"/>
      <c r="E102" s="493">
        <v>82</v>
      </c>
      <c r="F102" s="29"/>
      <c r="G102" s="30"/>
      <c r="H102" s="30">
        <v>1</v>
      </c>
      <c r="M102" s="493">
        <v>64</v>
      </c>
      <c r="N102" s="494" t="s">
        <v>176</v>
      </c>
      <c r="O102" s="494"/>
      <c r="P102" s="469">
        <f t="shared" si="388"/>
        <v>0</v>
      </c>
      <c r="Q102" s="494" t="s">
        <v>706</v>
      </c>
      <c r="R102" s="494" t="s">
        <v>699</v>
      </c>
      <c r="S102" s="494" t="s">
        <v>639</v>
      </c>
      <c r="T102" s="156">
        <v>2</v>
      </c>
      <c r="U102" s="493"/>
      <c r="V102" s="2">
        <f t="shared" si="369"/>
        <v>17028.3</v>
      </c>
      <c r="W102" s="2"/>
      <c r="X102" s="198">
        <f t="shared" si="227"/>
        <v>17028.3</v>
      </c>
      <c r="Y102" s="198">
        <v>5910.7</v>
      </c>
      <c r="Z102" s="42">
        <v>11117.6</v>
      </c>
      <c r="AA102" s="2"/>
      <c r="AB102" s="567">
        <f t="shared" si="535"/>
        <v>17028.3</v>
      </c>
      <c r="AC102" s="567"/>
      <c r="AD102" s="568">
        <f t="shared" si="229"/>
        <v>17028.3</v>
      </c>
      <c r="AE102" s="568">
        <v>5910.7</v>
      </c>
      <c r="AF102" s="569">
        <v>11117.6</v>
      </c>
      <c r="AG102" s="567"/>
      <c r="AH102" s="570"/>
      <c r="AI102" s="567">
        <f t="shared" si="536"/>
        <v>5543</v>
      </c>
      <c r="AJ102" s="567"/>
      <c r="AK102" s="568">
        <v>5543</v>
      </c>
      <c r="AL102" s="567"/>
      <c r="AM102" s="570"/>
      <c r="AN102" s="567">
        <f t="shared" si="537"/>
        <v>5543</v>
      </c>
      <c r="AO102" s="567"/>
      <c r="AP102" s="568">
        <v>5543</v>
      </c>
      <c r="AQ102" s="567"/>
      <c r="AR102" s="570"/>
      <c r="AS102" s="567">
        <f t="shared" si="538"/>
        <v>2410</v>
      </c>
      <c r="AT102" s="567"/>
      <c r="AU102" s="568">
        <v>2410</v>
      </c>
      <c r="AV102" s="567"/>
      <c r="AW102" s="570"/>
      <c r="AX102" s="409" t="s">
        <v>488</v>
      </c>
      <c r="AY102" s="567">
        <f t="shared" si="539"/>
        <v>17028.3</v>
      </c>
      <c r="AZ102" s="567"/>
      <c r="BA102" s="568">
        <f t="shared" si="540"/>
        <v>17028.3</v>
      </c>
      <c r="BB102" s="568">
        <v>5910.7</v>
      </c>
      <c r="BC102" s="569">
        <v>11117.6</v>
      </c>
      <c r="BD102" s="567"/>
      <c r="BE102" s="567"/>
      <c r="BF102" s="567">
        <f t="shared" si="370"/>
        <v>0</v>
      </c>
      <c r="BG102" s="567">
        <f t="shared" si="371"/>
        <v>0</v>
      </c>
      <c r="BH102" s="567">
        <f t="shared" si="372"/>
        <v>0</v>
      </c>
      <c r="BI102" s="567">
        <f t="shared" si="373"/>
        <v>0</v>
      </c>
      <c r="BJ102" s="567">
        <f t="shared" si="374"/>
        <v>0</v>
      </c>
      <c r="BK102" s="567">
        <f t="shared" si="375"/>
        <v>0</v>
      </c>
      <c r="BL102" s="567" t="e">
        <f>#REF!-BE102</f>
        <v>#REF!</v>
      </c>
      <c r="BM102" s="567">
        <f t="shared" si="541"/>
        <v>5543</v>
      </c>
      <c r="BN102" s="567"/>
      <c r="BO102" s="568">
        <v>5543</v>
      </c>
      <c r="BP102" s="567"/>
      <c r="BQ102" s="567"/>
      <c r="BR102" s="567">
        <f t="shared" si="542"/>
        <v>0</v>
      </c>
      <c r="BS102" s="567"/>
      <c r="BT102" s="567"/>
      <c r="BU102" s="567"/>
      <c r="BV102" s="567"/>
      <c r="BW102" s="567">
        <f t="shared" si="543"/>
        <v>16827.208180000001</v>
      </c>
      <c r="BX102" s="567"/>
      <c r="BY102" s="568">
        <f t="shared" si="376"/>
        <v>16827.208180000001</v>
      </c>
      <c r="BZ102" s="571">
        <f>5083.76277+669.87325</f>
        <v>5753.6360199999999</v>
      </c>
      <c r="CA102" s="571">
        <f>2312.03366+3766.57878+2649.7002+2345.25952</f>
        <v>11073.57216</v>
      </c>
      <c r="CB102" s="567"/>
      <c r="CC102" s="567"/>
      <c r="CD102" s="567">
        <f t="shared" si="544"/>
        <v>16827.208180000001</v>
      </c>
      <c r="CE102" s="567"/>
      <c r="CF102" s="568">
        <f t="shared" si="377"/>
        <v>16827.208180000001</v>
      </c>
      <c r="CG102" s="571">
        <f>5083.76277+669.87325</f>
        <v>5753.6360199999999</v>
      </c>
      <c r="CH102" s="571">
        <f>2312.03366+3766.57878+2649.7002+2345.25952</f>
        <v>11073.57216</v>
      </c>
      <c r="CI102" s="567"/>
      <c r="CJ102" s="567"/>
      <c r="CK102" s="567">
        <f t="shared" si="545"/>
        <v>2719.8061600000001</v>
      </c>
      <c r="CL102" s="567"/>
      <c r="CM102" s="567">
        <v>2719.8061600000001</v>
      </c>
      <c r="CN102" s="567"/>
      <c r="CO102" s="567"/>
      <c r="CP102" s="567"/>
      <c r="CQ102" s="567"/>
      <c r="CR102" s="573">
        <f t="shared" si="546"/>
        <v>19547.014340000002</v>
      </c>
      <c r="CS102" s="567">
        <f t="shared" si="379"/>
        <v>19547.014340000002</v>
      </c>
      <c r="CT102" s="567">
        <f t="shared" si="380"/>
        <v>0</v>
      </c>
      <c r="CU102" s="567">
        <f t="shared" si="381"/>
        <v>19547.014340000002</v>
      </c>
      <c r="CV102" s="567">
        <f t="shared" si="382"/>
        <v>0</v>
      </c>
      <c r="CW102" s="567">
        <f t="shared" si="547"/>
        <v>0</v>
      </c>
      <c r="CX102" s="567">
        <f t="shared" ca="1" si="477"/>
        <v>0</v>
      </c>
      <c r="CY102" s="567">
        <f t="shared" si="383"/>
        <v>0</v>
      </c>
      <c r="CZ102" s="567">
        <f t="shared" si="384"/>
        <v>0</v>
      </c>
      <c r="DA102" s="567">
        <f t="shared" si="385"/>
        <v>0</v>
      </c>
      <c r="DB102" s="2">
        <f t="shared" si="548"/>
        <v>0</v>
      </c>
      <c r="DC102" s="76"/>
      <c r="DD102" s="545">
        <f>BM102+BM103+BM104+BM107+BM112+BM115</f>
        <v>103961.78241000001</v>
      </c>
      <c r="DE102" s="545">
        <f>DD102-BR112</f>
        <v>103961.78241000001</v>
      </c>
      <c r="DF102" s="2">
        <f t="shared" si="549"/>
        <v>0</v>
      </c>
      <c r="DG102" s="2"/>
      <c r="DH102" s="2"/>
      <c r="DI102" s="2"/>
      <c r="DJ102" s="2"/>
      <c r="DK102" s="2">
        <f t="shared" si="550"/>
        <v>0</v>
      </c>
      <c r="DL102" s="2"/>
      <c r="DM102" s="2"/>
      <c r="DN102" s="2"/>
      <c r="DO102" s="2"/>
      <c r="DP102" s="2">
        <f t="shared" si="551"/>
        <v>0</v>
      </c>
      <c r="DQ102" s="2">
        <f t="shared" si="552"/>
        <v>0</v>
      </c>
      <c r="DR102" s="2">
        <f t="shared" si="552"/>
        <v>0</v>
      </c>
      <c r="DS102" s="2">
        <f t="shared" si="552"/>
        <v>0</v>
      </c>
      <c r="DT102" s="2">
        <f t="shared" si="552"/>
        <v>0</v>
      </c>
      <c r="DU102" s="2"/>
      <c r="DV102" s="2"/>
      <c r="DW102" s="2"/>
      <c r="DX102" s="2">
        <f t="shared" ca="1" si="553"/>
        <v>0</v>
      </c>
      <c r="DY102" s="46"/>
      <c r="DZ102" s="2">
        <f t="shared" si="554"/>
        <v>16827.208180000001</v>
      </c>
      <c r="EA102" s="2">
        <f t="shared" si="555"/>
        <v>16827.208180000001</v>
      </c>
      <c r="EB102" s="46"/>
      <c r="EC102" s="546">
        <f>EA102+EA103+EA104+EA107+EA112+EA115</f>
        <v>51271.426629999994</v>
      </c>
      <c r="ED102" s="546">
        <f ca="1">DX102+DX103+DX104+DX107+DX112+DX115</f>
        <v>0</v>
      </c>
      <c r="EE102" s="46"/>
      <c r="EF102" s="2">
        <f>DE102-EC102</f>
        <v>52690.35578000002</v>
      </c>
      <c r="EG102" s="46"/>
      <c r="EH102" s="46"/>
      <c r="EI102" s="2">
        <f t="shared" si="357"/>
        <v>16827.208180000001</v>
      </c>
      <c r="EJ102" s="2"/>
      <c r="EK102" s="198">
        <f t="shared" si="386"/>
        <v>16827.208180000001</v>
      </c>
      <c r="EL102" s="446">
        <f>5083.76277+669.87325</f>
        <v>5753.6360199999999</v>
      </c>
      <c r="EM102" s="446">
        <f>2312.03366+3766.57878+2649.7002+2345.25952</f>
        <v>11073.57216</v>
      </c>
      <c r="EN102" s="2"/>
      <c r="EO102" s="2"/>
      <c r="EP102" s="2">
        <f t="shared" si="358"/>
        <v>2719.8061600000001</v>
      </c>
      <c r="EQ102" s="2"/>
      <c r="ER102" s="2">
        <v>2719.8061600000001</v>
      </c>
      <c r="ES102" s="2">
        <f>668.07353+88.03019</f>
        <v>756.10372000000007</v>
      </c>
      <c r="ET102" s="2">
        <f>409.99834+667.93622+469.87753+415.89035</f>
        <v>1963.70244</v>
      </c>
      <c r="EU102" s="2"/>
      <c r="EV102" s="141"/>
      <c r="EW102" s="385"/>
      <c r="EX102" s="385"/>
      <c r="EY102" s="310"/>
      <c r="EZ102" s="396"/>
      <c r="FA102" s="396"/>
      <c r="FB102" s="310"/>
      <c r="FC102" s="310"/>
      <c r="FD102" s="310"/>
      <c r="FE102" s="396"/>
      <c r="FF102" s="396"/>
      <c r="FG102" s="396"/>
      <c r="FH102" s="311"/>
      <c r="FI102" s="310"/>
      <c r="FJ102" s="296" t="e">
        <f t="shared" si="556"/>
        <v>#DIV/0!</v>
      </c>
      <c r="FK102" s="353">
        <f t="shared" si="389"/>
        <v>17028.3</v>
      </c>
      <c r="FL102" s="353">
        <f t="shared" si="564"/>
        <v>17028.3</v>
      </c>
      <c r="FM102" s="353"/>
      <c r="FN102" s="388">
        <f t="shared" si="557"/>
        <v>1</v>
      </c>
      <c r="FO102" s="388">
        <f t="shared" si="558"/>
        <v>0</v>
      </c>
      <c r="FP102" s="353">
        <f t="shared" si="390"/>
        <v>19547.014340000002</v>
      </c>
      <c r="FQ102" s="353">
        <f t="shared" si="559"/>
        <v>16827.208180000001</v>
      </c>
      <c r="FR102" s="353">
        <f t="shared" si="560"/>
        <v>2719.8061600000001</v>
      </c>
      <c r="FS102" s="388">
        <f t="shared" si="561"/>
        <v>0.86085823068977196</v>
      </c>
      <c r="FT102" s="388">
        <f t="shared" si="562"/>
        <v>0.13914176931022806</v>
      </c>
      <c r="FU102" s="388"/>
      <c r="FV102" s="353">
        <f t="shared" si="563"/>
        <v>19547.014340000002</v>
      </c>
      <c r="FW102" s="353">
        <f t="shared" si="391"/>
        <v>-2719.8061600000001</v>
      </c>
      <c r="FX102" s="310">
        <f t="shared" ref="FX102" si="575">FY102+FZ102</f>
        <v>0</v>
      </c>
      <c r="FY102" s="310">
        <f>BD102</f>
        <v>0</v>
      </c>
      <c r="FZ102" s="310"/>
      <c r="GA102" s="396" t="e">
        <f t="shared" ref="GA102" si="576">FY102/FX102</f>
        <v>#DIV/0!</v>
      </c>
      <c r="GB102" s="396" t="e">
        <f t="shared" ref="GB102" si="577">FZ102/FX102</f>
        <v>#DIV/0!</v>
      </c>
      <c r="GC102" s="310">
        <f t="shared" ref="GC102" si="578">GD102+GE102</f>
        <v>0</v>
      </c>
      <c r="GD102" s="310">
        <f t="shared" ref="GD102" si="579">EN102</f>
        <v>0</v>
      </c>
      <c r="GE102" s="310">
        <f t="shared" ref="GE102" si="580">EU102</f>
        <v>0</v>
      </c>
      <c r="GF102" s="396" t="e">
        <f t="shared" ref="GF102" si="581">GD102/GC102</f>
        <v>#DIV/0!</v>
      </c>
      <c r="GG102" s="396" t="e">
        <f t="shared" ref="GG102" si="582">GE102/GC102</f>
        <v>#DIV/0!</v>
      </c>
      <c r="GH102" s="396"/>
      <c r="GI102" s="311" t="e">
        <f t="shared" ref="GI102" si="583">GC102*GA102</f>
        <v>#DIV/0!</v>
      </c>
      <c r="GJ102" s="344" t="e">
        <f t="shared" ref="GJ102" si="584">GD102-GI102</f>
        <v>#DIV/0!</v>
      </c>
      <c r="GK102" s="303">
        <f t="shared" si="368"/>
        <v>0.9881907283757041</v>
      </c>
    </row>
    <row r="103" spans="1:193" s="37" customFormat="1" ht="15.6" customHeight="1" x14ac:dyDescent="0.25">
      <c r="B103" s="29"/>
      <c r="C103" s="30">
        <v>1</v>
      </c>
      <c r="D103" s="30"/>
      <c r="E103" s="493">
        <v>83</v>
      </c>
      <c r="F103" s="29"/>
      <c r="G103" s="30">
        <v>1</v>
      </c>
      <c r="H103" s="30">
        <v>1</v>
      </c>
      <c r="M103" s="493">
        <v>65</v>
      </c>
      <c r="N103" s="494" t="s">
        <v>32</v>
      </c>
      <c r="O103" s="494" t="s">
        <v>340</v>
      </c>
      <c r="P103" s="494">
        <f t="shared" si="388"/>
        <v>0</v>
      </c>
      <c r="Q103" s="494" t="s">
        <v>706</v>
      </c>
      <c r="R103" s="494" t="s">
        <v>699</v>
      </c>
      <c r="S103" s="494" t="s">
        <v>640</v>
      </c>
      <c r="T103" s="156">
        <v>2</v>
      </c>
      <c r="U103" s="493">
        <v>1</v>
      </c>
      <c r="V103" s="2">
        <f t="shared" si="369"/>
        <v>24389.082999999999</v>
      </c>
      <c r="W103" s="2">
        <v>11937.583000000001</v>
      </c>
      <c r="X103" s="198">
        <f t="shared" si="227"/>
        <v>12451.5</v>
      </c>
      <c r="Y103" s="198">
        <v>3184.6</v>
      </c>
      <c r="Z103" s="42">
        <v>9266.9</v>
      </c>
      <c r="AA103" s="2"/>
      <c r="AB103" s="567">
        <f t="shared" si="535"/>
        <v>24389.082999999999</v>
      </c>
      <c r="AC103" s="567">
        <v>11937.583000000001</v>
      </c>
      <c r="AD103" s="568">
        <f t="shared" si="229"/>
        <v>12451.5</v>
      </c>
      <c r="AE103" s="568">
        <v>3184.6</v>
      </c>
      <c r="AF103" s="569">
        <v>9266.9</v>
      </c>
      <c r="AG103" s="567"/>
      <c r="AH103" s="570"/>
      <c r="AI103" s="567">
        <f t="shared" si="536"/>
        <v>110702.06200000001</v>
      </c>
      <c r="AJ103" s="567">
        <v>38756</v>
      </c>
      <c r="AK103" s="568">
        <v>5901.8</v>
      </c>
      <c r="AL103" s="567">
        <v>66044.262000000002</v>
      </c>
      <c r="AM103" s="570"/>
      <c r="AN103" s="567">
        <f t="shared" si="537"/>
        <v>96434.686000000002</v>
      </c>
      <c r="AO103" s="567">
        <v>38756</v>
      </c>
      <c r="AP103" s="568">
        <v>5901.8</v>
      </c>
      <c r="AQ103" s="567">
        <v>51776.885999999999</v>
      </c>
      <c r="AR103" s="570"/>
      <c r="AS103" s="567">
        <f t="shared" si="538"/>
        <v>91915.885999999999</v>
      </c>
      <c r="AT103" s="567">
        <v>38756</v>
      </c>
      <c r="AU103" s="568">
        <v>1383</v>
      </c>
      <c r="AV103" s="567">
        <v>51776.885999999999</v>
      </c>
      <c r="AW103" s="570"/>
      <c r="AX103" s="409" t="s">
        <v>707</v>
      </c>
      <c r="AY103" s="567">
        <f t="shared" si="539"/>
        <v>24389.082999999999</v>
      </c>
      <c r="AZ103" s="567">
        <v>11937.583000000001</v>
      </c>
      <c r="BA103" s="568">
        <f t="shared" si="540"/>
        <v>12451.5</v>
      </c>
      <c r="BB103" s="568">
        <v>3184.6</v>
      </c>
      <c r="BC103" s="569">
        <v>9266.9</v>
      </c>
      <c r="BD103" s="567"/>
      <c r="BE103" s="570"/>
      <c r="BF103" s="567">
        <f t="shared" si="370"/>
        <v>0</v>
      </c>
      <c r="BG103" s="567">
        <f t="shared" si="371"/>
        <v>0</v>
      </c>
      <c r="BH103" s="567">
        <f t="shared" si="372"/>
        <v>0</v>
      </c>
      <c r="BI103" s="567">
        <f t="shared" si="373"/>
        <v>0</v>
      </c>
      <c r="BJ103" s="567">
        <f t="shared" si="374"/>
        <v>0</v>
      </c>
      <c r="BK103" s="567">
        <f t="shared" si="375"/>
        <v>0</v>
      </c>
      <c r="BL103" s="567" t="e">
        <f>#REF!-BE103</f>
        <v>#REF!</v>
      </c>
      <c r="BM103" s="567">
        <f t="shared" si="541"/>
        <v>94860.682410000009</v>
      </c>
      <c r="BN103" s="567">
        <f>6694.64351+2772.73603+8547.91635+5668.56052</f>
        <v>23683.85641</v>
      </c>
      <c r="BO103" s="568">
        <f>1383+3749.564</f>
        <v>5132.5640000000003</v>
      </c>
      <c r="BP103" s="567">
        <f>51776.886+14267.376</f>
        <v>66044.262000000002</v>
      </c>
      <c r="BQ103" s="570"/>
      <c r="BR103" s="567">
        <f t="shared" si="542"/>
        <v>0</v>
      </c>
      <c r="BS103" s="567"/>
      <c r="BT103" s="568"/>
      <c r="BU103" s="567"/>
      <c r="BV103" s="570"/>
      <c r="BW103" s="567">
        <f t="shared" si="543"/>
        <v>23498.338739999999</v>
      </c>
      <c r="BX103" s="567">
        <v>11937.583000000001</v>
      </c>
      <c r="BY103" s="568">
        <f t="shared" si="376"/>
        <v>11560.755740000001</v>
      </c>
      <c r="BZ103" s="571">
        <f>9.04108+2650.09984</f>
        <v>2659.1409199999998</v>
      </c>
      <c r="CA103" s="571">
        <v>8901.6148200000007</v>
      </c>
      <c r="CB103" s="567"/>
      <c r="CC103" s="577"/>
      <c r="CD103" s="567">
        <f t="shared" si="544"/>
        <v>23498.338739999999</v>
      </c>
      <c r="CE103" s="567">
        <v>11937.583000000001</v>
      </c>
      <c r="CF103" s="568">
        <f t="shared" si="377"/>
        <v>11560.755740000001</v>
      </c>
      <c r="CG103" s="571">
        <f>9.04108+2650.09984</f>
        <v>2659.1409199999998</v>
      </c>
      <c r="CH103" s="571">
        <v>8901.6148200000007</v>
      </c>
      <c r="CI103" s="567"/>
      <c r="CJ103" s="577"/>
      <c r="CK103" s="567">
        <f t="shared" si="545"/>
        <v>7357.5255000000006</v>
      </c>
      <c r="CL103" s="567">
        <v>308.60421000000002</v>
      </c>
      <c r="CM103" s="567">
        <v>7048.9212900000002</v>
      </c>
      <c r="CN103" s="567"/>
      <c r="CO103" s="567">
        <v>4035.2251799999999</v>
      </c>
      <c r="CP103" s="567"/>
      <c r="CQ103" s="567"/>
      <c r="CR103" s="573">
        <f t="shared" si="546"/>
        <v>30855.864239999999</v>
      </c>
      <c r="CS103" s="567">
        <f t="shared" si="379"/>
        <v>30855.864239999999</v>
      </c>
      <c r="CT103" s="567">
        <f t="shared" si="380"/>
        <v>12246.18721</v>
      </c>
      <c r="CU103" s="567">
        <f t="shared" si="381"/>
        <v>18609.677029999999</v>
      </c>
      <c r="CV103" s="567">
        <f t="shared" si="382"/>
        <v>0</v>
      </c>
      <c r="CW103" s="567">
        <f t="shared" si="547"/>
        <v>0</v>
      </c>
      <c r="CX103" s="567">
        <f t="shared" ca="1" si="477"/>
        <v>0</v>
      </c>
      <c r="CY103" s="567">
        <f t="shared" si="383"/>
        <v>0</v>
      </c>
      <c r="CZ103" s="567">
        <f t="shared" si="384"/>
        <v>0</v>
      </c>
      <c r="DA103" s="567">
        <f t="shared" si="385"/>
        <v>0</v>
      </c>
      <c r="DB103" s="2">
        <f t="shared" si="548"/>
        <v>0</v>
      </c>
      <c r="DC103" s="76"/>
      <c r="DD103" s="253"/>
      <c r="DE103" s="253"/>
      <c r="DF103" s="2">
        <f t="shared" si="549"/>
        <v>0</v>
      </c>
      <c r="DG103" s="2"/>
      <c r="DH103" s="198"/>
      <c r="DI103" s="2"/>
      <c r="DJ103" s="234"/>
      <c r="DK103" s="2">
        <f t="shared" si="550"/>
        <v>0</v>
      </c>
      <c r="DL103" s="2"/>
      <c r="DM103" s="198"/>
      <c r="DN103" s="2"/>
      <c r="DO103" s="234"/>
      <c r="DP103" s="2">
        <f t="shared" si="551"/>
        <v>0</v>
      </c>
      <c r="DQ103" s="2">
        <f t="shared" si="552"/>
        <v>0</v>
      </c>
      <c r="DR103" s="2">
        <f t="shared" si="552"/>
        <v>0</v>
      </c>
      <c r="DS103" s="2">
        <f t="shared" si="552"/>
        <v>0</v>
      </c>
      <c r="DT103" s="2">
        <f t="shared" si="552"/>
        <v>0</v>
      </c>
      <c r="DU103" s="2"/>
      <c r="DV103" s="2"/>
      <c r="DW103" s="2"/>
      <c r="DX103" s="2">
        <f t="shared" ca="1" si="553"/>
        <v>0</v>
      </c>
      <c r="DY103" s="46"/>
      <c r="DZ103" s="2">
        <f t="shared" si="554"/>
        <v>23498.338739999999</v>
      </c>
      <c r="EA103" s="2">
        <f t="shared" si="555"/>
        <v>23498.338739999999</v>
      </c>
      <c r="EB103" s="46"/>
      <c r="EC103" s="2"/>
      <c r="ED103" s="2"/>
      <c r="EE103" s="46"/>
      <c r="EF103" s="2"/>
      <c r="EG103" s="46"/>
      <c r="EH103" s="46"/>
      <c r="EI103" s="2">
        <f t="shared" si="357"/>
        <v>23498.338739999999</v>
      </c>
      <c r="EJ103" s="2">
        <v>11937.583000000001</v>
      </c>
      <c r="EK103" s="198">
        <f t="shared" si="386"/>
        <v>11560.755740000001</v>
      </c>
      <c r="EL103" s="446">
        <f>9.04108+2650.09984</f>
        <v>2659.1409199999998</v>
      </c>
      <c r="EM103" s="446">
        <v>8901.6148200000007</v>
      </c>
      <c r="EN103" s="2"/>
      <c r="EO103" s="236"/>
      <c r="EP103" s="2">
        <f t="shared" si="358"/>
        <v>7357.5255000000006</v>
      </c>
      <c r="EQ103" s="2">
        <v>308.60421000000002</v>
      </c>
      <c r="ER103" s="2">
        <v>7048.9212900000002</v>
      </c>
      <c r="ES103" s="2">
        <f>10.24657+3003.44954</f>
        <v>3013.6961099999999</v>
      </c>
      <c r="ET103" s="2">
        <v>4035.2251799999999</v>
      </c>
      <c r="EU103" s="2"/>
      <c r="EV103" s="141"/>
      <c r="EW103" s="310">
        <f t="shared" ref="EW103:EW111" si="585">EX103+EY103</f>
        <v>11937.583000000001</v>
      </c>
      <c r="EX103" s="310">
        <f>AZ103</f>
        <v>11937.583000000001</v>
      </c>
      <c r="EY103" s="310"/>
      <c r="EZ103" s="396">
        <f t="shared" ref="EZ103:EZ111" si="586">EX103/EW103</f>
        <v>1</v>
      </c>
      <c r="FA103" s="396">
        <f t="shared" ref="FA103:FA111" si="587">EY103/EW103</f>
        <v>0</v>
      </c>
      <c r="FB103" s="310">
        <f t="shared" si="425"/>
        <v>12246.18721</v>
      </c>
      <c r="FC103" s="310">
        <f t="shared" si="457"/>
        <v>11937.583000000001</v>
      </c>
      <c r="FD103" s="310">
        <f t="shared" si="458"/>
        <v>308.60421000000002</v>
      </c>
      <c r="FE103" s="396">
        <f t="shared" ref="FE103" si="588">FC103/FB103</f>
        <v>0.97479997613069325</v>
      </c>
      <c r="FF103" s="396">
        <f t="shared" ref="FF103" si="589">FD103/FB103</f>
        <v>2.520002386930683E-2</v>
      </c>
      <c r="FG103" s="396"/>
      <c r="FH103" s="310">
        <f>FB103*EZ103</f>
        <v>12246.18721</v>
      </c>
      <c r="FI103" s="552">
        <f>FC103-FH103</f>
        <v>-308.60420999999951</v>
      </c>
      <c r="FJ103" s="296">
        <f t="shared" si="556"/>
        <v>12562.769296126995</v>
      </c>
      <c r="FK103" s="353">
        <f t="shared" si="389"/>
        <v>12451.5</v>
      </c>
      <c r="FL103" s="353">
        <f t="shared" si="564"/>
        <v>12451.5</v>
      </c>
      <c r="FM103" s="353"/>
      <c r="FN103" s="388">
        <f t="shared" si="557"/>
        <v>1</v>
      </c>
      <c r="FO103" s="388">
        <f t="shared" si="558"/>
        <v>0</v>
      </c>
      <c r="FP103" s="353">
        <f t="shared" si="390"/>
        <v>18609.677029999999</v>
      </c>
      <c r="FQ103" s="353">
        <f t="shared" si="559"/>
        <v>11560.755740000001</v>
      </c>
      <c r="FR103" s="353">
        <f t="shared" si="560"/>
        <v>7048.9212900000002</v>
      </c>
      <c r="FS103" s="388">
        <f t="shared" si="561"/>
        <v>0.62122280367162297</v>
      </c>
      <c r="FT103" s="388">
        <f t="shared" si="562"/>
        <v>0.37877719632837714</v>
      </c>
      <c r="FU103" s="388"/>
      <c r="FV103" s="353">
        <f t="shared" si="563"/>
        <v>18609.677029999999</v>
      </c>
      <c r="FW103" s="353">
        <f t="shared" si="391"/>
        <v>-7048.9212899999984</v>
      </c>
      <c r="FX103" s="310">
        <f t="shared" ref="FX103" si="590">FY103+FZ103</f>
        <v>0</v>
      </c>
      <c r="FY103" s="310">
        <f>BD103</f>
        <v>0</v>
      </c>
      <c r="FZ103" s="310"/>
      <c r="GA103" s="396" t="e">
        <f t="shared" ref="GA103" si="591">FY103/FX103</f>
        <v>#DIV/0!</v>
      </c>
      <c r="GB103" s="396" t="e">
        <f t="shared" ref="GB103" si="592">FZ103/FX103</f>
        <v>#DIV/0!</v>
      </c>
      <c r="GC103" s="310">
        <f t="shared" ref="GC103" si="593">GD103+GE103</f>
        <v>0</v>
      </c>
      <c r="GD103" s="310">
        <f t="shared" ref="GD103" si="594">EN103</f>
        <v>0</v>
      </c>
      <c r="GE103" s="310">
        <f t="shared" ref="GE103" si="595">EU103</f>
        <v>0</v>
      </c>
      <c r="GF103" s="396" t="e">
        <f t="shared" ref="GF103" si="596">GD103/GC103</f>
        <v>#DIV/0!</v>
      </c>
      <c r="GG103" s="396" t="e">
        <f t="shared" ref="GG103" si="597">GE103/GC103</f>
        <v>#DIV/0!</v>
      </c>
      <c r="GH103" s="396"/>
      <c r="GI103" s="311" t="e">
        <f t="shared" ref="GI103" si="598">GC103*GA103</f>
        <v>#DIV/0!</v>
      </c>
      <c r="GJ103" s="344" t="e">
        <f t="shared" ref="GJ103" si="599">GD103-GI103</f>
        <v>#DIV/0!</v>
      </c>
      <c r="GK103" s="303">
        <f t="shared" si="368"/>
        <v>0.96347774699032351</v>
      </c>
    </row>
    <row r="104" spans="1:193" s="37" customFormat="1" ht="15.6" customHeight="1" x14ac:dyDescent="0.25">
      <c r="B104" s="29"/>
      <c r="C104" s="30">
        <v>1</v>
      </c>
      <c r="D104" s="30"/>
      <c r="E104" s="493">
        <v>84</v>
      </c>
      <c r="F104" s="29"/>
      <c r="G104" s="30">
        <v>1</v>
      </c>
      <c r="H104" s="30">
        <v>1</v>
      </c>
      <c r="I104" s="493"/>
      <c r="J104" s="494"/>
      <c r="K104" s="494"/>
      <c r="L104" s="53"/>
      <c r="M104" s="493">
        <v>66</v>
      </c>
      <c r="N104" s="494" t="s">
        <v>48</v>
      </c>
      <c r="O104" s="494"/>
      <c r="P104" s="494">
        <f t="shared" si="388"/>
        <v>0</v>
      </c>
      <c r="Q104" s="494" t="s">
        <v>701</v>
      </c>
      <c r="R104" s="494" t="s">
        <v>699</v>
      </c>
      <c r="S104" s="494">
        <v>225</v>
      </c>
      <c r="T104" s="156">
        <v>1</v>
      </c>
      <c r="U104" s="493">
        <v>1</v>
      </c>
      <c r="V104" s="2">
        <f t="shared" si="369"/>
        <v>1284.5</v>
      </c>
      <c r="W104" s="2"/>
      <c r="X104" s="198">
        <f t="shared" si="227"/>
        <v>1284.5</v>
      </c>
      <c r="Y104" s="198"/>
      <c r="Z104" s="42">
        <v>1284.5</v>
      </c>
      <c r="AA104" s="2"/>
      <c r="AB104" s="567">
        <f t="shared" si="535"/>
        <v>1284.5</v>
      </c>
      <c r="AC104" s="567"/>
      <c r="AD104" s="568">
        <f t="shared" si="229"/>
        <v>1284.5</v>
      </c>
      <c r="AE104" s="568"/>
      <c r="AF104" s="569">
        <v>1284.5</v>
      </c>
      <c r="AG104" s="567"/>
      <c r="AH104" s="570"/>
      <c r="AI104" s="567">
        <f t="shared" si="536"/>
        <v>595.70000000000005</v>
      </c>
      <c r="AJ104" s="567"/>
      <c r="AK104" s="568">
        <v>595.70000000000005</v>
      </c>
      <c r="AL104" s="567"/>
      <c r="AM104" s="570"/>
      <c r="AN104" s="567">
        <f t="shared" si="537"/>
        <v>595.70000000000005</v>
      </c>
      <c r="AO104" s="567"/>
      <c r="AP104" s="568">
        <v>595.70000000000005</v>
      </c>
      <c r="AQ104" s="567"/>
      <c r="AR104" s="570"/>
      <c r="AS104" s="567">
        <f t="shared" si="538"/>
        <v>259</v>
      </c>
      <c r="AT104" s="567"/>
      <c r="AU104" s="568">
        <v>259</v>
      </c>
      <c r="AV104" s="567"/>
      <c r="AW104" s="570"/>
      <c r="AX104" s="409" t="s">
        <v>682</v>
      </c>
      <c r="AY104" s="567">
        <f t="shared" si="539"/>
        <v>1284.5</v>
      </c>
      <c r="AZ104" s="567"/>
      <c r="BA104" s="568">
        <f t="shared" si="540"/>
        <v>1284.5</v>
      </c>
      <c r="BB104" s="568"/>
      <c r="BC104" s="569">
        <v>1284.5</v>
      </c>
      <c r="BD104" s="567"/>
      <c r="BE104" s="570"/>
      <c r="BF104" s="567">
        <f t="shared" si="370"/>
        <v>0</v>
      </c>
      <c r="BG104" s="567">
        <f t="shared" si="371"/>
        <v>0</v>
      </c>
      <c r="BH104" s="567">
        <f t="shared" si="372"/>
        <v>0</v>
      </c>
      <c r="BI104" s="567">
        <f t="shared" si="373"/>
        <v>0</v>
      </c>
      <c r="BJ104" s="567">
        <f t="shared" si="374"/>
        <v>0</v>
      </c>
      <c r="BK104" s="567">
        <f t="shared" si="375"/>
        <v>0</v>
      </c>
      <c r="BL104" s="567" t="e">
        <f>#REF!-BE104</f>
        <v>#REF!</v>
      </c>
      <c r="BM104" s="567">
        <f t="shared" si="541"/>
        <v>595.70000000000005</v>
      </c>
      <c r="BN104" s="567"/>
      <c r="BO104" s="568">
        <f>259+336.7</f>
        <v>595.70000000000005</v>
      </c>
      <c r="BP104" s="567"/>
      <c r="BQ104" s="570"/>
      <c r="BR104" s="567">
        <f t="shared" si="542"/>
        <v>0</v>
      </c>
      <c r="BS104" s="567"/>
      <c r="BT104" s="568"/>
      <c r="BU104" s="567"/>
      <c r="BV104" s="570"/>
      <c r="BW104" s="567">
        <f t="shared" si="543"/>
        <v>1284.5</v>
      </c>
      <c r="BX104" s="567"/>
      <c r="BY104" s="568">
        <f t="shared" si="376"/>
        <v>1284.5</v>
      </c>
      <c r="BZ104" s="571"/>
      <c r="CA104" s="571">
        <f>1093.37751+191.12249</f>
        <v>1284.5</v>
      </c>
      <c r="CB104" s="567"/>
      <c r="CC104" s="577"/>
      <c r="CD104" s="567">
        <f t="shared" si="544"/>
        <v>1284.5</v>
      </c>
      <c r="CE104" s="567"/>
      <c r="CF104" s="568">
        <f t="shared" si="377"/>
        <v>1284.5</v>
      </c>
      <c r="CG104" s="571"/>
      <c r="CH104" s="571">
        <f>1093.37751+191.12249</f>
        <v>1284.5</v>
      </c>
      <c r="CI104" s="567"/>
      <c r="CJ104" s="577"/>
      <c r="CK104" s="567">
        <f t="shared" si="545"/>
        <v>195.5</v>
      </c>
      <c r="CL104" s="567"/>
      <c r="CM104" s="567">
        <v>195.5</v>
      </c>
      <c r="CN104" s="567"/>
      <c r="CO104" s="567"/>
      <c r="CP104" s="567"/>
      <c r="CQ104" s="567"/>
      <c r="CR104" s="573">
        <f t="shared" si="546"/>
        <v>1480</v>
      </c>
      <c r="CS104" s="567">
        <f t="shared" si="379"/>
        <v>1480</v>
      </c>
      <c r="CT104" s="567">
        <f t="shared" si="380"/>
        <v>0</v>
      </c>
      <c r="CU104" s="567">
        <f t="shared" si="381"/>
        <v>1480</v>
      </c>
      <c r="CV104" s="567">
        <f t="shared" si="382"/>
        <v>0</v>
      </c>
      <c r="CW104" s="567">
        <f t="shared" si="547"/>
        <v>0</v>
      </c>
      <c r="CX104" s="567">
        <f t="shared" ca="1" si="477"/>
        <v>0</v>
      </c>
      <c r="CY104" s="567">
        <f t="shared" si="383"/>
        <v>0</v>
      </c>
      <c r="CZ104" s="567">
        <f t="shared" si="384"/>
        <v>0</v>
      </c>
      <c r="DA104" s="567">
        <f t="shared" si="385"/>
        <v>0</v>
      </c>
      <c r="DB104" s="2">
        <f t="shared" si="548"/>
        <v>0</v>
      </c>
      <c r="DC104" s="76"/>
      <c r="DD104" s="253"/>
      <c r="DE104" s="253"/>
      <c r="DF104" s="2">
        <f t="shared" si="549"/>
        <v>0</v>
      </c>
      <c r="DG104" s="2"/>
      <c r="DH104" s="198"/>
      <c r="DI104" s="2"/>
      <c r="DJ104" s="234"/>
      <c r="DK104" s="2">
        <f t="shared" si="550"/>
        <v>0</v>
      </c>
      <c r="DL104" s="2"/>
      <c r="DM104" s="198"/>
      <c r="DN104" s="2"/>
      <c r="DO104" s="234"/>
      <c r="DP104" s="2">
        <f t="shared" si="551"/>
        <v>0</v>
      </c>
      <c r="DQ104" s="2">
        <f t="shared" si="552"/>
        <v>0</v>
      </c>
      <c r="DR104" s="2">
        <f t="shared" si="552"/>
        <v>0</v>
      </c>
      <c r="DS104" s="2">
        <f t="shared" si="552"/>
        <v>0</v>
      </c>
      <c r="DT104" s="2">
        <f t="shared" si="552"/>
        <v>0</v>
      </c>
      <c r="DU104" s="2"/>
      <c r="DV104" s="2"/>
      <c r="DW104" s="2"/>
      <c r="DX104" s="2">
        <f t="shared" ca="1" si="553"/>
        <v>0</v>
      </c>
      <c r="DY104" s="46"/>
      <c r="DZ104" s="2">
        <f t="shared" si="554"/>
        <v>1284.5</v>
      </c>
      <c r="EA104" s="2">
        <f t="shared" si="555"/>
        <v>1284.5</v>
      </c>
      <c r="EB104" s="46"/>
      <c r="EC104" s="2"/>
      <c r="ED104" s="2"/>
      <c r="EE104" s="46"/>
      <c r="EF104" s="2"/>
      <c r="EG104" s="46"/>
      <c r="EH104" s="46"/>
      <c r="EI104" s="2">
        <f t="shared" si="357"/>
        <v>1284.5</v>
      </c>
      <c r="EJ104" s="2"/>
      <c r="EK104" s="198">
        <f t="shared" si="386"/>
        <v>1284.5</v>
      </c>
      <c r="EL104" s="446"/>
      <c r="EM104" s="446">
        <f>1093.37751+191.12249</f>
        <v>1284.5</v>
      </c>
      <c r="EN104" s="2"/>
      <c r="EO104" s="236"/>
      <c r="EP104" s="2">
        <f t="shared" si="358"/>
        <v>195.5</v>
      </c>
      <c r="EQ104" s="2"/>
      <c r="ER104" s="2">
        <v>195.5</v>
      </c>
      <c r="ES104" s="2"/>
      <c r="ET104" s="2">
        <f>166.41129+29.08871</f>
        <v>195.5</v>
      </c>
      <c r="EU104" s="2"/>
      <c r="EV104" s="141"/>
      <c r="EW104" s="310"/>
      <c r="EX104" s="310"/>
      <c r="EY104" s="310"/>
      <c r="EZ104" s="396"/>
      <c r="FA104" s="396"/>
      <c r="FB104" s="310"/>
      <c r="FC104" s="310"/>
      <c r="FD104" s="310"/>
      <c r="FE104" s="396"/>
      <c r="FF104" s="396"/>
      <c r="FG104" s="396"/>
      <c r="FH104" s="310"/>
      <c r="FI104" s="310"/>
      <c r="FJ104" s="296" t="e">
        <f t="shared" si="556"/>
        <v>#DIV/0!</v>
      </c>
      <c r="FK104" s="353">
        <f t="shared" si="389"/>
        <v>1284.5</v>
      </c>
      <c r="FL104" s="353">
        <f t="shared" si="564"/>
        <v>1284.5</v>
      </c>
      <c r="FM104" s="353"/>
      <c r="FN104" s="388">
        <f t="shared" si="557"/>
        <v>1</v>
      </c>
      <c r="FO104" s="388">
        <f t="shared" si="558"/>
        <v>0</v>
      </c>
      <c r="FP104" s="353">
        <f t="shared" si="390"/>
        <v>1480</v>
      </c>
      <c r="FQ104" s="353">
        <f t="shared" si="559"/>
        <v>1284.5</v>
      </c>
      <c r="FR104" s="353">
        <f t="shared" si="560"/>
        <v>195.5</v>
      </c>
      <c r="FS104" s="388">
        <f t="shared" si="561"/>
        <v>0.86790540540540539</v>
      </c>
      <c r="FT104" s="388">
        <f t="shared" si="562"/>
        <v>0.13209459459459461</v>
      </c>
      <c r="FU104" s="388"/>
      <c r="FV104" s="353">
        <f t="shared" si="563"/>
        <v>1480</v>
      </c>
      <c r="FW104" s="353">
        <f t="shared" si="391"/>
        <v>-195.5</v>
      </c>
      <c r="FX104" s="310"/>
      <c r="FY104" s="310"/>
      <c r="FZ104" s="310"/>
      <c r="GA104" s="396"/>
      <c r="GB104" s="396"/>
      <c r="GC104" s="310"/>
      <c r="GD104" s="310"/>
      <c r="GE104" s="310"/>
      <c r="GF104" s="396"/>
      <c r="GG104" s="396"/>
      <c r="GH104" s="396"/>
      <c r="GI104" s="311"/>
      <c r="GJ104" s="344"/>
      <c r="GK104" s="303">
        <f t="shared" si="368"/>
        <v>1</v>
      </c>
    </row>
    <row r="105" spans="1:193" s="37" customFormat="1" ht="15.75" customHeight="1" x14ac:dyDescent="0.25">
      <c r="B105" s="29"/>
      <c r="C105" s="30"/>
      <c r="D105" s="30">
        <v>1</v>
      </c>
      <c r="E105" s="493">
        <v>85</v>
      </c>
      <c r="F105" s="29"/>
      <c r="G105" s="30"/>
      <c r="H105" s="30">
        <v>1</v>
      </c>
      <c r="M105" s="493">
        <v>67</v>
      </c>
      <c r="N105" s="494" t="s">
        <v>105</v>
      </c>
      <c r="O105" s="494"/>
      <c r="P105" s="494">
        <f t="shared" si="388"/>
        <v>0</v>
      </c>
      <c r="Q105" s="494" t="s">
        <v>701</v>
      </c>
      <c r="R105" s="494" t="s">
        <v>699</v>
      </c>
      <c r="S105" s="494">
        <v>264</v>
      </c>
      <c r="T105" s="156">
        <v>1</v>
      </c>
      <c r="U105" s="493"/>
      <c r="V105" s="2">
        <f t="shared" si="369"/>
        <v>2761.9</v>
      </c>
      <c r="W105" s="2"/>
      <c r="X105" s="198">
        <f t="shared" si="227"/>
        <v>2761.9</v>
      </c>
      <c r="Y105" s="198"/>
      <c r="Z105" s="42">
        <v>2761.9</v>
      </c>
      <c r="AA105" s="2"/>
      <c r="AB105" s="567">
        <f t="shared" si="535"/>
        <v>2761.9</v>
      </c>
      <c r="AC105" s="567"/>
      <c r="AD105" s="568">
        <f t="shared" si="229"/>
        <v>2761.9</v>
      </c>
      <c r="AE105" s="568"/>
      <c r="AF105" s="569">
        <v>2761.9</v>
      </c>
      <c r="AG105" s="567"/>
      <c r="AH105" s="570"/>
      <c r="AI105" s="567">
        <f t="shared" si="536"/>
        <v>1260.4000000000001</v>
      </c>
      <c r="AJ105" s="567"/>
      <c r="AK105" s="568">
        <v>1260.4000000000001</v>
      </c>
      <c r="AL105" s="567"/>
      <c r="AM105" s="570"/>
      <c r="AN105" s="567">
        <f t="shared" si="537"/>
        <v>1260.4000000000001</v>
      </c>
      <c r="AO105" s="567"/>
      <c r="AP105" s="568">
        <v>1260.4000000000001</v>
      </c>
      <c r="AQ105" s="567"/>
      <c r="AR105" s="570"/>
      <c r="AS105" s="567">
        <f t="shared" si="538"/>
        <v>548</v>
      </c>
      <c r="AT105" s="567"/>
      <c r="AU105" s="568">
        <v>548</v>
      </c>
      <c r="AV105" s="567"/>
      <c r="AW105" s="570"/>
      <c r="AX105" s="409" t="s">
        <v>411</v>
      </c>
      <c r="AY105" s="567">
        <f t="shared" si="539"/>
        <v>2761.9</v>
      </c>
      <c r="AZ105" s="567"/>
      <c r="BA105" s="568">
        <f t="shared" si="540"/>
        <v>2761.9</v>
      </c>
      <c r="BB105" s="568"/>
      <c r="BC105" s="569">
        <v>2761.9</v>
      </c>
      <c r="BD105" s="567"/>
      <c r="BE105" s="570"/>
      <c r="BF105" s="567">
        <f t="shared" si="370"/>
        <v>0</v>
      </c>
      <c r="BG105" s="567">
        <f t="shared" si="371"/>
        <v>0</v>
      </c>
      <c r="BH105" s="567">
        <f t="shared" si="372"/>
        <v>0</v>
      </c>
      <c r="BI105" s="567">
        <f t="shared" si="373"/>
        <v>0</v>
      </c>
      <c r="BJ105" s="567">
        <f t="shared" si="374"/>
        <v>0</v>
      </c>
      <c r="BK105" s="567">
        <f t="shared" si="375"/>
        <v>0</v>
      </c>
      <c r="BL105" s="567" t="e">
        <f>#REF!-BE105</f>
        <v>#REF!</v>
      </c>
      <c r="BM105" s="567">
        <f t="shared" si="541"/>
        <v>1260.4000000000001</v>
      </c>
      <c r="BN105" s="567"/>
      <c r="BO105" s="568">
        <v>1260.4000000000001</v>
      </c>
      <c r="BP105" s="567"/>
      <c r="BQ105" s="570"/>
      <c r="BR105" s="567">
        <f t="shared" si="542"/>
        <v>0</v>
      </c>
      <c r="BS105" s="567"/>
      <c r="BT105" s="568"/>
      <c r="BU105" s="567"/>
      <c r="BV105" s="570"/>
      <c r="BW105" s="567">
        <f t="shared" si="543"/>
        <v>2306.1852199999998</v>
      </c>
      <c r="BX105" s="567"/>
      <c r="BY105" s="568">
        <f t="shared" si="376"/>
        <v>2306.1852199999998</v>
      </c>
      <c r="BZ105" s="571"/>
      <c r="CA105" s="571">
        <v>2306.1852199999998</v>
      </c>
      <c r="CB105" s="567"/>
      <c r="CC105" s="577"/>
      <c r="CD105" s="567">
        <f t="shared" si="544"/>
        <v>2306.1852199999998</v>
      </c>
      <c r="CE105" s="567"/>
      <c r="CF105" s="568">
        <f t="shared" si="377"/>
        <v>2306.1852199999998</v>
      </c>
      <c r="CG105" s="571"/>
      <c r="CH105" s="571">
        <v>2306.1852199999998</v>
      </c>
      <c r="CI105" s="567"/>
      <c r="CJ105" s="577"/>
      <c r="CK105" s="567">
        <f t="shared" si="545"/>
        <v>737.41413999999997</v>
      </c>
      <c r="CL105" s="567"/>
      <c r="CM105" s="567">
        <v>737.41413999999997</v>
      </c>
      <c r="CN105" s="567"/>
      <c r="CO105" s="567"/>
      <c r="CP105" s="567"/>
      <c r="CQ105" s="567"/>
      <c r="CR105" s="573">
        <f t="shared" si="546"/>
        <v>3043.5993599999997</v>
      </c>
      <c r="CS105" s="567">
        <f t="shared" si="379"/>
        <v>3043.5993599999997</v>
      </c>
      <c r="CT105" s="567">
        <f t="shared" si="380"/>
        <v>0</v>
      </c>
      <c r="CU105" s="567">
        <f t="shared" si="381"/>
        <v>3043.5993599999997</v>
      </c>
      <c r="CV105" s="567">
        <f t="shared" si="382"/>
        <v>0</v>
      </c>
      <c r="CW105" s="567">
        <f t="shared" si="547"/>
        <v>0</v>
      </c>
      <c r="CX105" s="567">
        <f t="shared" ca="1" si="477"/>
        <v>0</v>
      </c>
      <c r="CY105" s="567">
        <f t="shared" si="383"/>
        <v>0</v>
      </c>
      <c r="CZ105" s="567">
        <f t="shared" si="384"/>
        <v>0</v>
      </c>
      <c r="DA105" s="567">
        <f t="shared" si="385"/>
        <v>0</v>
      </c>
      <c r="DB105" s="2">
        <f t="shared" si="548"/>
        <v>0</v>
      </c>
      <c r="DC105" s="76"/>
      <c r="DD105" s="253">
        <f>BM96-DD97-DD102</f>
        <v>12747.39999999998</v>
      </c>
      <c r="DE105" s="253">
        <f>DD105+DF108+DF110</f>
        <v>12747.39999999998</v>
      </c>
      <c r="DF105" s="2">
        <f t="shared" si="549"/>
        <v>0</v>
      </c>
      <c r="DG105" s="2"/>
      <c r="DH105" s="198"/>
      <c r="DI105" s="2"/>
      <c r="DJ105" s="234"/>
      <c r="DK105" s="2">
        <f t="shared" si="550"/>
        <v>0</v>
      </c>
      <c r="DL105" s="2"/>
      <c r="DM105" s="198"/>
      <c r="DN105" s="2"/>
      <c r="DO105" s="234"/>
      <c r="DP105" s="2">
        <f t="shared" si="551"/>
        <v>0</v>
      </c>
      <c r="DQ105" s="2">
        <f t="shared" si="552"/>
        <v>0</v>
      </c>
      <c r="DR105" s="2">
        <f t="shared" si="552"/>
        <v>0</v>
      </c>
      <c r="DS105" s="2">
        <f t="shared" si="552"/>
        <v>0</v>
      </c>
      <c r="DT105" s="2">
        <f t="shared" si="552"/>
        <v>0</v>
      </c>
      <c r="DU105" s="2"/>
      <c r="DV105" s="2"/>
      <c r="DW105" s="2"/>
      <c r="DX105" s="2">
        <f t="shared" ca="1" si="553"/>
        <v>0</v>
      </c>
      <c r="DY105" s="46"/>
      <c r="DZ105" s="2">
        <f t="shared" si="554"/>
        <v>2306.1852199999998</v>
      </c>
      <c r="EA105" s="2">
        <f t="shared" si="555"/>
        <v>2306.1852199999998</v>
      </c>
      <c r="EB105" s="46"/>
      <c r="EC105" s="2">
        <f>EA99+EA100+EA101+EA105+EA106+EA108+EA109+EA110+EA111+EA113+EA114</f>
        <v>48424.505919999996</v>
      </c>
      <c r="ED105" s="2">
        <f ca="1">DX99+DX100+DX101+DX105+DX106+DX108+DX109+DX110+DX111+DX113+DX114</f>
        <v>0</v>
      </c>
      <c r="EE105" s="46"/>
      <c r="EF105" s="2">
        <f>DE105-EC105</f>
        <v>-35677.105920000016</v>
      </c>
      <c r="EG105" s="46"/>
      <c r="EH105" s="46"/>
      <c r="EI105" s="2">
        <f t="shared" si="357"/>
        <v>2306.1852199999998</v>
      </c>
      <c r="EJ105" s="2"/>
      <c r="EK105" s="198">
        <f t="shared" si="386"/>
        <v>2306.1852199999998</v>
      </c>
      <c r="EL105" s="446"/>
      <c r="EM105" s="446">
        <v>2306.1852199999998</v>
      </c>
      <c r="EN105" s="2"/>
      <c r="EO105" s="236"/>
      <c r="EP105" s="2">
        <f t="shared" si="358"/>
        <v>737.41413999999997</v>
      </c>
      <c r="EQ105" s="2"/>
      <c r="ER105" s="2">
        <v>737.41413999999997</v>
      </c>
      <c r="ES105" s="2"/>
      <c r="ET105" s="2">
        <v>737.41413999999997</v>
      </c>
      <c r="EU105" s="2"/>
      <c r="EV105" s="141"/>
      <c r="EW105" s="310"/>
      <c r="EX105" s="310"/>
      <c r="EY105" s="310"/>
      <c r="EZ105" s="396"/>
      <c r="FA105" s="396"/>
      <c r="FB105" s="310"/>
      <c r="FC105" s="310"/>
      <c r="FD105" s="310"/>
      <c r="FE105" s="396"/>
      <c r="FF105" s="396"/>
      <c r="FG105" s="396"/>
      <c r="FH105" s="311"/>
      <c r="FI105" s="310"/>
      <c r="FJ105" s="296" t="e">
        <f t="shared" si="556"/>
        <v>#DIV/0!</v>
      </c>
      <c r="FK105" s="353">
        <f t="shared" si="389"/>
        <v>2761.9</v>
      </c>
      <c r="FL105" s="353">
        <f t="shared" si="564"/>
        <v>2761.9</v>
      </c>
      <c r="FM105" s="353"/>
      <c r="FN105" s="388">
        <f t="shared" si="557"/>
        <v>1</v>
      </c>
      <c r="FO105" s="388">
        <f t="shared" si="558"/>
        <v>0</v>
      </c>
      <c r="FP105" s="353">
        <f t="shared" si="390"/>
        <v>3043.5993599999997</v>
      </c>
      <c r="FQ105" s="353">
        <f t="shared" si="559"/>
        <v>2306.1852199999998</v>
      </c>
      <c r="FR105" s="353">
        <f t="shared" si="560"/>
        <v>737.41413999999997</v>
      </c>
      <c r="FS105" s="388">
        <f t="shared" si="561"/>
        <v>0.75771642296573494</v>
      </c>
      <c r="FT105" s="388">
        <f t="shared" si="562"/>
        <v>0.24228357703426512</v>
      </c>
      <c r="FU105" s="388"/>
      <c r="FV105" s="353">
        <f t="shared" si="563"/>
        <v>3043.5993599999997</v>
      </c>
      <c r="FW105" s="353">
        <f t="shared" si="391"/>
        <v>-737.41413999999986</v>
      </c>
      <c r="FX105" s="310">
        <f t="shared" ref="FX105:FX114" si="600">FY105+FZ105</f>
        <v>0</v>
      </c>
      <c r="FY105" s="310">
        <f>BD105</f>
        <v>0</v>
      </c>
      <c r="FZ105" s="310"/>
      <c r="GA105" s="396" t="e">
        <f t="shared" ref="GA105:GA114" si="601">FY105/FX105</f>
        <v>#DIV/0!</v>
      </c>
      <c r="GB105" s="396" t="e">
        <f t="shared" ref="GB105:GB114" si="602">FZ105/FX105</f>
        <v>#DIV/0!</v>
      </c>
      <c r="GC105" s="310">
        <f t="shared" si="402"/>
        <v>0</v>
      </c>
      <c r="GD105" s="310">
        <f t="shared" si="501"/>
        <v>0</v>
      </c>
      <c r="GE105" s="310">
        <f t="shared" si="502"/>
        <v>0</v>
      </c>
      <c r="GF105" s="396" t="e">
        <f t="shared" ref="GF105:GF114" si="603">GD105/GC105</f>
        <v>#DIV/0!</v>
      </c>
      <c r="GG105" s="396" t="e">
        <f t="shared" ref="GG105:GG114" si="604">GE105/GC105</f>
        <v>#DIV/0!</v>
      </c>
      <c r="GH105" s="396"/>
      <c r="GI105" s="311" t="e">
        <f t="shared" si="262"/>
        <v>#DIV/0!</v>
      </c>
      <c r="GJ105" s="344" t="e">
        <f t="shared" si="403"/>
        <v>#DIV/0!</v>
      </c>
      <c r="GK105" s="303">
        <f t="shared" si="368"/>
        <v>0.83499953655092496</v>
      </c>
    </row>
    <row r="106" spans="1:193" s="37" customFormat="1" ht="15.6" customHeight="1" x14ac:dyDescent="0.25">
      <c r="B106" s="29"/>
      <c r="C106" s="30"/>
      <c r="D106" s="30">
        <v>1</v>
      </c>
      <c r="E106" s="493">
        <v>86</v>
      </c>
      <c r="F106" s="29"/>
      <c r="G106" s="30"/>
      <c r="H106" s="30">
        <v>1</v>
      </c>
      <c r="I106" s="493"/>
      <c r="J106" s="494"/>
      <c r="K106" s="494"/>
      <c r="L106" s="53"/>
      <c r="M106" s="493">
        <v>68</v>
      </c>
      <c r="N106" s="494" t="s">
        <v>106</v>
      </c>
      <c r="O106" s="494"/>
      <c r="P106" s="494">
        <f t="shared" si="388"/>
        <v>0</v>
      </c>
      <c r="Q106" s="494" t="s">
        <v>703</v>
      </c>
      <c r="R106" s="494" t="s">
        <v>699</v>
      </c>
      <c r="S106" s="494" t="s">
        <v>529</v>
      </c>
      <c r="T106" s="156">
        <v>2</v>
      </c>
      <c r="U106" s="493"/>
      <c r="V106" s="2">
        <f t="shared" si="369"/>
        <v>6659.9</v>
      </c>
      <c r="W106" s="2"/>
      <c r="X106" s="198">
        <f t="shared" ref="X106:X169" si="605">Y106+Z106</f>
        <v>6659.9</v>
      </c>
      <c r="Y106" s="198">
        <v>3201</v>
      </c>
      <c r="Z106" s="42">
        <v>3458.9</v>
      </c>
      <c r="AA106" s="2"/>
      <c r="AB106" s="567">
        <f t="shared" si="535"/>
        <v>6659.9</v>
      </c>
      <c r="AC106" s="567"/>
      <c r="AD106" s="568">
        <f t="shared" ref="AD106:AD169" si="606">AE106+AF106</f>
        <v>6659.9</v>
      </c>
      <c r="AE106" s="568">
        <v>3201</v>
      </c>
      <c r="AF106" s="569">
        <v>3458.9</v>
      </c>
      <c r="AG106" s="567"/>
      <c r="AH106" s="570"/>
      <c r="AI106" s="567">
        <f t="shared" si="536"/>
        <v>1614.6</v>
      </c>
      <c r="AJ106" s="567"/>
      <c r="AK106" s="568">
        <v>1614.6</v>
      </c>
      <c r="AL106" s="567"/>
      <c r="AM106" s="570"/>
      <c r="AN106" s="567">
        <f t="shared" si="537"/>
        <v>1614.6</v>
      </c>
      <c r="AO106" s="567"/>
      <c r="AP106" s="568">
        <v>1614.6</v>
      </c>
      <c r="AQ106" s="567"/>
      <c r="AR106" s="570"/>
      <c r="AS106" s="567">
        <f t="shared" si="538"/>
        <v>702</v>
      </c>
      <c r="AT106" s="567"/>
      <c r="AU106" s="568">
        <v>702</v>
      </c>
      <c r="AV106" s="567"/>
      <c r="AW106" s="570"/>
      <c r="AX106" s="409" t="s">
        <v>401</v>
      </c>
      <c r="AY106" s="567">
        <f t="shared" si="539"/>
        <v>6659.9</v>
      </c>
      <c r="AZ106" s="567"/>
      <c r="BA106" s="568">
        <f t="shared" si="540"/>
        <v>6659.9</v>
      </c>
      <c r="BB106" s="568">
        <v>3201</v>
      </c>
      <c r="BC106" s="569">
        <v>3458.9</v>
      </c>
      <c r="BD106" s="567"/>
      <c r="BE106" s="570"/>
      <c r="BF106" s="567">
        <f t="shared" si="370"/>
        <v>0</v>
      </c>
      <c r="BG106" s="567">
        <f t="shared" si="371"/>
        <v>0</v>
      </c>
      <c r="BH106" s="567">
        <f t="shared" si="372"/>
        <v>0</v>
      </c>
      <c r="BI106" s="567">
        <f t="shared" si="373"/>
        <v>0</v>
      </c>
      <c r="BJ106" s="567">
        <f t="shared" si="374"/>
        <v>0</v>
      </c>
      <c r="BK106" s="567">
        <f t="shared" si="375"/>
        <v>0</v>
      </c>
      <c r="BL106" s="567" t="e">
        <f>#REF!-BE106</f>
        <v>#REF!</v>
      </c>
      <c r="BM106" s="567">
        <f t="shared" si="541"/>
        <v>1614.6</v>
      </c>
      <c r="BN106" s="567"/>
      <c r="BO106" s="568">
        <f>702+912.6</f>
        <v>1614.6</v>
      </c>
      <c r="BP106" s="567"/>
      <c r="BQ106" s="570"/>
      <c r="BR106" s="567">
        <f t="shared" si="542"/>
        <v>0</v>
      </c>
      <c r="BS106" s="567"/>
      <c r="BT106" s="568"/>
      <c r="BU106" s="567"/>
      <c r="BV106" s="570"/>
      <c r="BW106" s="567">
        <f t="shared" si="543"/>
        <v>6631.8645699999997</v>
      </c>
      <c r="BX106" s="567"/>
      <c r="BY106" s="568">
        <f t="shared" si="376"/>
        <v>6631.8645699999997</v>
      </c>
      <c r="BZ106" s="571">
        <f>1364.37239+1820.62261</f>
        <v>3184.9949999999999</v>
      </c>
      <c r="CA106" s="571">
        <f>705.80826+2394.05505+347.00626</f>
        <v>3446.8695699999998</v>
      </c>
      <c r="CB106" s="567"/>
      <c r="CC106" s="577"/>
      <c r="CD106" s="567">
        <f t="shared" si="544"/>
        <v>6631.8645699999997</v>
      </c>
      <c r="CE106" s="567"/>
      <c r="CF106" s="568">
        <f t="shared" si="377"/>
        <v>6631.8645699999997</v>
      </c>
      <c r="CG106" s="571">
        <f>1364.37239+1820.62261</f>
        <v>3184.9949999999999</v>
      </c>
      <c r="CH106" s="571">
        <f>705.80826+2394.05505+347.00626</f>
        <v>3446.8695699999998</v>
      </c>
      <c r="CI106" s="567"/>
      <c r="CJ106" s="577"/>
      <c r="CK106" s="567">
        <f t="shared" si="545"/>
        <v>1108.85544</v>
      </c>
      <c r="CL106" s="567"/>
      <c r="CM106" s="567">
        <v>1108.85544</v>
      </c>
      <c r="CN106" s="567">
        <f>304.41083+228.12511</f>
        <v>532.53593999999998</v>
      </c>
      <c r="CO106" s="567">
        <f>400.28802+58.01974+118.01174</f>
        <v>576.31950000000006</v>
      </c>
      <c r="CP106" s="567"/>
      <c r="CQ106" s="567"/>
      <c r="CR106" s="573">
        <f t="shared" si="546"/>
        <v>7740.72001</v>
      </c>
      <c r="CS106" s="567">
        <f t="shared" si="379"/>
        <v>7740.72001</v>
      </c>
      <c r="CT106" s="567">
        <f t="shared" si="380"/>
        <v>0</v>
      </c>
      <c r="CU106" s="567">
        <f t="shared" si="381"/>
        <v>7740.72001</v>
      </c>
      <c r="CV106" s="567">
        <f t="shared" si="382"/>
        <v>0</v>
      </c>
      <c r="CW106" s="567">
        <f t="shared" si="547"/>
        <v>0</v>
      </c>
      <c r="CX106" s="567">
        <f t="shared" ca="1" si="477"/>
        <v>0</v>
      </c>
      <c r="CY106" s="567">
        <f t="shared" si="383"/>
        <v>0</v>
      </c>
      <c r="CZ106" s="567">
        <f t="shared" si="384"/>
        <v>0</v>
      </c>
      <c r="DA106" s="567">
        <f t="shared" si="385"/>
        <v>0</v>
      </c>
      <c r="DB106" s="2">
        <f t="shared" si="548"/>
        <v>0</v>
      </c>
      <c r="DC106" s="76"/>
      <c r="DD106" s="253"/>
      <c r="DE106" s="253"/>
      <c r="DF106" s="2">
        <f t="shared" si="549"/>
        <v>0</v>
      </c>
      <c r="DG106" s="2"/>
      <c r="DH106" s="198"/>
      <c r="DI106" s="2"/>
      <c r="DJ106" s="234"/>
      <c r="DK106" s="2">
        <f t="shared" si="550"/>
        <v>0</v>
      </c>
      <c r="DL106" s="2"/>
      <c r="DM106" s="198"/>
      <c r="DN106" s="2"/>
      <c r="DO106" s="234"/>
      <c r="DP106" s="2">
        <f t="shared" si="551"/>
        <v>0</v>
      </c>
      <c r="DQ106" s="2">
        <f t="shared" si="552"/>
        <v>0</v>
      </c>
      <c r="DR106" s="2">
        <f t="shared" si="552"/>
        <v>0</v>
      </c>
      <c r="DS106" s="2">
        <f t="shared" si="552"/>
        <v>0</v>
      </c>
      <c r="DT106" s="2">
        <f t="shared" si="552"/>
        <v>0</v>
      </c>
      <c r="DU106" s="2"/>
      <c r="DV106" s="2"/>
      <c r="DW106" s="2"/>
      <c r="DX106" s="2">
        <f t="shared" ca="1" si="553"/>
        <v>0</v>
      </c>
      <c r="DY106" s="46"/>
      <c r="DZ106" s="2">
        <f t="shared" si="554"/>
        <v>6631.8645699999997</v>
      </c>
      <c r="EA106" s="2">
        <f t="shared" si="555"/>
        <v>6631.8645699999997</v>
      </c>
      <c r="EB106" s="46"/>
      <c r="EC106" s="2"/>
      <c r="ED106" s="2"/>
      <c r="EE106" s="46"/>
      <c r="EF106" s="2"/>
      <c r="EG106" s="46"/>
      <c r="EH106" s="46"/>
      <c r="EI106" s="2">
        <f t="shared" si="357"/>
        <v>6631.8645699999997</v>
      </c>
      <c r="EJ106" s="2"/>
      <c r="EK106" s="198">
        <f t="shared" si="386"/>
        <v>6631.8645699999997</v>
      </c>
      <c r="EL106" s="446">
        <f>1364.37239+1820.62261</f>
        <v>3184.9949999999999</v>
      </c>
      <c r="EM106" s="446">
        <f>705.80826+2394.05505+347.00626</f>
        <v>3446.8695699999998</v>
      </c>
      <c r="EN106" s="2"/>
      <c r="EO106" s="236"/>
      <c r="EP106" s="2">
        <f t="shared" si="358"/>
        <v>1108.85544</v>
      </c>
      <c r="EQ106" s="2"/>
      <c r="ER106" s="2">
        <v>1108.85544</v>
      </c>
      <c r="ES106" s="2">
        <f>304.41083+228.12511</f>
        <v>532.53593999999998</v>
      </c>
      <c r="ET106" s="2">
        <f>400.28802+58.01974+118.01174</f>
        <v>576.31950000000006</v>
      </c>
      <c r="EU106" s="2"/>
      <c r="EV106" s="141"/>
      <c r="EW106" s="310"/>
      <c r="EX106" s="310"/>
      <c r="EY106" s="310"/>
      <c r="EZ106" s="396"/>
      <c r="FA106" s="396"/>
      <c r="FB106" s="310"/>
      <c r="FC106" s="310"/>
      <c r="FD106" s="310"/>
      <c r="FE106" s="396"/>
      <c r="FF106" s="396"/>
      <c r="FG106" s="396"/>
      <c r="FH106" s="311"/>
      <c r="FI106" s="310"/>
      <c r="FJ106" s="296" t="e">
        <f t="shared" si="556"/>
        <v>#DIV/0!</v>
      </c>
      <c r="FK106" s="353">
        <f t="shared" si="389"/>
        <v>6659.9</v>
      </c>
      <c r="FL106" s="353">
        <f t="shared" si="564"/>
        <v>6659.9</v>
      </c>
      <c r="FM106" s="353"/>
      <c r="FN106" s="388">
        <f t="shared" si="557"/>
        <v>1</v>
      </c>
      <c r="FO106" s="388">
        <f t="shared" si="558"/>
        <v>0</v>
      </c>
      <c r="FP106" s="353">
        <f t="shared" si="390"/>
        <v>7740.72001</v>
      </c>
      <c r="FQ106" s="353">
        <f t="shared" si="559"/>
        <v>6631.8645699999997</v>
      </c>
      <c r="FR106" s="353">
        <f t="shared" si="560"/>
        <v>1108.85544</v>
      </c>
      <c r="FS106" s="388">
        <f t="shared" si="561"/>
        <v>0.85675034898982216</v>
      </c>
      <c r="FT106" s="388">
        <f t="shared" si="562"/>
        <v>0.14324965101017781</v>
      </c>
      <c r="FU106" s="388"/>
      <c r="FV106" s="353">
        <f t="shared" si="563"/>
        <v>7740.72001</v>
      </c>
      <c r="FW106" s="353">
        <f t="shared" si="391"/>
        <v>-1108.8554400000003</v>
      </c>
      <c r="FX106" s="310">
        <f t="shared" ref="FX106:FX107" si="607">FY106+FZ106</f>
        <v>0</v>
      </c>
      <c r="FY106" s="310">
        <f>BD106</f>
        <v>0</v>
      </c>
      <c r="FZ106" s="310"/>
      <c r="GA106" s="396" t="e">
        <f t="shared" ref="GA106" si="608">FY106/FX106</f>
        <v>#DIV/0!</v>
      </c>
      <c r="GB106" s="396" t="e">
        <f t="shared" ref="GB106" si="609">FZ106/FX106</f>
        <v>#DIV/0!</v>
      </c>
      <c r="GC106" s="310">
        <f t="shared" ref="GC106" si="610">GD106+GE106</f>
        <v>0</v>
      </c>
      <c r="GD106" s="310">
        <f t="shared" ref="GD106" si="611">EN106</f>
        <v>0</v>
      </c>
      <c r="GE106" s="310">
        <f t="shared" ref="GE106" si="612">EU106</f>
        <v>0</v>
      </c>
      <c r="GF106" s="396" t="e">
        <f t="shared" ref="GF106" si="613">GD106/GC106</f>
        <v>#DIV/0!</v>
      </c>
      <c r="GG106" s="396" t="e">
        <f t="shared" ref="GG106" si="614">GE106/GC106</f>
        <v>#DIV/0!</v>
      </c>
      <c r="GH106" s="396"/>
      <c r="GI106" s="311" t="e">
        <f t="shared" ref="GI106" si="615">GC106*GA106</f>
        <v>#DIV/0!</v>
      </c>
      <c r="GJ106" s="344" t="e">
        <f t="shared" ref="GJ106" si="616">GD106-GI106</f>
        <v>#DIV/0!</v>
      </c>
      <c r="GK106" s="303">
        <f t="shared" si="368"/>
        <v>0.99579041276896052</v>
      </c>
    </row>
    <row r="107" spans="1:193" s="37" customFormat="1" ht="15.6" customHeight="1" x14ac:dyDescent="0.25">
      <c r="B107" s="29"/>
      <c r="C107" s="30">
        <v>1</v>
      </c>
      <c r="D107" s="30"/>
      <c r="E107" s="493">
        <v>87</v>
      </c>
      <c r="F107" s="29"/>
      <c r="G107" s="30">
        <v>1</v>
      </c>
      <c r="H107" s="30"/>
      <c r="I107" s="493"/>
      <c r="J107" s="494"/>
      <c r="K107" s="494"/>
      <c r="L107" s="53"/>
      <c r="M107" s="493">
        <v>69</v>
      </c>
      <c r="N107" s="494" t="s">
        <v>33</v>
      </c>
      <c r="O107" s="494"/>
      <c r="P107" s="494">
        <f t="shared" si="388"/>
        <v>0</v>
      </c>
      <c r="Q107" s="494" t="s">
        <v>706</v>
      </c>
      <c r="R107" s="494" t="s">
        <v>699</v>
      </c>
      <c r="S107" s="494" t="s">
        <v>611</v>
      </c>
      <c r="T107" s="156">
        <v>2</v>
      </c>
      <c r="U107" s="493"/>
      <c r="V107" s="2">
        <f t="shared" si="369"/>
        <v>3337.5</v>
      </c>
      <c r="W107" s="2"/>
      <c r="X107" s="198">
        <f t="shared" si="605"/>
        <v>3337.5</v>
      </c>
      <c r="Y107" s="198">
        <v>1062.2</v>
      </c>
      <c r="Z107" s="42">
        <v>2275.3000000000002</v>
      </c>
      <c r="AA107" s="2"/>
      <c r="AB107" s="567">
        <f t="shared" si="535"/>
        <v>3337.5</v>
      </c>
      <c r="AC107" s="567"/>
      <c r="AD107" s="568">
        <f t="shared" si="606"/>
        <v>3337.5</v>
      </c>
      <c r="AE107" s="568">
        <v>1062.2</v>
      </c>
      <c r="AF107" s="569">
        <v>2275.3000000000002</v>
      </c>
      <c r="AG107" s="567"/>
      <c r="AH107" s="570"/>
      <c r="AI107" s="567">
        <f t="shared" si="536"/>
        <v>1071.8</v>
      </c>
      <c r="AJ107" s="567"/>
      <c r="AK107" s="568">
        <v>1071.8</v>
      </c>
      <c r="AL107" s="567"/>
      <c r="AM107" s="570"/>
      <c r="AN107" s="567">
        <f t="shared" si="537"/>
        <v>1071.8</v>
      </c>
      <c r="AO107" s="567"/>
      <c r="AP107" s="568">
        <v>1071.8</v>
      </c>
      <c r="AQ107" s="567"/>
      <c r="AR107" s="570"/>
      <c r="AS107" s="567">
        <f t="shared" si="538"/>
        <v>466</v>
      </c>
      <c r="AT107" s="567"/>
      <c r="AU107" s="568">
        <v>466</v>
      </c>
      <c r="AV107" s="567"/>
      <c r="AW107" s="570"/>
      <c r="AX107" s="409" t="s">
        <v>465</v>
      </c>
      <c r="AY107" s="567">
        <f t="shared" si="539"/>
        <v>3327.6770000000001</v>
      </c>
      <c r="AZ107" s="567"/>
      <c r="BA107" s="568">
        <f t="shared" si="540"/>
        <v>3327.6770000000001</v>
      </c>
      <c r="BB107" s="568">
        <f>1062-9.623</f>
        <v>1052.377</v>
      </c>
      <c r="BC107" s="569">
        <f>2265.677+9.623</f>
        <v>2275.3000000000002</v>
      </c>
      <c r="BD107" s="567"/>
      <c r="BE107" s="567"/>
      <c r="BF107" s="567">
        <f t="shared" si="370"/>
        <v>9.8230000000000928</v>
      </c>
      <c r="BG107" s="567">
        <f t="shared" si="371"/>
        <v>0</v>
      </c>
      <c r="BH107" s="567">
        <f t="shared" si="372"/>
        <v>9.8230000000000928</v>
      </c>
      <c r="BI107" s="567">
        <f t="shared" si="373"/>
        <v>9.8230000000000928</v>
      </c>
      <c r="BJ107" s="567">
        <f t="shared" si="374"/>
        <v>0</v>
      </c>
      <c r="BK107" s="567">
        <f t="shared" si="375"/>
        <v>0</v>
      </c>
      <c r="BL107" s="567" t="e">
        <f>#REF!-BE107</f>
        <v>#REF!</v>
      </c>
      <c r="BM107" s="567">
        <f t="shared" si="541"/>
        <v>0</v>
      </c>
      <c r="BN107" s="567"/>
      <c r="BO107" s="567"/>
      <c r="BP107" s="567"/>
      <c r="BQ107" s="567"/>
      <c r="BR107" s="567">
        <f t="shared" si="542"/>
        <v>0</v>
      </c>
      <c r="BS107" s="567"/>
      <c r="BT107" s="567"/>
      <c r="BU107" s="567"/>
      <c r="BV107" s="567"/>
      <c r="BW107" s="567">
        <f t="shared" si="543"/>
        <v>3257.2302199999999</v>
      </c>
      <c r="BX107" s="567"/>
      <c r="BY107" s="574">
        <f t="shared" si="376"/>
        <v>3257.2302199999999</v>
      </c>
      <c r="BZ107" s="574">
        <f>1014.21-9.623</f>
        <v>1004.587</v>
      </c>
      <c r="CA107" s="574">
        <f>2243.02022+9.623</f>
        <v>2252.6432199999999</v>
      </c>
      <c r="CB107" s="567"/>
      <c r="CC107" s="567"/>
      <c r="CD107" s="567">
        <f t="shared" si="544"/>
        <v>3257.2302199999999</v>
      </c>
      <c r="CE107" s="567"/>
      <c r="CF107" s="574">
        <f t="shared" si="377"/>
        <v>3257.2302199999999</v>
      </c>
      <c r="CG107" s="574">
        <f>1014.21-9.623</f>
        <v>1004.587</v>
      </c>
      <c r="CH107" s="574">
        <f>2243.02022+9.623</f>
        <v>2252.6432199999999</v>
      </c>
      <c r="CI107" s="567"/>
      <c r="CJ107" s="567"/>
      <c r="CK107" s="567">
        <f t="shared" si="545"/>
        <v>361.91458</v>
      </c>
      <c r="CL107" s="567"/>
      <c r="CM107" s="567">
        <f t="shared" si="378"/>
        <v>361.91458</v>
      </c>
      <c r="CN107" s="567">
        <v>112.69</v>
      </c>
      <c r="CO107" s="567">
        <v>249.22458</v>
      </c>
      <c r="CP107" s="567"/>
      <c r="CQ107" s="567"/>
      <c r="CR107" s="573">
        <f t="shared" si="546"/>
        <v>3619.1448</v>
      </c>
      <c r="CS107" s="567">
        <f t="shared" si="379"/>
        <v>3619.1448</v>
      </c>
      <c r="CT107" s="567">
        <f t="shared" si="380"/>
        <v>0</v>
      </c>
      <c r="CU107" s="567">
        <f t="shared" si="381"/>
        <v>3619.1448</v>
      </c>
      <c r="CV107" s="567">
        <f t="shared" si="382"/>
        <v>0</v>
      </c>
      <c r="CW107" s="567">
        <f t="shared" si="547"/>
        <v>0</v>
      </c>
      <c r="CX107" s="567">
        <f t="shared" ca="1" si="477"/>
        <v>0</v>
      </c>
      <c r="CY107" s="567">
        <f t="shared" si="383"/>
        <v>0</v>
      </c>
      <c r="CZ107" s="567">
        <f t="shared" si="384"/>
        <v>0</v>
      </c>
      <c r="DA107" s="567">
        <f t="shared" si="385"/>
        <v>0</v>
      </c>
      <c r="DB107" s="2">
        <f t="shared" si="548"/>
        <v>0</v>
      </c>
      <c r="DC107" s="76"/>
      <c r="DD107" s="253"/>
      <c r="DE107" s="253"/>
      <c r="DF107" s="2">
        <f t="shared" si="549"/>
        <v>0</v>
      </c>
      <c r="DG107" s="2"/>
      <c r="DH107" s="2"/>
      <c r="DI107" s="2"/>
      <c r="DJ107" s="2"/>
      <c r="DK107" s="2">
        <f t="shared" si="550"/>
        <v>0</v>
      </c>
      <c r="DL107" s="2"/>
      <c r="DM107" s="2"/>
      <c r="DN107" s="2"/>
      <c r="DO107" s="2"/>
      <c r="DP107" s="2">
        <f t="shared" si="551"/>
        <v>0</v>
      </c>
      <c r="DQ107" s="2">
        <f t="shared" si="552"/>
        <v>0</v>
      </c>
      <c r="DR107" s="2">
        <f t="shared" si="552"/>
        <v>0</v>
      </c>
      <c r="DS107" s="2">
        <f t="shared" si="552"/>
        <v>0</v>
      </c>
      <c r="DT107" s="2">
        <f t="shared" si="552"/>
        <v>0</v>
      </c>
      <c r="DU107" s="2"/>
      <c r="DV107" s="2"/>
      <c r="DW107" s="2"/>
      <c r="DX107" s="2">
        <f t="shared" ca="1" si="553"/>
        <v>0</v>
      </c>
      <c r="DY107" s="46"/>
      <c r="DZ107" s="2">
        <f t="shared" si="554"/>
        <v>3257.2302199999999</v>
      </c>
      <c r="EA107" s="2">
        <f t="shared" si="555"/>
        <v>3257.2302199999999</v>
      </c>
      <c r="EB107" s="46"/>
      <c r="EC107" s="2"/>
      <c r="ED107" s="2"/>
      <c r="EE107" s="46"/>
      <c r="EF107" s="2"/>
      <c r="EG107" s="46"/>
      <c r="EH107" s="46"/>
      <c r="EI107" s="2">
        <f t="shared" si="357"/>
        <v>3257.2302199999999</v>
      </c>
      <c r="EJ107" s="2"/>
      <c r="EK107" s="432">
        <f t="shared" si="386"/>
        <v>3257.2302199999999</v>
      </c>
      <c r="EL107" s="432">
        <f>1014.21-9.623</f>
        <v>1004.587</v>
      </c>
      <c r="EM107" s="432">
        <f>2243.02022+9.623</f>
        <v>2252.6432199999999</v>
      </c>
      <c r="EN107" s="2"/>
      <c r="EO107" s="2"/>
      <c r="EP107" s="2">
        <f t="shared" si="358"/>
        <v>361.91458</v>
      </c>
      <c r="EQ107" s="2"/>
      <c r="ER107" s="2">
        <f t="shared" si="387"/>
        <v>361.91458</v>
      </c>
      <c r="ES107" s="2">
        <v>112.69</v>
      </c>
      <c r="ET107" s="2">
        <v>249.22458</v>
      </c>
      <c r="EU107" s="2"/>
      <c r="EV107" s="141"/>
      <c r="EW107" s="310"/>
      <c r="EX107" s="310"/>
      <c r="EY107" s="310"/>
      <c r="EZ107" s="396"/>
      <c r="FA107" s="396"/>
      <c r="FB107" s="310"/>
      <c r="FC107" s="310"/>
      <c r="FD107" s="310"/>
      <c r="FE107" s="396"/>
      <c r="FF107" s="396"/>
      <c r="FG107" s="396"/>
      <c r="FH107" s="311"/>
      <c r="FI107" s="310"/>
      <c r="FJ107" s="296" t="e">
        <f t="shared" si="556"/>
        <v>#DIV/0!</v>
      </c>
      <c r="FK107" s="353">
        <f t="shared" ref="FK107" si="617">FL107+FM107</f>
        <v>3327.6770000000001</v>
      </c>
      <c r="FL107" s="353">
        <f t="shared" si="564"/>
        <v>3327.6770000000001</v>
      </c>
      <c r="FM107" s="353"/>
      <c r="FN107" s="388">
        <f t="shared" ref="FN107" si="618">FL107/FK107</f>
        <v>1</v>
      </c>
      <c r="FO107" s="388">
        <f t="shared" ref="FO107" si="619">FM107/FK107</f>
        <v>0</v>
      </c>
      <c r="FP107" s="353">
        <f t="shared" ref="FP107" si="620">FQ107+FR107</f>
        <v>3619.1448</v>
      </c>
      <c r="FQ107" s="353">
        <f t="shared" ref="FQ107" si="621">EK107</f>
        <v>3257.2302199999999</v>
      </c>
      <c r="FR107" s="353">
        <f t="shared" ref="FR107" si="622">ER107</f>
        <v>361.91458</v>
      </c>
      <c r="FS107" s="388">
        <f t="shared" ref="FS107" si="623">FQ107/FP107</f>
        <v>0.89999997236916296</v>
      </c>
      <c r="FT107" s="388">
        <f t="shared" ref="FT107" si="624">FR107/FP107</f>
        <v>0.10000002763083699</v>
      </c>
      <c r="FU107" s="388"/>
      <c r="FV107" s="353">
        <f t="shared" ref="FV107" si="625">FP107*FN107</f>
        <v>3619.1448</v>
      </c>
      <c r="FW107" s="353">
        <f t="shared" si="391"/>
        <v>-361.91458000000011</v>
      </c>
      <c r="FX107" s="310">
        <f t="shared" si="607"/>
        <v>0</v>
      </c>
      <c r="FY107" s="310">
        <f>BD107</f>
        <v>0</v>
      </c>
      <c r="FZ107" s="310"/>
      <c r="GA107" s="396" t="e">
        <f t="shared" ref="GA107" si="626">FY107/FX107</f>
        <v>#DIV/0!</v>
      </c>
      <c r="GB107" s="396" t="e">
        <f t="shared" ref="GB107" si="627">FZ107/FX107</f>
        <v>#DIV/0!</v>
      </c>
      <c r="GC107" s="310">
        <f t="shared" ref="GC107" si="628">GD107+GE107</f>
        <v>0</v>
      </c>
      <c r="GD107" s="310">
        <f t="shared" ref="GD107" si="629">EN107</f>
        <v>0</v>
      </c>
      <c r="GE107" s="310">
        <f t="shared" ref="GE107" si="630">EU107</f>
        <v>0</v>
      </c>
      <c r="GF107" s="396" t="e">
        <f t="shared" ref="GF107" si="631">GD107/GC107</f>
        <v>#DIV/0!</v>
      </c>
      <c r="GG107" s="396" t="e">
        <f t="shared" ref="GG107" si="632">GE107/GC107</f>
        <v>#DIV/0!</v>
      </c>
      <c r="GH107" s="396"/>
      <c r="GI107" s="311" t="e">
        <f t="shared" ref="GI107" si="633">GC107*GA107</f>
        <v>#DIV/0!</v>
      </c>
      <c r="GJ107" s="344" t="e">
        <f t="shared" ref="GJ107" si="634">GD107-GI107</f>
        <v>#DIV/0!</v>
      </c>
      <c r="GK107" s="303">
        <f t="shared" si="368"/>
        <v>0.97594912958801494</v>
      </c>
    </row>
    <row r="108" spans="1:193" s="37" customFormat="1" ht="15.6" customHeight="1" x14ac:dyDescent="0.25">
      <c r="B108" s="29"/>
      <c r="C108" s="30"/>
      <c r="D108" s="30">
        <v>1</v>
      </c>
      <c r="E108" s="493">
        <v>88</v>
      </c>
      <c r="F108" s="29"/>
      <c r="G108" s="30"/>
      <c r="H108" s="30">
        <v>1</v>
      </c>
      <c r="I108" s="493"/>
      <c r="J108" s="494"/>
      <c r="K108" s="494"/>
      <c r="L108" s="53"/>
      <c r="M108" s="493">
        <v>70</v>
      </c>
      <c r="N108" s="494" t="s">
        <v>107</v>
      </c>
      <c r="O108" s="494"/>
      <c r="P108" s="469">
        <f t="shared" si="388"/>
        <v>0</v>
      </c>
      <c r="Q108" s="494"/>
      <c r="R108" s="494"/>
      <c r="S108" s="494" t="s">
        <v>541</v>
      </c>
      <c r="T108" s="156">
        <v>2</v>
      </c>
      <c r="U108" s="493"/>
      <c r="V108" s="2">
        <f t="shared" si="369"/>
        <v>3272.9</v>
      </c>
      <c r="W108" s="2"/>
      <c r="X108" s="198">
        <f t="shared" si="605"/>
        <v>3272.9</v>
      </c>
      <c r="Y108" s="198">
        <v>1909.5</v>
      </c>
      <c r="Z108" s="42">
        <v>1363.4</v>
      </c>
      <c r="AA108" s="2"/>
      <c r="AB108" s="567">
        <f t="shared" si="535"/>
        <v>3272.9</v>
      </c>
      <c r="AC108" s="567"/>
      <c r="AD108" s="568">
        <f t="shared" si="606"/>
        <v>3272.9</v>
      </c>
      <c r="AE108" s="568">
        <v>1909.5</v>
      </c>
      <c r="AF108" s="569">
        <v>1363.4</v>
      </c>
      <c r="AG108" s="567"/>
      <c r="AH108" s="570"/>
      <c r="AI108" s="567">
        <f t="shared" si="536"/>
        <v>685.4</v>
      </c>
      <c r="AJ108" s="567"/>
      <c r="AK108" s="568">
        <v>685.4</v>
      </c>
      <c r="AL108" s="567"/>
      <c r="AM108" s="570"/>
      <c r="AN108" s="567">
        <f t="shared" si="537"/>
        <v>685.4</v>
      </c>
      <c r="AO108" s="567"/>
      <c r="AP108" s="568">
        <v>685.4</v>
      </c>
      <c r="AQ108" s="567"/>
      <c r="AR108" s="570"/>
      <c r="AS108" s="567">
        <f t="shared" si="538"/>
        <v>298</v>
      </c>
      <c r="AT108" s="567"/>
      <c r="AU108" s="568">
        <v>298</v>
      </c>
      <c r="AV108" s="567"/>
      <c r="AW108" s="570"/>
      <c r="AX108" s="409" t="s">
        <v>409</v>
      </c>
      <c r="AY108" s="567">
        <f t="shared" si="539"/>
        <v>3272.9</v>
      </c>
      <c r="AZ108" s="567"/>
      <c r="BA108" s="568">
        <f t="shared" si="540"/>
        <v>3272.9</v>
      </c>
      <c r="BB108" s="568">
        <v>1909.5</v>
      </c>
      <c r="BC108" s="569">
        <v>1363.4</v>
      </c>
      <c r="BD108" s="567"/>
      <c r="BE108" s="567"/>
      <c r="BF108" s="567">
        <f t="shared" si="370"/>
        <v>0</v>
      </c>
      <c r="BG108" s="567">
        <f t="shared" si="371"/>
        <v>0</v>
      </c>
      <c r="BH108" s="567">
        <f t="shared" si="372"/>
        <v>0</v>
      </c>
      <c r="BI108" s="567">
        <f t="shared" si="373"/>
        <v>0</v>
      </c>
      <c r="BJ108" s="567">
        <f t="shared" si="374"/>
        <v>0</v>
      </c>
      <c r="BK108" s="567">
        <f t="shared" si="375"/>
        <v>0</v>
      </c>
      <c r="BL108" s="567" t="e">
        <f>#REF!-BE108</f>
        <v>#REF!</v>
      </c>
      <c r="BM108" s="567">
        <f t="shared" si="541"/>
        <v>685.4</v>
      </c>
      <c r="BN108" s="567"/>
      <c r="BO108" s="568">
        <v>685.4</v>
      </c>
      <c r="BP108" s="567"/>
      <c r="BQ108" s="567"/>
      <c r="BR108" s="567">
        <f t="shared" si="542"/>
        <v>0</v>
      </c>
      <c r="BS108" s="567"/>
      <c r="BT108" s="568"/>
      <c r="BU108" s="567"/>
      <c r="BV108" s="567"/>
      <c r="BW108" s="567">
        <f t="shared" si="543"/>
        <v>3093.4226600000002</v>
      </c>
      <c r="BX108" s="567"/>
      <c r="BY108" s="568">
        <f t="shared" si="376"/>
        <v>3093.4226600000002</v>
      </c>
      <c r="BZ108" s="571">
        <v>1867.5526199999999</v>
      </c>
      <c r="CA108" s="571">
        <v>1225.87004</v>
      </c>
      <c r="CB108" s="567"/>
      <c r="CC108" s="567"/>
      <c r="CD108" s="567">
        <f t="shared" si="544"/>
        <v>3093.4226600000002</v>
      </c>
      <c r="CE108" s="567"/>
      <c r="CF108" s="568">
        <f t="shared" si="377"/>
        <v>3093.4226600000002</v>
      </c>
      <c r="CG108" s="571">
        <v>1867.5526199999999</v>
      </c>
      <c r="CH108" s="571">
        <v>1225.87004</v>
      </c>
      <c r="CI108" s="567"/>
      <c r="CJ108" s="567"/>
      <c r="CK108" s="567">
        <f t="shared" si="545"/>
        <v>1305.4671900000001</v>
      </c>
      <c r="CL108" s="567"/>
      <c r="CM108" s="567">
        <v>1305.4671900000001</v>
      </c>
      <c r="CN108" s="567">
        <v>487.30457999999999</v>
      </c>
      <c r="CO108" s="567"/>
      <c r="CP108" s="567"/>
      <c r="CQ108" s="567"/>
      <c r="CR108" s="573">
        <f t="shared" si="546"/>
        <v>4398.8898500000005</v>
      </c>
      <c r="CS108" s="567">
        <f t="shared" si="379"/>
        <v>4398.8898500000005</v>
      </c>
      <c r="CT108" s="567">
        <f t="shared" si="380"/>
        <v>0</v>
      </c>
      <c r="CU108" s="567">
        <f t="shared" si="381"/>
        <v>4398.8898500000005</v>
      </c>
      <c r="CV108" s="567">
        <f t="shared" si="382"/>
        <v>0</v>
      </c>
      <c r="CW108" s="567">
        <f t="shared" si="547"/>
        <v>0</v>
      </c>
      <c r="CX108" s="567">
        <f t="shared" ca="1" si="477"/>
        <v>0</v>
      </c>
      <c r="CY108" s="567">
        <f t="shared" si="383"/>
        <v>0</v>
      </c>
      <c r="CZ108" s="567">
        <f t="shared" si="384"/>
        <v>0</v>
      </c>
      <c r="DA108" s="567">
        <f t="shared" si="385"/>
        <v>0</v>
      </c>
      <c r="DB108" s="2">
        <f t="shared" si="548"/>
        <v>0</v>
      </c>
      <c r="DC108" s="76"/>
      <c r="DD108" s="253"/>
      <c r="DE108" s="253"/>
      <c r="DF108" s="2">
        <f t="shared" si="549"/>
        <v>0</v>
      </c>
      <c r="DG108" s="2"/>
      <c r="DH108" s="198"/>
      <c r="DI108" s="2"/>
      <c r="DJ108" s="2"/>
      <c r="DK108" s="2">
        <f t="shared" si="550"/>
        <v>0</v>
      </c>
      <c r="DL108" s="2"/>
      <c r="DM108" s="198"/>
      <c r="DN108" s="2"/>
      <c r="DO108" s="2"/>
      <c r="DP108" s="2">
        <f t="shared" si="551"/>
        <v>0</v>
      </c>
      <c r="DQ108" s="2">
        <f t="shared" si="552"/>
        <v>0</v>
      </c>
      <c r="DR108" s="2">
        <f t="shared" si="552"/>
        <v>0</v>
      </c>
      <c r="DS108" s="2">
        <f t="shared" si="552"/>
        <v>0</v>
      </c>
      <c r="DT108" s="2">
        <f t="shared" si="552"/>
        <v>0</v>
      </c>
      <c r="DU108" s="2"/>
      <c r="DV108" s="2"/>
      <c r="DW108" s="2"/>
      <c r="DX108" s="2">
        <f t="shared" ca="1" si="553"/>
        <v>0</v>
      </c>
      <c r="DY108" s="46"/>
      <c r="DZ108" s="2">
        <f t="shared" si="554"/>
        <v>3093.4226600000002</v>
      </c>
      <c r="EA108" s="2">
        <f t="shared" si="555"/>
        <v>3093.4226600000002</v>
      </c>
      <c r="EB108" s="46"/>
      <c r="EC108" s="2"/>
      <c r="ED108" s="2"/>
      <c r="EE108" s="46"/>
      <c r="EF108" s="2"/>
      <c r="EG108" s="46"/>
      <c r="EH108" s="46"/>
      <c r="EI108" s="2">
        <f t="shared" si="357"/>
        <v>3093.4226600000002</v>
      </c>
      <c r="EJ108" s="2"/>
      <c r="EK108" s="198">
        <f t="shared" si="386"/>
        <v>3093.4226600000002</v>
      </c>
      <c r="EL108" s="446">
        <v>1867.5526199999999</v>
      </c>
      <c r="EM108" s="446">
        <v>1225.87004</v>
      </c>
      <c r="EN108" s="2"/>
      <c r="EO108" s="2"/>
      <c r="EP108" s="2">
        <f t="shared" si="358"/>
        <v>1305.4671900000001</v>
      </c>
      <c r="EQ108" s="2"/>
      <c r="ER108" s="2">
        <v>1305.4671900000001</v>
      </c>
      <c r="ES108" s="2">
        <v>487.30457999999999</v>
      </c>
      <c r="ET108" s="2">
        <v>818.16260999999997</v>
      </c>
      <c r="EU108" s="2"/>
      <c r="EV108" s="141"/>
      <c r="EW108" s="310"/>
      <c r="EX108" s="310"/>
      <c r="EY108" s="310"/>
      <c r="EZ108" s="396"/>
      <c r="FA108" s="396"/>
      <c r="FB108" s="310"/>
      <c r="FC108" s="310"/>
      <c r="FD108" s="310"/>
      <c r="FE108" s="396"/>
      <c r="FF108" s="396"/>
      <c r="FG108" s="396"/>
      <c r="FH108" s="311"/>
      <c r="FI108" s="310"/>
      <c r="FJ108" s="296" t="e">
        <f t="shared" si="556"/>
        <v>#DIV/0!</v>
      </c>
      <c r="FK108" s="353">
        <f t="shared" si="389"/>
        <v>3272.9</v>
      </c>
      <c r="FL108" s="353">
        <f t="shared" si="564"/>
        <v>3272.9</v>
      </c>
      <c r="FM108" s="353"/>
      <c r="FN108" s="388"/>
      <c r="FO108" s="388"/>
      <c r="FP108" s="353">
        <f t="shared" si="390"/>
        <v>4398.8898500000005</v>
      </c>
      <c r="FQ108" s="353">
        <f t="shared" si="559"/>
        <v>3093.4226600000002</v>
      </c>
      <c r="FR108" s="353">
        <f t="shared" si="560"/>
        <v>1305.4671900000001</v>
      </c>
      <c r="FS108" s="388"/>
      <c r="FT108" s="388"/>
      <c r="FU108" s="388"/>
      <c r="FV108" s="353">
        <f t="shared" si="563"/>
        <v>0</v>
      </c>
      <c r="FW108" s="353">
        <f t="shared" si="391"/>
        <v>3093.4226600000002</v>
      </c>
      <c r="FX108" s="310"/>
      <c r="FY108" s="310"/>
      <c r="FZ108" s="310"/>
      <c r="GA108" s="396"/>
      <c r="GB108" s="396"/>
      <c r="GC108" s="310"/>
      <c r="GD108" s="310"/>
      <c r="GE108" s="310"/>
      <c r="GF108" s="396"/>
      <c r="GG108" s="396"/>
      <c r="GH108" s="396"/>
      <c r="GI108" s="311"/>
      <c r="GJ108" s="344"/>
      <c r="GK108" s="303">
        <f t="shared" si="368"/>
        <v>0.94516259586299611</v>
      </c>
    </row>
    <row r="109" spans="1:193" s="37" customFormat="1" ht="15.6" customHeight="1" x14ac:dyDescent="0.25">
      <c r="B109" s="29"/>
      <c r="C109" s="30"/>
      <c r="D109" s="30">
        <v>1</v>
      </c>
      <c r="E109" s="493">
        <v>89</v>
      </c>
      <c r="F109" s="29"/>
      <c r="G109" s="30"/>
      <c r="H109" s="30">
        <v>1</v>
      </c>
      <c r="I109" s="493"/>
      <c r="J109" s="494"/>
      <c r="K109" s="494"/>
      <c r="L109" s="53"/>
      <c r="M109" s="493">
        <v>71</v>
      </c>
      <c r="N109" s="494" t="s">
        <v>208</v>
      </c>
      <c r="O109" s="494"/>
      <c r="P109" s="494">
        <f t="shared" si="388"/>
        <v>0</v>
      </c>
      <c r="Q109" s="494" t="s">
        <v>701</v>
      </c>
      <c r="R109" s="494" t="s">
        <v>699</v>
      </c>
      <c r="S109" s="494" t="s">
        <v>542</v>
      </c>
      <c r="T109" s="156">
        <v>2</v>
      </c>
      <c r="U109" s="493">
        <v>1</v>
      </c>
      <c r="V109" s="2">
        <f t="shared" si="369"/>
        <v>6541.5</v>
      </c>
      <c r="W109" s="2"/>
      <c r="X109" s="198">
        <f t="shared" si="605"/>
        <v>6541.5</v>
      </c>
      <c r="Y109" s="198">
        <v>3472.8</v>
      </c>
      <c r="Z109" s="42">
        <v>3068.7</v>
      </c>
      <c r="AA109" s="2"/>
      <c r="AB109" s="567">
        <f t="shared" si="535"/>
        <v>6541.5</v>
      </c>
      <c r="AC109" s="567"/>
      <c r="AD109" s="568">
        <f t="shared" si="606"/>
        <v>6541.5</v>
      </c>
      <c r="AE109" s="568">
        <v>3472.8</v>
      </c>
      <c r="AF109" s="569">
        <v>3068.7</v>
      </c>
      <c r="AG109" s="567"/>
      <c r="AH109" s="570"/>
      <c r="AI109" s="567">
        <f t="shared" si="536"/>
        <v>770.5</v>
      </c>
      <c r="AJ109" s="567"/>
      <c r="AK109" s="568">
        <v>770.5</v>
      </c>
      <c r="AL109" s="567"/>
      <c r="AM109" s="570"/>
      <c r="AN109" s="567">
        <f t="shared" si="537"/>
        <v>770.5</v>
      </c>
      <c r="AO109" s="567"/>
      <c r="AP109" s="568">
        <v>770.5</v>
      </c>
      <c r="AQ109" s="567"/>
      <c r="AR109" s="570"/>
      <c r="AS109" s="567">
        <f t="shared" si="538"/>
        <v>335</v>
      </c>
      <c r="AT109" s="567"/>
      <c r="AU109" s="568">
        <v>335</v>
      </c>
      <c r="AV109" s="567"/>
      <c r="AW109" s="570"/>
      <c r="AX109" s="409" t="s">
        <v>695</v>
      </c>
      <c r="AY109" s="567">
        <f t="shared" si="539"/>
        <v>6541.5</v>
      </c>
      <c r="AZ109" s="567"/>
      <c r="BA109" s="568">
        <f t="shared" si="540"/>
        <v>6541.5</v>
      </c>
      <c r="BB109" s="568">
        <v>3472.8</v>
      </c>
      <c r="BC109" s="569">
        <v>3068.7</v>
      </c>
      <c r="BD109" s="567"/>
      <c r="BE109" s="570"/>
      <c r="BF109" s="567">
        <f t="shared" si="370"/>
        <v>0</v>
      </c>
      <c r="BG109" s="567">
        <f t="shared" si="371"/>
        <v>0</v>
      </c>
      <c r="BH109" s="567">
        <f t="shared" si="372"/>
        <v>0</v>
      </c>
      <c r="BI109" s="567">
        <f t="shared" si="373"/>
        <v>0</v>
      </c>
      <c r="BJ109" s="567">
        <f t="shared" si="374"/>
        <v>0</v>
      </c>
      <c r="BK109" s="567">
        <f t="shared" si="375"/>
        <v>0</v>
      </c>
      <c r="BL109" s="567" t="e">
        <f>#REF!-BE109</f>
        <v>#REF!</v>
      </c>
      <c r="BM109" s="567">
        <f t="shared" si="541"/>
        <v>770.5</v>
      </c>
      <c r="BN109" s="567"/>
      <c r="BO109" s="568">
        <f>335+435.5</f>
        <v>770.5</v>
      </c>
      <c r="BP109" s="567"/>
      <c r="BQ109" s="570"/>
      <c r="BR109" s="567">
        <f t="shared" si="542"/>
        <v>0</v>
      </c>
      <c r="BS109" s="567"/>
      <c r="BT109" s="568"/>
      <c r="BU109" s="567"/>
      <c r="BV109" s="570"/>
      <c r="BW109" s="567">
        <f t="shared" si="543"/>
        <v>6510.4166800000003</v>
      </c>
      <c r="BX109" s="567"/>
      <c r="BY109" s="568">
        <f t="shared" si="376"/>
        <v>6510.4166800000003</v>
      </c>
      <c r="BZ109" s="571">
        <v>3472.8</v>
      </c>
      <c r="CA109" s="571">
        <v>3037.6166800000001</v>
      </c>
      <c r="CB109" s="567"/>
      <c r="CC109" s="577"/>
      <c r="CD109" s="567">
        <f t="shared" si="544"/>
        <v>6510.4166800000003</v>
      </c>
      <c r="CE109" s="567"/>
      <c r="CF109" s="568">
        <f t="shared" si="377"/>
        <v>6510.4166800000003</v>
      </c>
      <c r="CG109" s="571">
        <v>3472.8</v>
      </c>
      <c r="CH109" s="571">
        <v>3037.6166800000001</v>
      </c>
      <c r="CI109" s="567"/>
      <c r="CJ109" s="577"/>
      <c r="CK109" s="567">
        <f t="shared" si="545"/>
        <v>853.89571999999998</v>
      </c>
      <c r="CL109" s="567"/>
      <c r="CM109" s="567">
        <f t="shared" si="378"/>
        <v>853.89571999999998</v>
      </c>
      <c r="CN109" s="567">
        <v>392.52839999999998</v>
      </c>
      <c r="CO109" s="567">
        <v>461.36732000000001</v>
      </c>
      <c r="CP109" s="567"/>
      <c r="CQ109" s="567"/>
      <c r="CR109" s="573">
        <f t="shared" si="546"/>
        <v>7364.3124000000007</v>
      </c>
      <c r="CS109" s="567">
        <f t="shared" si="379"/>
        <v>7364.3124000000007</v>
      </c>
      <c r="CT109" s="567">
        <f t="shared" si="380"/>
        <v>0</v>
      </c>
      <c r="CU109" s="567">
        <f t="shared" si="381"/>
        <v>7364.3124000000007</v>
      </c>
      <c r="CV109" s="567">
        <f t="shared" si="382"/>
        <v>0</v>
      </c>
      <c r="CW109" s="567">
        <f t="shared" si="547"/>
        <v>0</v>
      </c>
      <c r="CX109" s="567">
        <f t="shared" ca="1" si="477"/>
        <v>0</v>
      </c>
      <c r="CY109" s="567">
        <f t="shared" si="383"/>
        <v>0</v>
      </c>
      <c r="CZ109" s="567">
        <f t="shared" si="384"/>
        <v>0</v>
      </c>
      <c r="DA109" s="567">
        <f t="shared" si="385"/>
        <v>0</v>
      </c>
      <c r="DB109" s="2">
        <f t="shared" si="548"/>
        <v>0</v>
      </c>
      <c r="DC109" s="76"/>
      <c r="DD109" s="253"/>
      <c r="DE109" s="253"/>
      <c r="DF109" s="2">
        <f t="shared" si="549"/>
        <v>0</v>
      </c>
      <c r="DG109" s="2"/>
      <c r="DH109" s="198"/>
      <c r="DI109" s="2"/>
      <c r="DJ109" s="234"/>
      <c r="DK109" s="2">
        <f t="shared" si="550"/>
        <v>0</v>
      </c>
      <c r="DL109" s="2"/>
      <c r="DM109" s="198"/>
      <c r="DN109" s="2"/>
      <c r="DO109" s="234"/>
      <c r="DP109" s="2">
        <f t="shared" si="551"/>
        <v>0</v>
      </c>
      <c r="DQ109" s="2">
        <f t="shared" si="552"/>
        <v>0</v>
      </c>
      <c r="DR109" s="2">
        <f t="shared" si="552"/>
        <v>0</v>
      </c>
      <c r="DS109" s="2">
        <f t="shared" si="552"/>
        <v>0</v>
      </c>
      <c r="DT109" s="2">
        <f t="shared" si="552"/>
        <v>0</v>
      </c>
      <c r="DU109" s="2"/>
      <c r="DV109" s="2"/>
      <c r="DW109" s="2"/>
      <c r="DX109" s="2">
        <f t="shared" ca="1" si="553"/>
        <v>0</v>
      </c>
      <c r="DY109" s="46"/>
      <c r="DZ109" s="2">
        <f t="shared" si="554"/>
        <v>6510.4166800000003</v>
      </c>
      <c r="EA109" s="2">
        <f t="shared" si="555"/>
        <v>6510.4166800000003</v>
      </c>
      <c r="EB109" s="46"/>
      <c r="EC109" s="2"/>
      <c r="ED109" s="2"/>
      <c r="EE109" s="46"/>
      <c r="EF109" s="2"/>
      <c r="EG109" s="46"/>
      <c r="EH109" s="46"/>
      <c r="EI109" s="2">
        <f t="shared" si="357"/>
        <v>6510.4166800000003</v>
      </c>
      <c r="EJ109" s="2"/>
      <c r="EK109" s="198">
        <f t="shared" si="386"/>
        <v>6510.4166800000003</v>
      </c>
      <c r="EL109" s="446">
        <v>3472.8</v>
      </c>
      <c r="EM109" s="446">
        <v>3037.6166800000001</v>
      </c>
      <c r="EN109" s="2"/>
      <c r="EO109" s="236"/>
      <c r="EP109" s="2">
        <f t="shared" si="358"/>
        <v>853.89571999999998</v>
      </c>
      <c r="EQ109" s="2"/>
      <c r="ER109" s="2">
        <f t="shared" si="387"/>
        <v>853.89571999999998</v>
      </c>
      <c r="ES109" s="2">
        <v>392.52839999999998</v>
      </c>
      <c r="ET109" s="2">
        <v>461.36732000000001</v>
      </c>
      <c r="EU109" s="2"/>
      <c r="EV109" s="141"/>
      <c r="EW109" s="310"/>
      <c r="EX109" s="310"/>
      <c r="EY109" s="310"/>
      <c r="EZ109" s="396"/>
      <c r="FA109" s="396"/>
      <c r="FB109" s="310"/>
      <c r="FC109" s="310"/>
      <c r="FD109" s="310"/>
      <c r="FE109" s="396"/>
      <c r="FF109" s="396"/>
      <c r="FG109" s="396"/>
      <c r="FH109" s="311"/>
      <c r="FI109" s="310"/>
      <c r="FJ109" s="296" t="e">
        <f t="shared" si="556"/>
        <v>#DIV/0!</v>
      </c>
      <c r="FK109" s="353">
        <f t="shared" si="389"/>
        <v>6541.5</v>
      </c>
      <c r="FL109" s="353">
        <f t="shared" si="564"/>
        <v>6541.5</v>
      </c>
      <c r="FM109" s="353"/>
      <c r="FN109" s="388"/>
      <c r="FO109" s="388"/>
      <c r="FP109" s="353">
        <f t="shared" si="390"/>
        <v>7364.3124000000007</v>
      </c>
      <c r="FQ109" s="353">
        <f t="shared" si="559"/>
        <v>6510.4166800000003</v>
      </c>
      <c r="FR109" s="353">
        <f t="shared" si="560"/>
        <v>853.89571999999998</v>
      </c>
      <c r="FS109" s="388"/>
      <c r="FT109" s="388"/>
      <c r="FU109" s="388"/>
      <c r="FV109" s="353">
        <f t="shared" si="563"/>
        <v>0</v>
      </c>
      <c r="FW109" s="353">
        <f t="shared" si="391"/>
        <v>6510.4166800000003</v>
      </c>
      <c r="FX109" s="310"/>
      <c r="FY109" s="310"/>
      <c r="FZ109" s="310"/>
      <c r="GA109" s="396"/>
      <c r="GB109" s="396"/>
      <c r="GC109" s="310"/>
      <c r="GD109" s="310"/>
      <c r="GE109" s="310"/>
      <c r="GF109" s="396"/>
      <c r="GG109" s="396"/>
      <c r="GH109" s="396"/>
      <c r="GI109" s="311"/>
      <c r="GJ109" s="344"/>
      <c r="GK109" s="303">
        <f t="shared" si="368"/>
        <v>0.99524828861881831</v>
      </c>
    </row>
    <row r="110" spans="1:193" s="37" customFormat="1" ht="15.6" customHeight="1" x14ac:dyDescent="0.25">
      <c r="B110" s="29"/>
      <c r="C110" s="30"/>
      <c r="D110" s="30">
        <v>1</v>
      </c>
      <c r="E110" s="493">
        <v>90</v>
      </c>
      <c r="F110" s="29"/>
      <c r="G110" s="30"/>
      <c r="H110" s="30">
        <v>1</v>
      </c>
      <c r="I110" s="493"/>
      <c r="J110" s="494"/>
      <c r="K110" s="494"/>
      <c r="L110" s="53"/>
      <c r="M110" s="493">
        <v>72</v>
      </c>
      <c r="N110" s="494" t="s">
        <v>175</v>
      </c>
      <c r="O110" s="494"/>
      <c r="P110" s="494">
        <f t="shared" si="388"/>
        <v>0</v>
      </c>
      <c r="Q110" s="494" t="s">
        <v>701</v>
      </c>
      <c r="R110" s="494" t="s">
        <v>699</v>
      </c>
      <c r="S110" s="494" t="s">
        <v>373</v>
      </c>
      <c r="T110" s="156">
        <v>2</v>
      </c>
      <c r="U110" s="493">
        <v>1</v>
      </c>
      <c r="V110" s="2">
        <f t="shared" si="369"/>
        <v>4234.8379999999997</v>
      </c>
      <c r="W110" s="2"/>
      <c r="X110" s="198">
        <f t="shared" si="605"/>
        <v>3217.5</v>
      </c>
      <c r="Y110" s="198">
        <v>3217.5</v>
      </c>
      <c r="Z110" s="42">
        <f>2463.8-2463.8</f>
        <v>0</v>
      </c>
      <c r="AA110" s="2">
        <v>1017.338</v>
      </c>
      <c r="AB110" s="567">
        <f t="shared" si="535"/>
        <v>4234.8379999999997</v>
      </c>
      <c r="AC110" s="567"/>
      <c r="AD110" s="568">
        <f t="shared" si="606"/>
        <v>3217.5</v>
      </c>
      <c r="AE110" s="568">
        <v>3217.5</v>
      </c>
      <c r="AF110" s="569">
        <f>2463.8-2463.8</f>
        <v>0</v>
      </c>
      <c r="AG110" s="567">
        <v>1017.338</v>
      </c>
      <c r="AH110" s="570"/>
      <c r="AI110" s="567">
        <f t="shared" si="536"/>
        <v>1083.3</v>
      </c>
      <c r="AJ110" s="567"/>
      <c r="AK110" s="568">
        <v>1083.3</v>
      </c>
      <c r="AL110" s="567"/>
      <c r="AM110" s="570"/>
      <c r="AN110" s="567">
        <f t="shared" si="537"/>
        <v>1083.3</v>
      </c>
      <c r="AO110" s="567"/>
      <c r="AP110" s="568">
        <v>1083.3</v>
      </c>
      <c r="AQ110" s="567"/>
      <c r="AR110" s="570"/>
      <c r="AS110" s="567">
        <f t="shared" si="538"/>
        <v>471</v>
      </c>
      <c r="AT110" s="567"/>
      <c r="AU110" s="568">
        <v>471</v>
      </c>
      <c r="AV110" s="567"/>
      <c r="AW110" s="570"/>
      <c r="AX110" s="409" t="s">
        <v>688</v>
      </c>
      <c r="AY110" s="567">
        <f t="shared" si="539"/>
        <v>4048.64012</v>
      </c>
      <c r="AZ110" s="567"/>
      <c r="BA110" s="568">
        <f t="shared" si="540"/>
        <v>3031.3026199999999</v>
      </c>
      <c r="BB110" s="568">
        <f>3217.5-186.19738</f>
        <v>3031.3026199999999</v>
      </c>
      <c r="BC110" s="569"/>
      <c r="BD110" s="567">
        <v>1017.3375</v>
      </c>
      <c r="BE110" s="570"/>
      <c r="BF110" s="567">
        <f t="shared" si="370"/>
        <v>186.19788000000005</v>
      </c>
      <c r="BG110" s="567">
        <f t="shared" si="371"/>
        <v>0</v>
      </c>
      <c r="BH110" s="567">
        <f t="shared" si="372"/>
        <v>186.19738000000007</v>
      </c>
      <c r="BI110" s="567">
        <f t="shared" si="373"/>
        <v>186.19738000000007</v>
      </c>
      <c r="BJ110" s="567">
        <f t="shared" si="374"/>
        <v>0</v>
      </c>
      <c r="BK110" s="567">
        <f t="shared" si="375"/>
        <v>4.9999999998817657E-4</v>
      </c>
      <c r="BL110" s="567" t="e">
        <f>#REF!-BE110</f>
        <v>#REF!</v>
      </c>
      <c r="BM110" s="567">
        <f t="shared" si="541"/>
        <v>1083.3</v>
      </c>
      <c r="BN110" s="567"/>
      <c r="BO110" s="568">
        <f>471+612.3</f>
        <v>1083.3</v>
      </c>
      <c r="BP110" s="567"/>
      <c r="BQ110" s="570"/>
      <c r="BR110" s="567">
        <f t="shared" si="542"/>
        <v>0</v>
      </c>
      <c r="BS110" s="567"/>
      <c r="BT110" s="568"/>
      <c r="BU110" s="567"/>
      <c r="BV110" s="570"/>
      <c r="BW110" s="567">
        <f t="shared" si="543"/>
        <v>3550.8894599999994</v>
      </c>
      <c r="BX110" s="567"/>
      <c r="BY110" s="568">
        <f t="shared" si="376"/>
        <v>2742.1063299999996</v>
      </c>
      <c r="BZ110" s="571">
        <f>382.75112+1897.39178+461.96343</f>
        <v>2742.1063299999996</v>
      </c>
      <c r="CA110" s="571"/>
      <c r="CB110" s="567">
        <v>808.78313000000003</v>
      </c>
      <c r="CC110" s="577"/>
      <c r="CD110" s="567">
        <f t="shared" si="544"/>
        <v>3550.8894599999994</v>
      </c>
      <c r="CE110" s="567"/>
      <c r="CF110" s="568">
        <f t="shared" si="377"/>
        <v>2742.1063299999996</v>
      </c>
      <c r="CG110" s="571">
        <f>382.75112+1897.39178+461.96343</f>
        <v>2742.1063299999996</v>
      </c>
      <c r="CH110" s="571"/>
      <c r="CI110" s="567">
        <v>808.78313000000003</v>
      </c>
      <c r="CJ110" s="577"/>
      <c r="CK110" s="567">
        <f t="shared" si="545"/>
        <v>1470.6400600000002</v>
      </c>
      <c r="CL110" s="567"/>
      <c r="CM110" s="567">
        <v>1380.7752700000001</v>
      </c>
      <c r="CN110" s="567">
        <f>192.7326+955.42307</f>
        <v>1148.1556700000001</v>
      </c>
      <c r="CO110" s="567"/>
      <c r="CP110" s="567">
        <v>89.864789999999999</v>
      </c>
      <c r="CQ110" s="567"/>
      <c r="CR110" s="573">
        <f t="shared" si="546"/>
        <v>5021.52952</v>
      </c>
      <c r="CS110" s="567">
        <f t="shared" si="379"/>
        <v>5021.52952</v>
      </c>
      <c r="CT110" s="567">
        <f t="shared" si="380"/>
        <v>0</v>
      </c>
      <c r="CU110" s="567">
        <f t="shared" si="381"/>
        <v>4122.8815999999997</v>
      </c>
      <c r="CV110" s="567">
        <f t="shared" si="382"/>
        <v>898.64792</v>
      </c>
      <c r="CW110" s="567">
        <f t="shared" si="547"/>
        <v>0</v>
      </c>
      <c r="CX110" s="567">
        <f t="shared" ca="1" si="477"/>
        <v>0</v>
      </c>
      <c r="CY110" s="567">
        <f t="shared" si="383"/>
        <v>0</v>
      </c>
      <c r="CZ110" s="567">
        <f t="shared" si="384"/>
        <v>0</v>
      </c>
      <c r="DA110" s="567">
        <f t="shared" si="385"/>
        <v>0</v>
      </c>
      <c r="DB110" s="2">
        <f t="shared" si="548"/>
        <v>0</v>
      </c>
      <c r="DC110" s="76"/>
      <c r="DD110" s="253"/>
      <c r="DE110" s="253"/>
      <c r="DF110" s="2">
        <f t="shared" si="549"/>
        <v>0</v>
      </c>
      <c r="DG110" s="2"/>
      <c r="DH110" s="198"/>
      <c r="DI110" s="2"/>
      <c r="DJ110" s="234"/>
      <c r="DK110" s="2">
        <f t="shared" si="550"/>
        <v>0</v>
      </c>
      <c r="DL110" s="2"/>
      <c r="DM110" s="198"/>
      <c r="DN110" s="2"/>
      <c r="DO110" s="234"/>
      <c r="DP110" s="2">
        <f t="shared" si="551"/>
        <v>0</v>
      </c>
      <c r="DQ110" s="2">
        <f t="shared" si="552"/>
        <v>0</v>
      </c>
      <c r="DR110" s="2">
        <f t="shared" si="552"/>
        <v>0</v>
      </c>
      <c r="DS110" s="2">
        <f t="shared" si="552"/>
        <v>0</v>
      </c>
      <c r="DT110" s="2">
        <f t="shared" si="552"/>
        <v>0</v>
      </c>
      <c r="DU110" s="2"/>
      <c r="DV110" s="2"/>
      <c r="DW110" s="2"/>
      <c r="DX110" s="2">
        <f t="shared" ca="1" si="553"/>
        <v>0</v>
      </c>
      <c r="DY110" s="46"/>
      <c r="DZ110" s="2">
        <f t="shared" si="554"/>
        <v>3550.8894599999994</v>
      </c>
      <c r="EA110" s="2">
        <f t="shared" si="555"/>
        <v>3550.8894599999994</v>
      </c>
      <c r="EB110" s="46"/>
      <c r="EC110" s="2"/>
      <c r="ED110" s="2"/>
      <c r="EE110" s="46"/>
      <c r="EF110" s="2"/>
      <c r="EG110" s="46"/>
      <c r="EH110" s="46"/>
      <c r="EI110" s="2">
        <f t="shared" si="357"/>
        <v>3550.8894599999994</v>
      </c>
      <c r="EJ110" s="2"/>
      <c r="EK110" s="198">
        <f t="shared" si="386"/>
        <v>2742.1063299999996</v>
      </c>
      <c r="EL110" s="446">
        <f>382.75112+1897.39178+461.96343</f>
        <v>2742.1063299999996</v>
      </c>
      <c r="EM110" s="446"/>
      <c r="EN110" s="2">
        <v>808.78313000000003</v>
      </c>
      <c r="EO110" s="236"/>
      <c r="EP110" s="2">
        <f t="shared" si="358"/>
        <v>1470.6400600000002</v>
      </c>
      <c r="EQ110" s="2"/>
      <c r="ER110" s="2">
        <v>1380.7752700000001</v>
      </c>
      <c r="ES110" s="2">
        <f>192.7326+955.42307+232.6196</f>
        <v>1380.7752700000001</v>
      </c>
      <c r="ET110" s="2"/>
      <c r="EU110" s="2">
        <v>89.864789999999999</v>
      </c>
      <c r="EV110" s="141"/>
      <c r="EW110" s="385"/>
      <c r="EX110" s="385"/>
      <c r="EY110" s="310"/>
      <c r="EZ110" s="396"/>
      <c r="FA110" s="396"/>
      <c r="FB110" s="310"/>
      <c r="FC110" s="310"/>
      <c r="FD110" s="310"/>
      <c r="FE110" s="396"/>
      <c r="FF110" s="396"/>
      <c r="FG110" s="396"/>
      <c r="FH110" s="311"/>
      <c r="FI110" s="310"/>
      <c r="FJ110" s="296" t="e">
        <f t="shared" si="556"/>
        <v>#DIV/0!</v>
      </c>
      <c r="FK110" s="353">
        <f t="shared" si="389"/>
        <v>3031.3026199999999</v>
      </c>
      <c r="FL110" s="353">
        <f t="shared" si="564"/>
        <v>3031.3026199999999</v>
      </c>
      <c r="FM110" s="353"/>
      <c r="FN110" s="388"/>
      <c r="FO110" s="388"/>
      <c r="FP110" s="353">
        <f t="shared" si="390"/>
        <v>4122.8815999999997</v>
      </c>
      <c r="FQ110" s="353">
        <f t="shared" si="559"/>
        <v>2742.1063299999996</v>
      </c>
      <c r="FR110" s="353">
        <f t="shared" si="560"/>
        <v>1380.7752700000001</v>
      </c>
      <c r="FS110" s="388"/>
      <c r="FT110" s="388"/>
      <c r="FU110" s="388"/>
      <c r="FV110" s="353">
        <f t="shared" si="563"/>
        <v>0</v>
      </c>
      <c r="FW110" s="353">
        <f t="shared" si="391"/>
        <v>2742.1063299999996</v>
      </c>
      <c r="FX110" s="310"/>
      <c r="FY110" s="310"/>
      <c r="FZ110" s="310"/>
      <c r="GA110" s="396"/>
      <c r="GB110" s="396"/>
      <c r="GC110" s="310"/>
      <c r="GD110" s="310"/>
      <c r="GE110" s="310"/>
      <c r="GF110" s="396"/>
      <c r="GG110" s="396"/>
      <c r="GH110" s="396"/>
      <c r="GI110" s="311"/>
      <c r="GJ110" s="344"/>
      <c r="GK110" s="303">
        <f t="shared" si="368"/>
        <v>0.83849475706036447</v>
      </c>
    </row>
    <row r="111" spans="1:193" s="37" customFormat="1" ht="15.6" customHeight="1" x14ac:dyDescent="0.25">
      <c r="B111" s="29"/>
      <c r="C111" s="30"/>
      <c r="D111" s="30">
        <v>1</v>
      </c>
      <c r="E111" s="493">
        <v>91</v>
      </c>
      <c r="F111" s="29"/>
      <c r="G111" s="30"/>
      <c r="H111" s="30">
        <v>1</v>
      </c>
      <c r="I111" s="493"/>
      <c r="J111" s="494"/>
      <c r="K111" s="494"/>
      <c r="L111" s="53"/>
      <c r="M111" s="493">
        <v>73</v>
      </c>
      <c r="N111" s="494" t="s">
        <v>108</v>
      </c>
      <c r="O111" s="494"/>
      <c r="P111" s="494">
        <f t="shared" si="388"/>
        <v>0</v>
      </c>
      <c r="Q111" s="494"/>
      <c r="R111" s="494"/>
      <c r="S111" s="494">
        <v>380</v>
      </c>
      <c r="T111" s="156">
        <v>2</v>
      </c>
      <c r="U111" s="493">
        <v>2</v>
      </c>
      <c r="V111" s="2">
        <f t="shared" si="369"/>
        <v>7599.8</v>
      </c>
      <c r="W111" s="2">
        <v>5089.8</v>
      </c>
      <c r="X111" s="198">
        <f t="shared" si="605"/>
        <v>2510</v>
      </c>
      <c r="Y111" s="198"/>
      <c r="Z111" s="42">
        <v>2510</v>
      </c>
      <c r="AA111" s="2"/>
      <c r="AB111" s="567">
        <f t="shared" si="535"/>
        <v>7599.8</v>
      </c>
      <c r="AC111" s="567">
        <v>5089.8</v>
      </c>
      <c r="AD111" s="568">
        <f t="shared" si="606"/>
        <v>2510</v>
      </c>
      <c r="AE111" s="568"/>
      <c r="AF111" s="569">
        <v>2510</v>
      </c>
      <c r="AG111" s="567"/>
      <c r="AH111" s="570"/>
      <c r="AI111" s="567">
        <f t="shared" si="536"/>
        <v>3082.1</v>
      </c>
      <c r="AJ111" s="567">
        <v>1950.5</v>
      </c>
      <c r="AK111" s="568">
        <v>1131.5999999999999</v>
      </c>
      <c r="AL111" s="567"/>
      <c r="AM111" s="570"/>
      <c r="AN111" s="567">
        <f t="shared" si="537"/>
        <v>3082.1</v>
      </c>
      <c r="AO111" s="567">
        <v>1950.5</v>
      </c>
      <c r="AP111" s="568">
        <v>1131.5999999999999</v>
      </c>
      <c r="AQ111" s="567"/>
      <c r="AR111" s="570"/>
      <c r="AS111" s="567">
        <f t="shared" si="538"/>
        <v>2442.5</v>
      </c>
      <c r="AT111" s="567">
        <v>1950.5</v>
      </c>
      <c r="AU111" s="568">
        <v>492</v>
      </c>
      <c r="AV111" s="567"/>
      <c r="AW111" s="570"/>
      <c r="AX111" s="409" t="s">
        <v>732</v>
      </c>
      <c r="AY111" s="567">
        <f t="shared" si="539"/>
        <v>7599.8</v>
      </c>
      <c r="AZ111" s="567">
        <f>9417.292-9417.292+5089.8</f>
        <v>5089.8</v>
      </c>
      <c r="BA111" s="568">
        <f t="shared" si="540"/>
        <v>2510</v>
      </c>
      <c r="BB111" s="568"/>
      <c r="BC111" s="569">
        <v>2510</v>
      </c>
      <c r="BD111" s="567"/>
      <c r="BE111" s="570"/>
      <c r="BF111" s="567">
        <f t="shared" si="370"/>
        <v>0</v>
      </c>
      <c r="BG111" s="567">
        <f t="shared" si="371"/>
        <v>0</v>
      </c>
      <c r="BH111" s="567">
        <f t="shared" si="372"/>
        <v>0</v>
      </c>
      <c r="BI111" s="567">
        <f t="shared" si="373"/>
        <v>0</v>
      </c>
      <c r="BJ111" s="567">
        <f t="shared" si="374"/>
        <v>0</v>
      </c>
      <c r="BK111" s="567">
        <f t="shared" si="375"/>
        <v>0</v>
      </c>
      <c r="BL111" s="567" t="e">
        <f>#REF!-BE111</f>
        <v>#REF!</v>
      </c>
      <c r="BM111" s="567">
        <f t="shared" si="541"/>
        <v>1131.5999999999999</v>
      </c>
      <c r="BN111" s="567"/>
      <c r="BO111" s="568">
        <v>1131.5999999999999</v>
      </c>
      <c r="BP111" s="567"/>
      <c r="BQ111" s="570"/>
      <c r="BR111" s="567">
        <f t="shared" si="542"/>
        <v>0</v>
      </c>
      <c r="BS111" s="567"/>
      <c r="BT111" s="570"/>
      <c r="BU111" s="567"/>
      <c r="BV111" s="570"/>
      <c r="BW111" s="567">
        <f t="shared" si="543"/>
        <v>2434.6999999999998</v>
      </c>
      <c r="BX111" s="567"/>
      <c r="BY111" s="578">
        <f t="shared" si="376"/>
        <v>2434.6999999999998</v>
      </c>
      <c r="BZ111" s="571"/>
      <c r="CA111" s="571">
        <v>2434.6999999999998</v>
      </c>
      <c r="CB111" s="567"/>
      <c r="CC111" s="577"/>
      <c r="CD111" s="567">
        <f t="shared" si="544"/>
        <v>2434.6999999999998</v>
      </c>
      <c r="CE111" s="567"/>
      <c r="CF111" s="578">
        <f t="shared" si="377"/>
        <v>2434.6999999999998</v>
      </c>
      <c r="CG111" s="571"/>
      <c r="CH111" s="571">
        <v>2434.6999999999998</v>
      </c>
      <c r="CI111" s="567"/>
      <c r="CJ111" s="577"/>
      <c r="CK111" s="567">
        <f t="shared" si="545"/>
        <v>266.70731999999998</v>
      </c>
      <c r="CL111" s="567"/>
      <c r="CM111" s="567">
        <v>266.70731999999998</v>
      </c>
      <c r="CN111" s="567"/>
      <c r="CO111" s="567"/>
      <c r="CP111" s="567"/>
      <c r="CQ111" s="567"/>
      <c r="CR111" s="573">
        <f t="shared" si="546"/>
        <v>2701.4073199999998</v>
      </c>
      <c r="CS111" s="567">
        <f t="shared" si="379"/>
        <v>2701.4073199999998</v>
      </c>
      <c r="CT111" s="567">
        <f t="shared" si="380"/>
        <v>0</v>
      </c>
      <c r="CU111" s="567">
        <f t="shared" si="381"/>
        <v>2701.4073199999998</v>
      </c>
      <c r="CV111" s="567">
        <f t="shared" si="382"/>
        <v>0</v>
      </c>
      <c r="CW111" s="567">
        <f t="shared" si="547"/>
        <v>0</v>
      </c>
      <c r="CX111" s="567">
        <f t="shared" ca="1" si="477"/>
        <v>0</v>
      </c>
      <c r="CY111" s="567">
        <f t="shared" si="383"/>
        <v>0</v>
      </c>
      <c r="CZ111" s="567">
        <f t="shared" si="384"/>
        <v>0</v>
      </c>
      <c r="DA111" s="567">
        <f t="shared" si="385"/>
        <v>0</v>
      </c>
      <c r="DB111" s="2">
        <f t="shared" si="548"/>
        <v>0</v>
      </c>
      <c r="DC111" s="76"/>
      <c r="DD111" s="253"/>
      <c r="DE111" s="253"/>
      <c r="DF111" s="2">
        <f t="shared" si="549"/>
        <v>0</v>
      </c>
      <c r="DG111" s="2"/>
      <c r="DH111" s="234"/>
      <c r="DI111" s="2"/>
      <c r="DJ111" s="234"/>
      <c r="DK111" s="2">
        <f t="shared" si="550"/>
        <v>0</v>
      </c>
      <c r="DL111" s="2"/>
      <c r="DM111" s="234"/>
      <c r="DN111" s="2"/>
      <c r="DO111" s="234"/>
      <c r="DP111" s="2">
        <f t="shared" si="551"/>
        <v>0</v>
      </c>
      <c r="DQ111" s="2">
        <f t="shared" si="552"/>
        <v>0</v>
      </c>
      <c r="DR111" s="2">
        <f t="shared" si="552"/>
        <v>0</v>
      </c>
      <c r="DS111" s="2">
        <f t="shared" si="552"/>
        <v>0</v>
      </c>
      <c r="DT111" s="2">
        <f t="shared" si="552"/>
        <v>0</v>
      </c>
      <c r="DU111" s="2"/>
      <c r="DV111" s="2"/>
      <c r="DW111" s="2"/>
      <c r="DX111" s="2">
        <f t="shared" ca="1" si="553"/>
        <v>0</v>
      </c>
      <c r="DY111" s="46"/>
      <c r="DZ111" s="2">
        <f t="shared" si="554"/>
        <v>2434.6999999999998</v>
      </c>
      <c r="EA111" s="2">
        <f t="shared" si="555"/>
        <v>2434.6999999999998</v>
      </c>
      <c r="EB111" s="46"/>
      <c r="EC111" s="2"/>
      <c r="ED111" s="2"/>
      <c r="EE111" s="46"/>
      <c r="EF111" s="2"/>
      <c r="EG111" s="46"/>
      <c r="EH111" s="46"/>
      <c r="EI111" s="2">
        <f t="shared" si="357"/>
        <v>2434.6999999999998</v>
      </c>
      <c r="EJ111" s="2"/>
      <c r="EK111" s="433">
        <f t="shared" si="386"/>
        <v>2434.6999999999998</v>
      </c>
      <c r="EL111" s="446"/>
      <c r="EM111" s="446">
        <v>2434.6999999999998</v>
      </c>
      <c r="EN111" s="2"/>
      <c r="EO111" s="236"/>
      <c r="EP111" s="2">
        <f t="shared" si="358"/>
        <v>266.70731999999998</v>
      </c>
      <c r="EQ111" s="2"/>
      <c r="ER111" s="2">
        <v>266.70731999999998</v>
      </c>
      <c r="ES111" s="2"/>
      <c r="ET111" s="2">
        <v>266.70731999999998</v>
      </c>
      <c r="EU111" s="2"/>
      <c r="EV111" s="141"/>
      <c r="EW111" s="310">
        <f t="shared" si="585"/>
        <v>5089.8</v>
      </c>
      <c r="EX111" s="310">
        <f>AZ111</f>
        <v>5089.8</v>
      </c>
      <c r="EY111" s="310">
        <v>0</v>
      </c>
      <c r="EZ111" s="396">
        <f t="shared" si="586"/>
        <v>1</v>
      </c>
      <c r="FA111" s="396">
        <f t="shared" si="587"/>
        <v>0</v>
      </c>
      <c r="FB111" s="310">
        <f t="shared" si="425"/>
        <v>0</v>
      </c>
      <c r="FC111" s="310">
        <f t="shared" si="457"/>
        <v>0</v>
      </c>
      <c r="FD111" s="310">
        <f t="shared" si="458"/>
        <v>0</v>
      </c>
      <c r="FE111" s="396" t="e">
        <f t="shared" ref="FE111" si="635">FC111/FB111</f>
        <v>#DIV/0!</v>
      </c>
      <c r="FF111" s="396" t="e">
        <f t="shared" ref="FF111" si="636">FD111/FB111</f>
        <v>#DIV/0!</v>
      </c>
      <c r="FG111" s="396"/>
      <c r="FH111" s="311">
        <f>FB111*EZ111</f>
        <v>0</v>
      </c>
      <c r="FI111" s="310">
        <f>FC111-FH111</f>
        <v>0</v>
      </c>
      <c r="FJ111" s="296" t="e">
        <f t="shared" si="556"/>
        <v>#DIV/0!</v>
      </c>
      <c r="FK111" s="353">
        <f t="shared" si="389"/>
        <v>2510</v>
      </c>
      <c r="FL111" s="353">
        <f t="shared" si="564"/>
        <v>2510</v>
      </c>
      <c r="FM111" s="353"/>
      <c r="FN111" s="388">
        <f t="shared" si="557"/>
        <v>1</v>
      </c>
      <c r="FO111" s="388">
        <f t="shared" si="558"/>
        <v>0</v>
      </c>
      <c r="FP111" s="353">
        <f t="shared" si="390"/>
        <v>2701.4073199999998</v>
      </c>
      <c r="FQ111" s="353">
        <f t="shared" si="559"/>
        <v>2434.6999999999998</v>
      </c>
      <c r="FR111" s="353">
        <f t="shared" si="560"/>
        <v>266.70731999999998</v>
      </c>
      <c r="FS111" s="388">
        <f t="shared" si="561"/>
        <v>0.90127097160601455</v>
      </c>
      <c r="FT111" s="388">
        <f t="shared" si="562"/>
        <v>9.8729028393985396E-2</v>
      </c>
      <c r="FU111" s="388"/>
      <c r="FV111" s="353">
        <f t="shared" si="563"/>
        <v>2701.4073199999998</v>
      </c>
      <c r="FW111" s="353">
        <f t="shared" si="391"/>
        <v>-266.70731999999998</v>
      </c>
      <c r="FX111" s="310"/>
      <c r="FY111" s="310"/>
      <c r="FZ111" s="310"/>
      <c r="GA111" s="396"/>
      <c r="GB111" s="396"/>
      <c r="GC111" s="310"/>
      <c r="GD111" s="310"/>
      <c r="GE111" s="310"/>
      <c r="GF111" s="396"/>
      <c r="GG111" s="396"/>
      <c r="GH111" s="396"/>
      <c r="GI111" s="311"/>
      <c r="GJ111" s="344"/>
      <c r="GK111" s="303">
        <f t="shared" si="368"/>
        <v>0.32036369378141527</v>
      </c>
    </row>
    <row r="112" spans="1:193" s="37" customFormat="1" ht="15.6" customHeight="1" x14ac:dyDescent="0.25">
      <c r="B112" s="29"/>
      <c r="C112" s="30">
        <v>1</v>
      </c>
      <c r="D112" s="30"/>
      <c r="E112" s="493">
        <v>92</v>
      </c>
      <c r="F112" s="29"/>
      <c r="G112" s="30">
        <v>1</v>
      </c>
      <c r="H112" s="30">
        <v>1</v>
      </c>
      <c r="I112" s="493"/>
      <c r="J112" s="494"/>
      <c r="K112" s="494"/>
      <c r="L112" s="53"/>
      <c r="M112" s="493">
        <v>74</v>
      </c>
      <c r="N112" s="494" t="s">
        <v>49</v>
      </c>
      <c r="O112" s="494"/>
      <c r="P112" s="494">
        <f t="shared" si="388"/>
        <v>0</v>
      </c>
      <c r="Q112" s="494" t="s">
        <v>701</v>
      </c>
      <c r="R112" s="494" t="s">
        <v>699</v>
      </c>
      <c r="S112" s="494">
        <v>307</v>
      </c>
      <c r="T112" s="156">
        <v>1</v>
      </c>
      <c r="U112" s="156"/>
      <c r="V112" s="2">
        <f t="shared" si="369"/>
        <v>5120.3999999999996</v>
      </c>
      <c r="W112" s="2"/>
      <c r="X112" s="198">
        <f t="shared" si="605"/>
        <v>5120.3999999999996</v>
      </c>
      <c r="Y112" s="198"/>
      <c r="Z112" s="198">
        <v>5120.3999999999996</v>
      </c>
      <c r="AA112" s="553"/>
      <c r="AB112" s="567">
        <f t="shared" si="535"/>
        <v>5120.3999999999996</v>
      </c>
      <c r="AC112" s="567"/>
      <c r="AD112" s="568">
        <f t="shared" si="606"/>
        <v>5120.3999999999996</v>
      </c>
      <c r="AE112" s="568"/>
      <c r="AF112" s="568">
        <f>5120.4</f>
        <v>5120.3999999999996</v>
      </c>
      <c r="AG112" s="599"/>
      <c r="AH112" s="570"/>
      <c r="AI112" s="567">
        <f t="shared" si="536"/>
        <v>2132.1</v>
      </c>
      <c r="AJ112" s="567"/>
      <c r="AK112" s="568">
        <v>2132.1</v>
      </c>
      <c r="AL112" s="600"/>
      <c r="AM112" s="570"/>
      <c r="AN112" s="567">
        <f t="shared" si="537"/>
        <v>2132.1</v>
      </c>
      <c r="AO112" s="567"/>
      <c r="AP112" s="568">
        <v>2132.1</v>
      </c>
      <c r="AQ112" s="600"/>
      <c r="AR112" s="570"/>
      <c r="AS112" s="567">
        <f t="shared" si="538"/>
        <v>927</v>
      </c>
      <c r="AT112" s="567"/>
      <c r="AU112" s="568">
        <v>927</v>
      </c>
      <c r="AV112" s="600"/>
      <c r="AW112" s="570"/>
      <c r="AX112" s="409" t="s">
        <v>441</v>
      </c>
      <c r="AY112" s="567">
        <f t="shared" si="539"/>
        <v>5120.3999999999996</v>
      </c>
      <c r="AZ112" s="567"/>
      <c r="BA112" s="568">
        <f t="shared" si="540"/>
        <v>5120.3999999999996</v>
      </c>
      <c r="BB112" s="568"/>
      <c r="BC112" s="568">
        <v>5120.3999999999996</v>
      </c>
      <c r="BD112" s="599"/>
      <c r="BE112" s="570"/>
      <c r="BF112" s="567">
        <f t="shared" si="370"/>
        <v>0</v>
      </c>
      <c r="BG112" s="567">
        <f t="shared" si="371"/>
        <v>0</v>
      </c>
      <c r="BH112" s="567">
        <f t="shared" si="372"/>
        <v>0</v>
      </c>
      <c r="BI112" s="567">
        <f t="shared" si="373"/>
        <v>0</v>
      </c>
      <c r="BJ112" s="567">
        <f t="shared" si="374"/>
        <v>0</v>
      </c>
      <c r="BK112" s="567">
        <f t="shared" si="375"/>
        <v>0</v>
      </c>
      <c r="BL112" s="567" t="e">
        <f>#REF!-BE112</f>
        <v>#REF!</v>
      </c>
      <c r="BM112" s="567">
        <f t="shared" si="541"/>
        <v>2132.1</v>
      </c>
      <c r="BN112" s="567"/>
      <c r="BO112" s="568">
        <v>2132.1</v>
      </c>
      <c r="BP112" s="600"/>
      <c r="BQ112" s="570"/>
      <c r="BR112" s="567">
        <f t="shared" si="542"/>
        <v>0</v>
      </c>
      <c r="BS112" s="567"/>
      <c r="BT112" s="568"/>
      <c r="BU112" s="600"/>
      <c r="BV112" s="570"/>
      <c r="BW112" s="567">
        <f t="shared" si="543"/>
        <v>3782.5494900000003</v>
      </c>
      <c r="BX112" s="567"/>
      <c r="BY112" s="568">
        <f t="shared" si="376"/>
        <v>3782.5494900000003</v>
      </c>
      <c r="BZ112" s="578"/>
      <c r="CA112" s="578">
        <f>1997.00647+1785.54302</f>
        <v>3782.5494900000003</v>
      </c>
      <c r="CB112" s="599"/>
      <c r="CC112" s="577"/>
      <c r="CD112" s="567">
        <f t="shared" si="544"/>
        <v>3782.5494900000003</v>
      </c>
      <c r="CE112" s="567"/>
      <c r="CF112" s="568">
        <f t="shared" si="377"/>
        <v>3782.5494900000003</v>
      </c>
      <c r="CG112" s="578"/>
      <c r="CH112" s="578">
        <f>1997.00647+1785.54302</f>
        <v>3782.5494900000003</v>
      </c>
      <c r="CI112" s="599"/>
      <c r="CJ112" s="577"/>
      <c r="CK112" s="567">
        <f t="shared" si="545"/>
        <v>2247.0991700000004</v>
      </c>
      <c r="CL112" s="567"/>
      <c r="CM112" s="567">
        <f t="shared" si="378"/>
        <v>2247.0991700000004</v>
      </c>
      <c r="CN112" s="567"/>
      <c r="CO112" s="567">
        <f>1186.36163+1060.73754</f>
        <v>2247.0991700000004</v>
      </c>
      <c r="CP112" s="567"/>
      <c r="CQ112" s="567"/>
      <c r="CR112" s="573">
        <f t="shared" si="546"/>
        <v>6029.6486600000007</v>
      </c>
      <c r="CS112" s="567">
        <f t="shared" si="379"/>
        <v>6029.6486600000007</v>
      </c>
      <c r="CT112" s="567">
        <f t="shared" si="380"/>
        <v>0</v>
      </c>
      <c r="CU112" s="567">
        <f t="shared" si="381"/>
        <v>6029.6486600000007</v>
      </c>
      <c r="CV112" s="567">
        <f t="shared" si="382"/>
        <v>0</v>
      </c>
      <c r="CW112" s="567">
        <f t="shared" si="547"/>
        <v>0</v>
      </c>
      <c r="CX112" s="567">
        <f t="shared" ca="1" si="477"/>
        <v>0</v>
      </c>
      <c r="CY112" s="567">
        <f t="shared" si="383"/>
        <v>0</v>
      </c>
      <c r="CZ112" s="567">
        <f t="shared" si="384"/>
        <v>0</v>
      </c>
      <c r="DA112" s="567">
        <f t="shared" si="385"/>
        <v>0</v>
      </c>
      <c r="DB112" s="2">
        <f t="shared" si="548"/>
        <v>0</v>
      </c>
      <c r="DC112" s="76"/>
      <c r="DD112" s="253"/>
      <c r="DE112" s="253"/>
      <c r="DF112" s="2">
        <f t="shared" si="549"/>
        <v>0</v>
      </c>
      <c r="DG112" s="2"/>
      <c r="DH112" s="198"/>
      <c r="DI112" s="554"/>
      <c r="DJ112" s="234"/>
      <c r="DK112" s="2">
        <f t="shared" si="550"/>
        <v>0</v>
      </c>
      <c r="DL112" s="2"/>
      <c r="DM112" s="198"/>
      <c r="DN112" s="554"/>
      <c r="DO112" s="234"/>
      <c r="DP112" s="2">
        <f t="shared" si="551"/>
        <v>0</v>
      </c>
      <c r="DQ112" s="2">
        <f t="shared" si="552"/>
        <v>0</v>
      </c>
      <c r="DR112" s="2">
        <f t="shared" si="552"/>
        <v>0</v>
      </c>
      <c r="DS112" s="2">
        <f t="shared" si="552"/>
        <v>0</v>
      </c>
      <c r="DT112" s="2">
        <f t="shared" si="552"/>
        <v>0</v>
      </c>
      <c r="DU112" s="2"/>
      <c r="DV112" s="2"/>
      <c r="DW112" s="2"/>
      <c r="DX112" s="2">
        <f t="shared" ca="1" si="553"/>
        <v>0</v>
      </c>
      <c r="DY112" s="46"/>
      <c r="DZ112" s="2">
        <f t="shared" si="554"/>
        <v>3782.5494900000003</v>
      </c>
      <c r="EA112" s="2">
        <f t="shared" si="555"/>
        <v>3782.5494900000003</v>
      </c>
      <c r="EB112" s="46"/>
      <c r="EC112" s="2"/>
      <c r="ED112" s="2"/>
      <c r="EE112" s="46"/>
      <c r="EF112" s="2"/>
      <c r="EG112" s="46"/>
      <c r="EH112" s="46"/>
      <c r="EI112" s="2">
        <f t="shared" si="357"/>
        <v>3782.5494900000003</v>
      </c>
      <c r="EJ112" s="2"/>
      <c r="EK112" s="198">
        <f t="shared" si="386"/>
        <v>3782.5494900000003</v>
      </c>
      <c r="EL112" s="433"/>
      <c r="EM112" s="433">
        <f>1997.00647+1785.54302</f>
        <v>3782.5494900000003</v>
      </c>
      <c r="EN112" s="553"/>
      <c r="EO112" s="236"/>
      <c r="EP112" s="2">
        <f t="shared" si="358"/>
        <v>2247.0991700000004</v>
      </c>
      <c r="EQ112" s="2"/>
      <c r="ER112" s="2">
        <f t="shared" si="387"/>
        <v>2247.0991700000004</v>
      </c>
      <c r="ES112" s="2"/>
      <c r="ET112" s="2">
        <f>1186.36163+1060.73754</f>
        <v>2247.0991700000004</v>
      </c>
      <c r="EU112" s="2"/>
      <c r="EV112" s="141"/>
      <c r="EW112" s="310"/>
      <c r="EX112" s="310"/>
      <c r="EY112" s="310"/>
      <c r="EZ112" s="396"/>
      <c r="FA112" s="396"/>
      <c r="FB112" s="310"/>
      <c r="FC112" s="310"/>
      <c r="FD112" s="310"/>
      <c r="FE112" s="396"/>
      <c r="FF112" s="396"/>
      <c r="FG112" s="396"/>
      <c r="FH112" s="311"/>
      <c r="FI112" s="310"/>
      <c r="FJ112" s="296" t="e">
        <f t="shared" si="556"/>
        <v>#DIV/0!</v>
      </c>
      <c r="FK112" s="353">
        <f t="shared" si="389"/>
        <v>5120.3999999999996</v>
      </c>
      <c r="FL112" s="353">
        <f t="shared" si="564"/>
        <v>5120.3999999999996</v>
      </c>
      <c r="FM112" s="353"/>
      <c r="FN112" s="388"/>
      <c r="FO112" s="388"/>
      <c r="FP112" s="353">
        <f t="shared" si="390"/>
        <v>6029.6486600000007</v>
      </c>
      <c r="FQ112" s="353">
        <f t="shared" si="559"/>
        <v>3782.5494900000003</v>
      </c>
      <c r="FR112" s="353">
        <f t="shared" si="560"/>
        <v>2247.0991700000004</v>
      </c>
      <c r="FS112" s="388"/>
      <c r="FT112" s="388"/>
      <c r="FU112" s="388"/>
      <c r="FV112" s="353">
        <f t="shared" si="563"/>
        <v>0</v>
      </c>
      <c r="FW112" s="353">
        <f t="shared" si="391"/>
        <v>3782.5494900000003</v>
      </c>
      <c r="FX112" s="310">
        <f t="shared" si="600"/>
        <v>0</v>
      </c>
      <c r="FY112" s="310">
        <f>BD112</f>
        <v>0</v>
      </c>
      <c r="FZ112" s="310"/>
      <c r="GA112" s="396" t="e">
        <f t="shared" si="601"/>
        <v>#DIV/0!</v>
      </c>
      <c r="GB112" s="396" t="e">
        <f t="shared" si="602"/>
        <v>#DIV/0!</v>
      </c>
      <c r="GC112" s="310">
        <f t="shared" si="402"/>
        <v>0</v>
      </c>
      <c r="GD112" s="310">
        <f t="shared" si="501"/>
        <v>0</v>
      </c>
      <c r="GE112" s="310">
        <f t="shared" si="502"/>
        <v>0</v>
      </c>
      <c r="GF112" s="396" t="e">
        <f t="shared" si="603"/>
        <v>#DIV/0!</v>
      </c>
      <c r="GG112" s="396" t="e">
        <f t="shared" si="604"/>
        <v>#DIV/0!</v>
      </c>
      <c r="GH112" s="396"/>
      <c r="GI112" s="311" t="e">
        <f t="shared" ref="GI112:GI162" si="637">GC112*GA112</f>
        <v>#DIV/0!</v>
      </c>
      <c r="GJ112" s="344" t="e">
        <f t="shared" si="403"/>
        <v>#DIV/0!</v>
      </c>
      <c r="GK112" s="303">
        <f t="shared" si="368"/>
        <v>0.73872148464963683</v>
      </c>
    </row>
    <row r="113" spans="2:193" s="37" customFormat="1" ht="15.75" customHeight="1" x14ac:dyDescent="0.25">
      <c r="B113" s="29"/>
      <c r="C113" s="30"/>
      <c r="D113" s="30">
        <v>1</v>
      </c>
      <c r="E113" s="493">
        <v>93</v>
      </c>
      <c r="F113" s="29"/>
      <c r="G113" s="30"/>
      <c r="H113" s="30">
        <v>1</v>
      </c>
      <c r="I113" s="493"/>
      <c r="J113" s="494"/>
      <c r="K113" s="494"/>
      <c r="L113" s="53"/>
      <c r="M113" s="493">
        <v>75</v>
      </c>
      <c r="N113" s="494" t="s">
        <v>109</v>
      </c>
      <c r="O113" s="127" t="s">
        <v>335</v>
      </c>
      <c r="P113" s="127">
        <f t="shared" si="388"/>
        <v>0</v>
      </c>
      <c r="Q113" s="127" t="s">
        <v>701</v>
      </c>
      <c r="R113" s="127" t="s">
        <v>699</v>
      </c>
      <c r="S113" s="127">
        <v>291</v>
      </c>
      <c r="T113" s="156">
        <v>1</v>
      </c>
      <c r="U113" s="493">
        <v>1</v>
      </c>
      <c r="V113" s="2">
        <f t="shared" si="369"/>
        <v>3704.4</v>
      </c>
      <c r="W113" s="2"/>
      <c r="X113" s="198">
        <f t="shared" si="605"/>
        <v>3704.4</v>
      </c>
      <c r="Y113" s="198"/>
      <c r="Z113" s="42">
        <v>3704.4</v>
      </c>
      <c r="AA113" s="2"/>
      <c r="AB113" s="567">
        <f t="shared" si="535"/>
        <v>3704.4</v>
      </c>
      <c r="AC113" s="567"/>
      <c r="AD113" s="568">
        <f t="shared" si="606"/>
        <v>3704.4</v>
      </c>
      <c r="AE113" s="568">
        <v>649.49393999999995</v>
      </c>
      <c r="AF113" s="569">
        <f>3704.4-649.49394</f>
        <v>3054.9060600000003</v>
      </c>
      <c r="AG113" s="567"/>
      <c r="AH113" s="570"/>
      <c r="AI113" s="567">
        <f t="shared" si="536"/>
        <v>1359.3</v>
      </c>
      <c r="AJ113" s="567"/>
      <c r="AK113" s="568">
        <v>1359.3</v>
      </c>
      <c r="AL113" s="567"/>
      <c r="AM113" s="570"/>
      <c r="AN113" s="567">
        <f t="shared" si="537"/>
        <v>1359.3</v>
      </c>
      <c r="AO113" s="567"/>
      <c r="AP113" s="568">
        <v>1359.3</v>
      </c>
      <c r="AQ113" s="567"/>
      <c r="AR113" s="570"/>
      <c r="AS113" s="567">
        <f t="shared" si="538"/>
        <v>591</v>
      </c>
      <c r="AT113" s="567"/>
      <c r="AU113" s="568">
        <v>591</v>
      </c>
      <c r="AV113" s="567"/>
      <c r="AW113" s="570"/>
      <c r="AX113" s="409" t="s">
        <v>683</v>
      </c>
      <c r="AY113" s="567">
        <f t="shared" si="539"/>
        <v>3054.9060599999998</v>
      </c>
      <c r="AZ113" s="567"/>
      <c r="BA113" s="568">
        <f t="shared" si="540"/>
        <v>3054.9060599999998</v>
      </c>
      <c r="BB113" s="568"/>
      <c r="BC113" s="569">
        <f>3702.917-648.01094</f>
        <v>3054.9060599999998</v>
      </c>
      <c r="BD113" s="567"/>
      <c r="BE113" s="567"/>
      <c r="BF113" s="567">
        <f t="shared" si="370"/>
        <v>649.49393999999995</v>
      </c>
      <c r="BG113" s="567">
        <f t="shared" si="371"/>
        <v>0</v>
      </c>
      <c r="BH113" s="567">
        <f t="shared" si="372"/>
        <v>649.49393999999995</v>
      </c>
      <c r="BI113" s="567">
        <f t="shared" si="373"/>
        <v>649.49393999999995</v>
      </c>
      <c r="BJ113" s="567">
        <f t="shared" si="374"/>
        <v>0</v>
      </c>
      <c r="BK113" s="567">
        <f t="shared" si="375"/>
        <v>0</v>
      </c>
      <c r="BL113" s="567" t="e">
        <f>#REF!-BE113</f>
        <v>#REF!</v>
      </c>
      <c r="BM113" s="567">
        <f t="shared" si="541"/>
        <v>0</v>
      </c>
      <c r="BN113" s="567"/>
      <c r="BO113" s="568"/>
      <c r="BP113" s="567"/>
      <c r="BQ113" s="567"/>
      <c r="BR113" s="567">
        <f t="shared" si="542"/>
        <v>0</v>
      </c>
      <c r="BS113" s="567"/>
      <c r="BT113" s="568"/>
      <c r="BU113" s="567"/>
      <c r="BV113" s="567"/>
      <c r="BW113" s="567">
        <f t="shared" si="543"/>
        <v>2918.7460500000002</v>
      </c>
      <c r="BX113" s="567"/>
      <c r="BY113" s="577">
        <f t="shared" si="376"/>
        <v>2918.7460500000002</v>
      </c>
      <c r="BZ113" s="601"/>
      <c r="CA113" s="601">
        <f>1357.77234+896.19248+664.78123</f>
        <v>2918.7460500000002</v>
      </c>
      <c r="CB113" s="567"/>
      <c r="CC113" s="567"/>
      <c r="CD113" s="567">
        <f t="shared" si="544"/>
        <v>2918.7460500000002</v>
      </c>
      <c r="CE113" s="567"/>
      <c r="CF113" s="577">
        <f t="shared" si="377"/>
        <v>2918.7460500000002</v>
      </c>
      <c r="CG113" s="601"/>
      <c r="CH113" s="601">
        <f>1357.77234+896.19248+664.78123</f>
        <v>2918.7460500000002</v>
      </c>
      <c r="CI113" s="567"/>
      <c r="CJ113" s="567"/>
      <c r="CK113" s="567">
        <f t="shared" si="545"/>
        <v>360.74398000000002</v>
      </c>
      <c r="CL113" s="567"/>
      <c r="CM113" s="567">
        <v>360.74398000000002</v>
      </c>
      <c r="CN113" s="567"/>
      <c r="CO113" s="567">
        <f>167.8146+110.76539</f>
        <v>278.57999000000001</v>
      </c>
      <c r="CP113" s="567"/>
      <c r="CQ113" s="567"/>
      <c r="CR113" s="573">
        <f t="shared" si="546"/>
        <v>3279.4900300000004</v>
      </c>
      <c r="CS113" s="567">
        <f t="shared" si="379"/>
        <v>3279.4900300000004</v>
      </c>
      <c r="CT113" s="567">
        <f t="shared" si="380"/>
        <v>0</v>
      </c>
      <c r="CU113" s="567">
        <f t="shared" si="381"/>
        <v>3279.4900300000004</v>
      </c>
      <c r="CV113" s="567">
        <f t="shared" si="382"/>
        <v>0</v>
      </c>
      <c r="CW113" s="567">
        <f t="shared" si="547"/>
        <v>0</v>
      </c>
      <c r="CX113" s="567">
        <f t="shared" ca="1" si="477"/>
        <v>0</v>
      </c>
      <c r="CY113" s="567">
        <f t="shared" si="383"/>
        <v>0</v>
      </c>
      <c r="CZ113" s="567">
        <f t="shared" si="384"/>
        <v>0</v>
      </c>
      <c r="DA113" s="567">
        <f t="shared" si="385"/>
        <v>0</v>
      </c>
      <c r="DB113" s="2">
        <f t="shared" si="548"/>
        <v>0</v>
      </c>
      <c r="DC113" s="76"/>
      <c r="DD113" s="253"/>
      <c r="DE113" s="253"/>
      <c r="DF113" s="2">
        <f t="shared" si="549"/>
        <v>0</v>
      </c>
      <c r="DG113" s="2"/>
      <c r="DH113" s="198"/>
      <c r="DI113" s="2"/>
      <c r="DJ113" s="2"/>
      <c r="DK113" s="2">
        <f t="shared" si="550"/>
        <v>0</v>
      </c>
      <c r="DL113" s="2"/>
      <c r="DM113" s="198"/>
      <c r="DN113" s="2"/>
      <c r="DO113" s="2"/>
      <c r="DP113" s="2">
        <f t="shared" si="551"/>
        <v>0</v>
      </c>
      <c r="DQ113" s="2">
        <f t="shared" si="552"/>
        <v>0</v>
      </c>
      <c r="DR113" s="2">
        <f t="shared" si="552"/>
        <v>0</v>
      </c>
      <c r="DS113" s="2">
        <f t="shared" si="552"/>
        <v>0</v>
      </c>
      <c r="DT113" s="2">
        <f t="shared" si="552"/>
        <v>0</v>
      </c>
      <c r="DU113" s="2"/>
      <c r="DV113" s="2"/>
      <c r="DW113" s="2"/>
      <c r="DX113" s="2">
        <f t="shared" ca="1" si="553"/>
        <v>0</v>
      </c>
      <c r="DY113" s="46"/>
      <c r="DZ113" s="2">
        <f t="shared" si="554"/>
        <v>2918.7460500000002</v>
      </c>
      <c r="EA113" s="2">
        <f t="shared" si="555"/>
        <v>2918.7460500000002</v>
      </c>
      <c r="EB113" s="46"/>
      <c r="EC113" s="2"/>
      <c r="ED113" s="2"/>
      <c r="EE113" s="46"/>
      <c r="EF113" s="2"/>
      <c r="EG113" s="46"/>
      <c r="EH113" s="46"/>
      <c r="EI113" s="2">
        <f t="shared" si="357"/>
        <v>2918.7460500000002</v>
      </c>
      <c r="EJ113" s="2"/>
      <c r="EK113" s="236">
        <f t="shared" si="386"/>
        <v>2918.7460500000002</v>
      </c>
      <c r="EL113" s="499"/>
      <c r="EM113" s="499">
        <f>1357.77234+896.19248+664.78123</f>
        <v>2918.7460500000002</v>
      </c>
      <c r="EN113" s="2"/>
      <c r="EO113" s="2"/>
      <c r="EP113" s="2">
        <f t="shared" si="358"/>
        <v>360.74398000000002</v>
      </c>
      <c r="EQ113" s="2"/>
      <c r="ER113" s="2">
        <v>360.74398000000002</v>
      </c>
      <c r="ES113" s="2"/>
      <c r="ET113" s="2">
        <f>167.8146+110.76539+82.16399</f>
        <v>360.74398000000002</v>
      </c>
      <c r="EU113" s="2"/>
      <c r="EV113" s="141"/>
      <c r="EW113" s="310"/>
      <c r="EX113" s="310"/>
      <c r="EY113" s="310"/>
      <c r="EZ113" s="396"/>
      <c r="FA113" s="396"/>
      <c r="FB113" s="310"/>
      <c r="FC113" s="310"/>
      <c r="FD113" s="310"/>
      <c r="FE113" s="396"/>
      <c r="FF113" s="396"/>
      <c r="FG113" s="396"/>
      <c r="FH113" s="311"/>
      <c r="FI113" s="310"/>
      <c r="FJ113" s="296" t="e">
        <f t="shared" si="556"/>
        <v>#DIV/0!</v>
      </c>
      <c r="FK113" s="353">
        <f t="shared" si="389"/>
        <v>0</v>
      </c>
      <c r="FL113" s="353">
        <v>0</v>
      </c>
      <c r="FM113" s="353"/>
      <c r="FN113" s="388"/>
      <c r="FO113" s="388"/>
      <c r="FP113" s="353">
        <f t="shared" si="390"/>
        <v>3279.4900300000004</v>
      </c>
      <c r="FQ113" s="353">
        <f t="shared" si="559"/>
        <v>2918.7460500000002</v>
      </c>
      <c r="FR113" s="353">
        <f t="shared" si="560"/>
        <v>360.74398000000002</v>
      </c>
      <c r="FS113" s="388"/>
      <c r="FT113" s="388"/>
      <c r="FU113" s="388"/>
      <c r="FV113" s="353">
        <f t="shared" si="563"/>
        <v>0</v>
      </c>
      <c r="FW113" s="353">
        <f t="shared" si="391"/>
        <v>2918.7460500000002</v>
      </c>
      <c r="FX113" s="310"/>
      <c r="FY113" s="310"/>
      <c r="FZ113" s="310"/>
      <c r="GA113" s="396"/>
      <c r="GB113" s="396"/>
      <c r="GC113" s="310"/>
      <c r="GD113" s="310"/>
      <c r="GE113" s="310"/>
      <c r="GF113" s="396"/>
      <c r="GG113" s="396"/>
      <c r="GH113" s="396"/>
      <c r="GI113" s="311"/>
      <c r="GJ113" s="344"/>
      <c r="GK113" s="303">
        <f t="shared" si="368"/>
        <v>0.78791330579850993</v>
      </c>
    </row>
    <row r="114" spans="2:193" s="37" customFormat="1" ht="15.75" customHeight="1" x14ac:dyDescent="0.25">
      <c r="B114" s="29"/>
      <c r="C114" s="30"/>
      <c r="D114" s="30">
        <v>1</v>
      </c>
      <c r="E114" s="493">
        <v>94</v>
      </c>
      <c r="F114" s="29"/>
      <c r="G114" s="30"/>
      <c r="H114" s="30">
        <v>1</v>
      </c>
      <c r="I114" s="493"/>
      <c r="J114" s="494"/>
      <c r="K114" s="494"/>
      <c r="L114" s="53"/>
      <c r="M114" s="493">
        <v>76</v>
      </c>
      <c r="N114" s="494" t="s">
        <v>110</v>
      </c>
      <c r="O114" s="494"/>
      <c r="P114" s="494">
        <f t="shared" si="388"/>
        <v>0</v>
      </c>
      <c r="Q114" s="494" t="s">
        <v>701</v>
      </c>
      <c r="R114" s="494"/>
      <c r="S114" s="494" t="s">
        <v>570</v>
      </c>
      <c r="T114" s="156">
        <v>2</v>
      </c>
      <c r="U114" s="493"/>
      <c r="V114" s="2">
        <f t="shared" si="369"/>
        <v>5841.4539999999997</v>
      </c>
      <c r="W114" s="2"/>
      <c r="X114" s="198">
        <f t="shared" si="605"/>
        <v>2814.5</v>
      </c>
      <c r="Y114" s="198"/>
      <c r="Z114" s="42">
        <v>2814.5</v>
      </c>
      <c r="AA114" s="2">
        <v>3026.9540000000002</v>
      </c>
      <c r="AB114" s="567">
        <f t="shared" si="535"/>
        <v>5841.4539999999997</v>
      </c>
      <c r="AC114" s="567"/>
      <c r="AD114" s="568">
        <f t="shared" si="606"/>
        <v>2814.5</v>
      </c>
      <c r="AE114" s="568"/>
      <c r="AF114" s="569">
        <v>2814.5</v>
      </c>
      <c r="AG114" s="567">
        <v>3026.9540000000002</v>
      </c>
      <c r="AH114" s="570"/>
      <c r="AI114" s="567">
        <f t="shared" si="536"/>
        <v>3841.8</v>
      </c>
      <c r="AJ114" s="567"/>
      <c r="AK114" s="568">
        <v>841.8</v>
      </c>
      <c r="AL114" s="567">
        <v>3000</v>
      </c>
      <c r="AM114" s="570"/>
      <c r="AN114" s="567">
        <f t="shared" si="537"/>
        <v>841.8</v>
      </c>
      <c r="AO114" s="567"/>
      <c r="AP114" s="568">
        <v>841.8</v>
      </c>
      <c r="AQ114" s="567"/>
      <c r="AR114" s="570"/>
      <c r="AS114" s="567">
        <f t="shared" si="538"/>
        <v>366</v>
      </c>
      <c r="AT114" s="567"/>
      <c r="AU114" s="568">
        <v>366</v>
      </c>
      <c r="AV114" s="567"/>
      <c r="AW114" s="570"/>
      <c r="AX114" s="409" t="s">
        <v>433</v>
      </c>
      <c r="AY114" s="567">
        <f t="shared" si="539"/>
        <v>5841.4537999999993</v>
      </c>
      <c r="AZ114" s="567"/>
      <c r="BA114" s="568">
        <f t="shared" si="540"/>
        <v>2814.5</v>
      </c>
      <c r="BB114" s="568"/>
      <c r="BC114" s="569">
        <v>2814.5</v>
      </c>
      <c r="BD114" s="567">
        <v>3026.9537999999998</v>
      </c>
      <c r="BE114" s="570"/>
      <c r="BF114" s="567">
        <f t="shared" si="370"/>
        <v>2.0000000040454324E-4</v>
      </c>
      <c r="BG114" s="567">
        <f t="shared" si="371"/>
        <v>0</v>
      </c>
      <c r="BH114" s="567">
        <f t="shared" si="372"/>
        <v>0</v>
      </c>
      <c r="BI114" s="567">
        <f t="shared" si="373"/>
        <v>0</v>
      </c>
      <c r="BJ114" s="567">
        <f t="shared" si="374"/>
        <v>0</v>
      </c>
      <c r="BK114" s="567">
        <f t="shared" si="375"/>
        <v>2.0000000040454324E-4</v>
      </c>
      <c r="BL114" s="567" t="e">
        <f>#REF!-BE114</f>
        <v>#REF!</v>
      </c>
      <c r="BM114" s="567">
        <f t="shared" si="541"/>
        <v>3841.8</v>
      </c>
      <c r="BN114" s="567"/>
      <c r="BO114" s="568">
        <f>366+475.8</f>
        <v>841.8</v>
      </c>
      <c r="BP114" s="567">
        <v>3000</v>
      </c>
      <c r="BQ114" s="570"/>
      <c r="BR114" s="567">
        <f t="shared" si="542"/>
        <v>0</v>
      </c>
      <c r="BS114" s="567"/>
      <c r="BT114" s="568"/>
      <c r="BU114" s="567"/>
      <c r="BV114" s="570"/>
      <c r="BW114" s="567">
        <f t="shared" si="543"/>
        <v>4185.8380900000002</v>
      </c>
      <c r="BX114" s="567"/>
      <c r="BY114" s="568">
        <f t="shared" si="376"/>
        <v>1741.5112300000001</v>
      </c>
      <c r="BZ114" s="571"/>
      <c r="CA114" s="571">
        <v>1741.5112300000001</v>
      </c>
      <c r="CB114" s="569">
        <v>2444.3268600000001</v>
      </c>
      <c r="CC114" s="577"/>
      <c r="CD114" s="567">
        <f t="shared" si="544"/>
        <v>4185.8380900000002</v>
      </c>
      <c r="CE114" s="567"/>
      <c r="CF114" s="568">
        <f t="shared" si="377"/>
        <v>1741.5112300000001</v>
      </c>
      <c r="CG114" s="571"/>
      <c r="CH114" s="571">
        <v>1741.5112300000001</v>
      </c>
      <c r="CI114" s="569">
        <v>2444.3268600000001</v>
      </c>
      <c r="CJ114" s="577"/>
      <c r="CK114" s="567">
        <f t="shared" si="545"/>
        <v>777.34974999999997</v>
      </c>
      <c r="CL114" s="567"/>
      <c r="CM114" s="567">
        <f t="shared" si="378"/>
        <v>505.75788</v>
      </c>
      <c r="CN114" s="567"/>
      <c r="CO114" s="567">
        <v>505.75788</v>
      </c>
      <c r="CP114" s="567">
        <v>271.59186999999997</v>
      </c>
      <c r="CQ114" s="567"/>
      <c r="CR114" s="573">
        <f t="shared" si="546"/>
        <v>4963.1878400000005</v>
      </c>
      <c r="CS114" s="567">
        <f t="shared" si="379"/>
        <v>4963.1878400000005</v>
      </c>
      <c r="CT114" s="567">
        <f t="shared" si="380"/>
        <v>0</v>
      </c>
      <c r="CU114" s="567">
        <f t="shared" si="381"/>
        <v>2247.2691100000002</v>
      </c>
      <c r="CV114" s="567">
        <f t="shared" si="382"/>
        <v>2715.9187300000003</v>
      </c>
      <c r="CW114" s="567">
        <f t="shared" si="547"/>
        <v>0</v>
      </c>
      <c r="CX114" s="567">
        <f t="shared" ca="1" si="477"/>
        <v>0</v>
      </c>
      <c r="CY114" s="567">
        <f t="shared" si="383"/>
        <v>0</v>
      </c>
      <c r="CZ114" s="567">
        <f t="shared" si="384"/>
        <v>0</v>
      </c>
      <c r="DA114" s="567">
        <f t="shared" si="385"/>
        <v>0</v>
      </c>
      <c r="DB114" s="2">
        <f t="shared" si="548"/>
        <v>0</v>
      </c>
      <c r="DC114" s="76"/>
      <c r="DD114" s="253"/>
      <c r="DE114" s="253"/>
      <c r="DF114" s="2">
        <f t="shared" si="549"/>
        <v>0</v>
      </c>
      <c r="DG114" s="2"/>
      <c r="DH114" s="198"/>
      <c r="DI114" s="2"/>
      <c r="DJ114" s="234"/>
      <c r="DK114" s="2">
        <f t="shared" si="550"/>
        <v>0</v>
      </c>
      <c r="DL114" s="2"/>
      <c r="DM114" s="198"/>
      <c r="DN114" s="2"/>
      <c r="DO114" s="234"/>
      <c r="DP114" s="2">
        <f t="shared" si="551"/>
        <v>0</v>
      </c>
      <c r="DQ114" s="2">
        <f t="shared" si="552"/>
        <v>0</v>
      </c>
      <c r="DR114" s="2">
        <f t="shared" si="552"/>
        <v>0</v>
      </c>
      <c r="DS114" s="2">
        <f t="shared" si="552"/>
        <v>0</v>
      </c>
      <c r="DT114" s="2">
        <f t="shared" si="552"/>
        <v>0</v>
      </c>
      <c r="DU114" s="2"/>
      <c r="DV114" s="2"/>
      <c r="DW114" s="2"/>
      <c r="DX114" s="2">
        <f t="shared" ca="1" si="553"/>
        <v>0</v>
      </c>
      <c r="DY114" s="46"/>
      <c r="DZ114" s="2">
        <f t="shared" si="554"/>
        <v>4185.8380900000002</v>
      </c>
      <c r="EA114" s="2">
        <f t="shared" si="555"/>
        <v>4185.8380900000002</v>
      </c>
      <c r="EB114" s="46"/>
      <c r="EC114" s="2"/>
      <c r="ED114" s="2"/>
      <c r="EE114" s="46"/>
      <c r="EF114" s="2"/>
      <c r="EG114" s="46"/>
      <c r="EH114" s="46"/>
      <c r="EI114" s="2">
        <f t="shared" si="357"/>
        <v>4185.8380900000002</v>
      </c>
      <c r="EJ114" s="2"/>
      <c r="EK114" s="198">
        <f t="shared" si="386"/>
        <v>1741.5112300000001</v>
      </c>
      <c r="EL114" s="446"/>
      <c r="EM114" s="446">
        <v>1741.5112300000001</v>
      </c>
      <c r="EN114" s="42">
        <v>2444.3268600000001</v>
      </c>
      <c r="EO114" s="236"/>
      <c r="EP114" s="2">
        <f t="shared" si="358"/>
        <v>777.34974999999997</v>
      </c>
      <c r="EQ114" s="2"/>
      <c r="ER114" s="2">
        <f t="shared" si="387"/>
        <v>505.75788</v>
      </c>
      <c r="ES114" s="2"/>
      <c r="ET114" s="2">
        <v>505.75788</v>
      </c>
      <c r="EU114" s="2">
        <v>271.59186999999997</v>
      </c>
      <c r="EV114" s="141"/>
      <c r="EW114" s="310"/>
      <c r="EX114" s="310"/>
      <c r="EY114" s="310"/>
      <c r="EZ114" s="396"/>
      <c r="FA114" s="396"/>
      <c r="FB114" s="310"/>
      <c r="FC114" s="310"/>
      <c r="FD114" s="310"/>
      <c r="FE114" s="396"/>
      <c r="FF114" s="396"/>
      <c r="FG114" s="396"/>
      <c r="FH114" s="311"/>
      <c r="FI114" s="310"/>
      <c r="FJ114" s="296" t="e">
        <f t="shared" si="556"/>
        <v>#DIV/0!</v>
      </c>
      <c r="FK114" s="353">
        <f t="shared" si="389"/>
        <v>2814.5</v>
      </c>
      <c r="FL114" s="353">
        <f>BA114</f>
        <v>2814.5</v>
      </c>
      <c r="FM114" s="353"/>
      <c r="FN114" s="388"/>
      <c r="FO114" s="388"/>
      <c r="FP114" s="353">
        <f t="shared" si="390"/>
        <v>2247.2691100000002</v>
      </c>
      <c r="FQ114" s="353">
        <f t="shared" si="559"/>
        <v>1741.5112300000001</v>
      </c>
      <c r="FR114" s="353">
        <f t="shared" si="560"/>
        <v>505.75788</v>
      </c>
      <c r="FS114" s="388"/>
      <c r="FT114" s="388"/>
      <c r="FU114" s="388"/>
      <c r="FV114" s="353">
        <f t="shared" si="563"/>
        <v>0</v>
      </c>
      <c r="FW114" s="353">
        <f t="shared" si="391"/>
        <v>1741.5112300000001</v>
      </c>
      <c r="FX114" s="310">
        <f t="shared" si="600"/>
        <v>3026.9537999999998</v>
      </c>
      <c r="FY114" s="310">
        <f>BD114</f>
        <v>3026.9537999999998</v>
      </c>
      <c r="FZ114" s="310"/>
      <c r="GA114" s="396">
        <f t="shared" si="601"/>
        <v>1</v>
      </c>
      <c r="GB114" s="396">
        <f t="shared" si="602"/>
        <v>0</v>
      </c>
      <c r="GC114" s="310">
        <f t="shared" si="402"/>
        <v>2715.9187300000003</v>
      </c>
      <c r="GD114" s="310">
        <f t="shared" si="501"/>
        <v>2444.3268600000001</v>
      </c>
      <c r="GE114" s="310">
        <f t="shared" si="502"/>
        <v>271.59186999999997</v>
      </c>
      <c r="GF114" s="396">
        <f t="shared" si="603"/>
        <v>0.90000000110459855</v>
      </c>
      <c r="GG114" s="396">
        <f t="shared" si="604"/>
        <v>9.9999998895401385E-2</v>
      </c>
      <c r="GH114" s="396"/>
      <c r="GI114" s="311">
        <f t="shared" si="637"/>
        <v>2715.9187300000003</v>
      </c>
      <c r="GJ114" s="344">
        <f t="shared" si="403"/>
        <v>-271.5918700000002</v>
      </c>
      <c r="GK114" s="303">
        <f t="shared" si="368"/>
        <v>0.71657469013707897</v>
      </c>
    </row>
    <row r="115" spans="2:193" s="37" customFormat="1" ht="15.6" customHeight="1" x14ac:dyDescent="0.25">
      <c r="B115" s="29"/>
      <c r="C115" s="30">
        <v>1</v>
      </c>
      <c r="D115" s="30"/>
      <c r="E115" s="493">
        <v>95</v>
      </c>
      <c r="F115" s="29"/>
      <c r="G115" s="30">
        <v>1</v>
      </c>
      <c r="H115" s="30">
        <v>1</v>
      </c>
      <c r="I115" s="493"/>
      <c r="J115" s="494"/>
      <c r="K115" s="494"/>
      <c r="L115" s="53"/>
      <c r="M115" s="493">
        <v>77</v>
      </c>
      <c r="N115" s="494" t="s">
        <v>207</v>
      </c>
      <c r="O115" s="494"/>
      <c r="P115" s="494">
        <f t="shared" si="388"/>
        <v>0</v>
      </c>
      <c r="Q115" s="494" t="s">
        <v>701</v>
      </c>
      <c r="R115" s="494" t="s">
        <v>699</v>
      </c>
      <c r="S115" s="494">
        <v>269</v>
      </c>
      <c r="T115" s="156">
        <v>1</v>
      </c>
      <c r="U115" s="493"/>
      <c r="V115" s="2">
        <f t="shared" si="369"/>
        <v>2621.6</v>
      </c>
      <c r="W115" s="2"/>
      <c r="X115" s="198">
        <f t="shared" si="605"/>
        <v>2621.6</v>
      </c>
      <c r="Y115" s="198"/>
      <c r="Z115" s="42">
        <v>2621.6</v>
      </c>
      <c r="AA115" s="2"/>
      <c r="AB115" s="567">
        <f t="shared" si="535"/>
        <v>2621.6</v>
      </c>
      <c r="AC115" s="567"/>
      <c r="AD115" s="568">
        <f t="shared" si="606"/>
        <v>2621.6</v>
      </c>
      <c r="AE115" s="568"/>
      <c r="AF115" s="569">
        <v>2621.6</v>
      </c>
      <c r="AG115" s="567"/>
      <c r="AH115" s="570"/>
      <c r="AI115" s="567">
        <f t="shared" si="536"/>
        <v>830.3</v>
      </c>
      <c r="AJ115" s="567"/>
      <c r="AK115" s="568">
        <v>830.3</v>
      </c>
      <c r="AL115" s="567"/>
      <c r="AM115" s="570"/>
      <c r="AN115" s="567">
        <f t="shared" si="537"/>
        <v>830.3</v>
      </c>
      <c r="AO115" s="567"/>
      <c r="AP115" s="568">
        <v>830.3</v>
      </c>
      <c r="AQ115" s="567"/>
      <c r="AR115" s="570"/>
      <c r="AS115" s="567">
        <f t="shared" si="538"/>
        <v>361</v>
      </c>
      <c r="AT115" s="567"/>
      <c r="AU115" s="568">
        <v>361</v>
      </c>
      <c r="AV115" s="567"/>
      <c r="AW115" s="570"/>
      <c r="AX115" s="409" t="s">
        <v>416</v>
      </c>
      <c r="AY115" s="567">
        <f t="shared" si="539"/>
        <v>2621.6</v>
      </c>
      <c r="AZ115" s="567"/>
      <c r="BA115" s="578">
        <f t="shared" si="540"/>
        <v>2621.6</v>
      </c>
      <c r="BB115" s="578"/>
      <c r="BC115" s="569">
        <v>2621.6</v>
      </c>
      <c r="BD115" s="567"/>
      <c r="BE115" s="567"/>
      <c r="BF115" s="567">
        <f t="shared" si="370"/>
        <v>0</v>
      </c>
      <c r="BG115" s="567">
        <f t="shared" si="371"/>
        <v>0</v>
      </c>
      <c r="BH115" s="567">
        <f t="shared" si="372"/>
        <v>0</v>
      </c>
      <c r="BI115" s="567">
        <f t="shared" si="373"/>
        <v>0</v>
      </c>
      <c r="BJ115" s="567">
        <f t="shared" si="374"/>
        <v>0</v>
      </c>
      <c r="BK115" s="567">
        <f t="shared" si="375"/>
        <v>0</v>
      </c>
      <c r="BL115" s="567" t="e">
        <f>#REF!-BE115</f>
        <v>#REF!</v>
      </c>
      <c r="BM115" s="567">
        <f t="shared" si="541"/>
        <v>830.3</v>
      </c>
      <c r="BN115" s="567"/>
      <c r="BO115" s="568">
        <v>830.3</v>
      </c>
      <c r="BP115" s="567"/>
      <c r="BQ115" s="567"/>
      <c r="BR115" s="567">
        <f t="shared" si="542"/>
        <v>0</v>
      </c>
      <c r="BS115" s="567"/>
      <c r="BT115" s="568"/>
      <c r="BU115" s="567"/>
      <c r="BV115" s="567"/>
      <c r="BW115" s="567">
        <f t="shared" si="543"/>
        <v>2621.6</v>
      </c>
      <c r="BX115" s="567"/>
      <c r="BY115" s="568">
        <f t="shared" si="376"/>
        <v>2621.6</v>
      </c>
      <c r="BZ115" s="571"/>
      <c r="CA115" s="571">
        <v>2621.6</v>
      </c>
      <c r="CB115" s="567"/>
      <c r="CC115" s="567"/>
      <c r="CD115" s="567">
        <f t="shared" si="544"/>
        <v>2621.6</v>
      </c>
      <c r="CE115" s="567"/>
      <c r="CF115" s="568">
        <f t="shared" si="377"/>
        <v>2621.6</v>
      </c>
      <c r="CG115" s="571"/>
      <c r="CH115" s="571">
        <v>2621.6</v>
      </c>
      <c r="CI115" s="567"/>
      <c r="CJ115" s="567"/>
      <c r="CK115" s="567">
        <f t="shared" si="545"/>
        <v>3652.5050000000001</v>
      </c>
      <c r="CL115" s="567"/>
      <c r="CM115" s="567">
        <f t="shared" si="378"/>
        <v>3652.5050000000001</v>
      </c>
      <c r="CN115" s="567"/>
      <c r="CO115" s="567">
        <v>3652.5050000000001</v>
      </c>
      <c r="CP115" s="567"/>
      <c r="CQ115" s="567"/>
      <c r="CR115" s="573">
        <f t="shared" si="546"/>
        <v>6274.1049999999996</v>
      </c>
      <c r="CS115" s="567">
        <f t="shared" si="379"/>
        <v>6274.1049999999996</v>
      </c>
      <c r="CT115" s="567">
        <f t="shared" si="380"/>
        <v>0</v>
      </c>
      <c r="CU115" s="567">
        <f t="shared" si="381"/>
        <v>6274.1049999999996</v>
      </c>
      <c r="CV115" s="567">
        <f t="shared" si="382"/>
        <v>0</v>
      </c>
      <c r="CW115" s="567">
        <f t="shared" si="547"/>
        <v>0</v>
      </c>
      <c r="CX115" s="567">
        <f t="shared" ca="1" si="477"/>
        <v>0</v>
      </c>
      <c r="CY115" s="567">
        <f t="shared" si="383"/>
        <v>0</v>
      </c>
      <c r="CZ115" s="567">
        <f t="shared" si="384"/>
        <v>0</v>
      </c>
      <c r="DA115" s="567">
        <f t="shared" si="385"/>
        <v>0</v>
      </c>
      <c r="DB115" s="2">
        <f t="shared" si="548"/>
        <v>0</v>
      </c>
      <c r="DC115" s="76"/>
      <c r="DD115" s="253"/>
      <c r="DE115" s="253"/>
      <c r="DF115" s="2">
        <f t="shared" si="549"/>
        <v>0</v>
      </c>
      <c r="DG115" s="2"/>
      <c r="DH115" s="198"/>
      <c r="DI115" s="2"/>
      <c r="DJ115" s="2"/>
      <c r="DK115" s="2">
        <f t="shared" si="550"/>
        <v>0</v>
      </c>
      <c r="DL115" s="2"/>
      <c r="DM115" s="198"/>
      <c r="DN115" s="2"/>
      <c r="DO115" s="2"/>
      <c r="DP115" s="2">
        <f t="shared" si="551"/>
        <v>0</v>
      </c>
      <c r="DQ115" s="2">
        <f t="shared" si="552"/>
        <v>0</v>
      </c>
      <c r="DR115" s="2">
        <f t="shared" si="552"/>
        <v>0</v>
      </c>
      <c r="DS115" s="2">
        <f t="shared" si="552"/>
        <v>0</v>
      </c>
      <c r="DT115" s="2">
        <f t="shared" si="552"/>
        <v>0</v>
      </c>
      <c r="DU115" s="2"/>
      <c r="DV115" s="2"/>
      <c r="DW115" s="2"/>
      <c r="DX115" s="2">
        <f t="shared" ca="1" si="553"/>
        <v>0</v>
      </c>
      <c r="DY115" s="46"/>
      <c r="DZ115" s="2">
        <f t="shared" si="554"/>
        <v>2621.6</v>
      </c>
      <c r="EA115" s="2">
        <f t="shared" si="555"/>
        <v>2621.6</v>
      </c>
      <c r="EB115" s="46"/>
      <c r="EC115" s="2"/>
      <c r="ED115" s="2"/>
      <c r="EE115" s="46"/>
      <c r="EF115" s="2"/>
      <c r="EG115" s="46"/>
      <c r="EH115" s="46"/>
      <c r="EI115" s="2">
        <f t="shared" si="357"/>
        <v>2621.6</v>
      </c>
      <c r="EJ115" s="2"/>
      <c r="EK115" s="198">
        <f t="shared" si="386"/>
        <v>2621.6</v>
      </c>
      <c r="EL115" s="446"/>
      <c r="EM115" s="446">
        <v>2621.6</v>
      </c>
      <c r="EN115" s="2"/>
      <c r="EO115" s="2"/>
      <c r="EP115" s="2">
        <f t="shared" si="358"/>
        <v>3652.5050000000001</v>
      </c>
      <c r="EQ115" s="2"/>
      <c r="ER115" s="2">
        <f t="shared" si="387"/>
        <v>3652.5050000000001</v>
      </c>
      <c r="ES115" s="2"/>
      <c r="ET115" s="2">
        <v>3652.5050000000001</v>
      </c>
      <c r="EU115" s="2"/>
      <c r="EV115" s="141"/>
      <c r="EW115" s="310"/>
      <c r="EX115" s="310"/>
      <c r="EY115" s="310"/>
      <c r="EZ115" s="396"/>
      <c r="FA115" s="396"/>
      <c r="FB115" s="310"/>
      <c r="FC115" s="310"/>
      <c r="FD115" s="310"/>
      <c r="FE115" s="396"/>
      <c r="FF115" s="396"/>
      <c r="FG115" s="396"/>
      <c r="FH115" s="311"/>
      <c r="FI115" s="310"/>
      <c r="FJ115" s="296" t="e">
        <f t="shared" si="556"/>
        <v>#DIV/0!</v>
      </c>
      <c r="FK115" s="353">
        <f t="shared" si="389"/>
        <v>2621.6</v>
      </c>
      <c r="FL115" s="353">
        <f>BA115</f>
        <v>2621.6</v>
      </c>
      <c r="FM115" s="353"/>
      <c r="FN115" s="388">
        <f t="shared" si="557"/>
        <v>1</v>
      </c>
      <c r="FO115" s="388">
        <f t="shared" si="558"/>
        <v>0</v>
      </c>
      <c r="FP115" s="353">
        <f t="shared" si="390"/>
        <v>6274.1049999999996</v>
      </c>
      <c r="FQ115" s="353">
        <f t="shared" si="559"/>
        <v>2621.6</v>
      </c>
      <c r="FR115" s="353">
        <f t="shared" si="560"/>
        <v>3652.5050000000001</v>
      </c>
      <c r="FS115" s="388">
        <f t="shared" si="561"/>
        <v>0.4178444574963282</v>
      </c>
      <c r="FT115" s="388">
        <f t="shared" si="562"/>
        <v>0.58215554250367185</v>
      </c>
      <c r="FU115" s="388"/>
      <c r="FV115" s="353">
        <f t="shared" si="563"/>
        <v>6274.1049999999996</v>
      </c>
      <c r="FW115" s="353">
        <f t="shared" si="391"/>
        <v>-3652.5049999999997</v>
      </c>
      <c r="FX115" s="310"/>
      <c r="FY115" s="310"/>
      <c r="FZ115" s="310"/>
      <c r="GA115" s="396"/>
      <c r="GB115" s="396"/>
      <c r="GC115" s="310"/>
      <c r="GD115" s="310"/>
      <c r="GE115" s="310"/>
      <c r="GF115" s="396"/>
      <c r="GG115" s="396"/>
      <c r="GH115" s="396"/>
      <c r="GI115" s="311"/>
      <c r="GJ115" s="344"/>
      <c r="GK115" s="303">
        <f t="shared" si="368"/>
        <v>1</v>
      </c>
    </row>
    <row r="116" spans="2:193" s="115" customFormat="1" ht="15.75" customHeight="1" x14ac:dyDescent="0.2">
      <c r="B116" s="109"/>
      <c r="C116" s="110"/>
      <c r="D116" s="110"/>
      <c r="E116" s="111"/>
      <c r="F116" s="109"/>
      <c r="G116" s="110"/>
      <c r="H116" s="110"/>
      <c r="I116" s="735"/>
      <c r="J116" s="736"/>
      <c r="K116" s="736"/>
      <c r="L116" s="736"/>
      <c r="M116" s="111"/>
      <c r="N116" s="114" t="s">
        <v>18</v>
      </c>
      <c r="O116" s="114"/>
      <c r="P116" s="114">
        <f t="shared" si="388"/>
        <v>0</v>
      </c>
      <c r="Q116" s="114"/>
      <c r="R116" s="114"/>
      <c r="S116" s="114"/>
      <c r="T116" s="158">
        <f t="shared" ref="T116:AH116" si="638">SUM(T117:T129)-T118</f>
        <v>25</v>
      </c>
      <c r="U116" s="158">
        <f>U117+U118+U119+U120+U121+U122+U123+U124+U125+U126+U127+U128+U129</f>
        <v>3</v>
      </c>
      <c r="V116" s="57">
        <f t="shared" si="369"/>
        <v>55132.017</v>
      </c>
      <c r="W116" s="57">
        <f t="shared" ref="W116:AA116" si="639">SUM(W117:W129)-W118</f>
        <v>0</v>
      </c>
      <c r="X116" s="57">
        <f t="shared" si="639"/>
        <v>35977.5</v>
      </c>
      <c r="Y116" s="57">
        <f t="shared" si="639"/>
        <v>11335.499999999998</v>
      </c>
      <c r="Z116" s="57">
        <f t="shared" si="639"/>
        <v>24642</v>
      </c>
      <c r="AA116" s="57">
        <f t="shared" si="639"/>
        <v>19154.517</v>
      </c>
      <c r="AB116" s="564">
        <f t="shared" si="638"/>
        <v>55132.017000000007</v>
      </c>
      <c r="AC116" s="564">
        <f t="shared" si="638"/>
        <v>0</v>
      </c>
      <c r="AD116" s="564">
        <f t="shared" si="638"/>
        <v>35977.5</v>
      </c>
      <c r="AE116" s="564">
        <f t="shared" si="638"/>
        <v>11335.499999999998</v>
      </c>
      <c r="AF116" s="564">
        <f t="shared" si="638"/>
        <v>24642</v>
      </c>
      <c r="AG116" s="564">
        <f t="shared" si="638"/>
        <v>19154.517</v>
      </c>
      <c r="AH116" s="564">
        <f t="shared" si="638"/>
        <v>0</v>
      </c>
      <c r="AI116" s="564">
        <f t="shared" ref="AI116:AM116" si="640">SUM(AI117:AI129)-AI118</f>
        <v>0</v>
      </c>
      <c r="AJ116" s="564">
        <f t="shared" si="640"/>
        <v>0</v>
      </c>
      <c r="AK116" s="564">
        <f t="shared" si="640"/>
        <v>0</v>
      </c>
      <c r="AL116" s="564">
        <f t="shared" si="640"/>
        <v>0</v>
      </c>
      <c r="AM116" s="564">
        <f t="shared" si="640"/>
        <v>0</v>
      </c>
      <c r="AN116" s="564">
        <f t="shared" ref="AN116:AR116" si="641">SUM(AN117:AN129)-AN118</f>
        <v>0</v>
      </c>
      <c r="AO116" s="564">
        <f t="shared" si="641"/>
        <v>0</v>
      </c>
      <c r="AP116" s="564">
        <f t="shared" si="641"/>
        <v>0</v>
      </c>
      <c r="AQ116" s="564">
        <f t="shared" si="641"/>
        <v>0</v>
      </c>
      <c r="AR116" s="564">
        <f t="shared" si="641"/>
        <v>0</v>
      </c>
      <c r="AS116" s="566">
        <f t="shared" ref="AS116:AW116" si="642">SUM(AS117:AS129)-AS118</f>
        <v>0</v>
      </c>
      <c r="AT116" s="564">
        <f t="shared" si="642"/>
        <v>0</v>
      </c>
      <c r="AU116" s="564">
        <f t="shared" si="642"/>
        <v>0</v>
      </c>
      <c r="AV116" s="564">
        <f t="shared" si="642"/>
        <v>0</v>
      </c>
      <c r="AW116" s="564">
        <f t="shared" si="642"/>
        <v>0</v>
      </c>
      <c r="AX116" s="565"/>
      <c r="AY116" s="564">
        <f t="shared" ref="AY116:BD116" si="643">SUM(AY117:AY129)-AY118</f>
        <v>55071.446490000002</v>
      </c>
      <c r="AZ116" s="564">
        <f t="shared" si="643"/>
        <v>0</v>
      </c>
      <c r="BA116" s="564">
        <f t="shared" si="643"/>
        <v>35916.929889999999</v>
      </c>
      <c r="BB116" s="564">
        <f t="shared" ref="BB116:BC116" si="644">SUM(BB117:BB129)-BB118</f>
        <v>11274.929889999998</v>
      </c>
      <c r="BC116" s="564">
        <f t="shared" si="644"/>
        <v>24642</v>
      </c>
      <c r="BD116" s="564">
        <f t="shared" si="643"/>
        <v>19154.516599999999</v>
      </c>
      <c r="BE116" s="564">
        <f>SUM(BE117:BE129)-BE118</f>
        <v>0</v>
      </c>
      <c r="BF116" s="564">
        <f t="shared" si="370"/>
        <v>60.570510000001377</v>
      </c>
      <c r="BG116" s="564">
        <f t="shared" si="371"/>
        <v>0</v>
      </c>
      <c r="BH116" s="564">
        <f t="shared" si="372"/>
        <v>60.570110000000568</v>
      </c>
      <c r="BI116" s="564">
        <f t="shared" si="373"/>
        <v>60.570110000000568</v>
      </c>
      <c r="BJ116" s="564">
        <f t="shared" si="374"/>
        <v>0</v>
      </c>
      <c r="BK116" s="564">
        <f t="shared" si="375"/>
        <v>4.0000000080908649E-4</v>
      </c>
      <c r="BL116" s="564" t="e">
        <f t="shared" ref="BL116:BQ116" si="645">SUM(BL117:BL129)-BL118</f>
        <v>#REF!</v>
      </c>
      <c r="BM116" s="564">
        <f t="shared" si="645"/>
        <v>28952.673000000003</v>
      </c>
      <c r="BN116" s="564">
        <f t="shared" si="645"/>
        <v>0</v>
      </c>
      <c r="BO116" s="564">
        <f t="shared" si="645"/>
        <v>11687.700000000003</v>
      </c>
      <c r="BP116" s="564">
        <f t="shared" si="645"/>
        <v>17264.973000000002</v>
      </c>
      <c r="BQ116" s="564">
        <f t="shared" si="645"/>
        <v>0</v>
      </c>
      <c r="BR116" s="564">
        <f t="shared" ref="BR116:DB116" si="646">SUM(BR117:BR129)-BR118</f>
        <v>0</v>
      </c>
      <c r="BS116" s="564">
        <f t="shared" si="646"/>
        <v>0</v>
      </c>
      <c r="BT116" s="564">
        <f t="shared" si="646"/>
        <v>0</v>
      </c>
      <c r="BU116" s="564">
        <f t="shared" si="646"/>
        <v>0</v>
      </c>
      <c r="BV116" s="564">
        <f t="shared" si="646"/>
        <v>0</v>
      </c>
      <c r="BW116" s="564">
        <f t="shared" si="646"/>
        <v>44042.796779999997</v>
      </c>
      <c r="BX116" s="564">
        <f t="shared" si="646"/>
        <v>0</v>
      </c>
      <c r="BY116" s="564">
        <f t="shared" si="376"/>
        <v>27152.696759999999</v>
      </c>
      <c r="BZ116" s="564">
        <f t="shared" si="646"/>
        <v>9419.6929900000014</v>
      </c>
      <c r="CA116" s="564">
        <f t="shared" si="646"/>
        <v>17733.003769999999</v>
      </c>
      <c r="CB116" s="564">
        <f t="shared" si="646"/>
        <v>16890.100019999998</v>
      </c>
      <c r="CC116" s="564">
        <f t="shared" si="646"/>
        <v>0</v>
      </c>
      <c r="CD116" s="564">
        <f t="shared" si="646"/>
        <v>44042.796779999997</v>
      </c>
      <c r="CE116" s="564">
        <f t="shared" ref="CE116" si="647">SUM(CE117:CE129)-CE118</f>
        <v>0</v>
      </c>
      <c r="CF116" s="564">
        <f t="shared" si="377"/>
        <v>27152.696759999999</v>
      </c>
      <c r="CG116" s="564">
        <f t="shared" ref="CG116:CH116" si="648">SUM(CG117:CG129)-CG118</f>
        <v>9419.6929900000014</v>
      </c>
      <c r="CH116" s="564">
        <f t="shared" si="648"/>
        <v>17733.003769999999</v>
      </c>
      <c r="CI116" s="564">
        <f t="shared" ref="CI116" si="649">SUM(CI117:CI129)-CI118</f>
        <v>16890.100019999998</v>
      </c>
      <c r="CJ116" s="564">
        <f t="shared" si="646"/>
        <v>0</v>
      </c>
      <c r="CK116" s="566">
        <f t="shared" si="646"/>
        <v>8095.5825800000002</v>
      </c>
      <c r="CL116" s="564">
        <f t="shared" si="646"/>
        <v>0</v>
      </c>
      <c r="CM116" s="564">
        <f>SUM(CM117:CM129)</f>
        <v>5966.6193600000006</v>
      </c>
      <c r="CN116" s="564">
        <f t="shared" si="646"/>
        <v>1338.5085299999998</v>
      </c>
      <c r="CO116" s="564">
        <f t="shared" si="646"/>
        <v>2028.7282400000001</v>
      </c>
      <c r="CP116" s="564">
        <f t="shared" si="646"/>
        <v>2128.9632200000001</v>
      </c>
      <c r="CQ116" s="564">
        <f t="shared" si="646"/>
        <v>0</v>
      </c>
      <c r="CR116" s="564">
        <f t="shared" si="646"/>
        <v>52138.379360000014</v>
      </c>
      <c r="CS116" s="564">
        <f t="shared" si="379"/>
        <v>52138.379360000006</v>
      </c>
      <c r="CT116" s="564">
        <f t="shared" si="380"/>
        <v>0</v>
      </c>
      <c r="CU116" s="564">
        <f t="shared" si="381"/>
        <v>33119.316120000003</v>
      </c>
      <c r="CV116" s="564">
        <f t="shared" si="382"/>
        <v>19019.063239999999</v>
      </c>
      <c r="CW116" s="564">
        <f t="shared" si="646"/>
        <v>0</v>
      </c>
      <c r="CX116" s="564">
        <f t="shared" ca="1" si="477"/>
        <v>0</v>
      </c>
      <c r="CY116" s="564">
        <f t="shared" si="383"/>
        <v>0</v>
      </c>
      <c r="CZ116" s="564">
        <f t="shared" si="384"/>
        <v>0</v>
      </c>
      <c r="DA116" s="564">
        <f t="shared" si="385"/>
        <v>0</v>
      </c>
      <c r="DB116" s="57">
        <f t="shared" si="646"/>
        <v>0</v>
      </c>
      <c r="DC116" s="225">
        <f>DD116+DF116-BR116</f>
        <v>28952.673000000003</v>
      </c>
      <c r="DD116" s="226">
        <f t="shared" ref="DD116:DX116" si="650">SUM(DD117:DD129)-DD118</f>
        <v>28952.673000000003</v>
      </c>
      <c r="DE116" s="226">
        <f t="shared" si="650"/>
        <v>28952.673000000003</v>
      </c>
      <c r="DF116" s="57">
        <f t="shared" si="650"/>
        <v>0</v>
      </c>
      <c r="DG116" s="57">
        <f t="shared" si="650"/>
        <v>0</v>
      </c>
      <c r="DH116" s="57">
        <f t="shared" si="650"/>
        <v>0</v>
      </c>
      <c r="DI116" s="57">
        <f t="shared" si="650"/>
        <v>0</v>
      </c>
      <c r="DJ116" s="57">
        <f t="shared" si="650"/>
        <v>0</v>
      </c>
      <c r="DK116" s="57">
        <f t="shared" si="650"/>
        <v>0</v>
      </c>
      <c r="DL116" s="57">
        <f t="shared" si="650"/>
        <v>0</v>
      </c>
      <c r="DM116" s="57">
        <f t="shared" si="650"/>
        <v>0</v>
      </c>
      <c r="DN116" s="57">
        <f t="shared" si="650"/>
        <v>0</v>
      </c>
      <c r="DO116" s="57">
        <f t="shared" si="650"/>
        <v>0</v>
      </c>
      <c r="DP116" s="57">
        <f t="shared" si="650"/>
        <v>0</v>
      </c>
      <c r="DQ116" s="57">
        <f t="shared" si="650"/>
        <v>0</v>
      </c>
      <c r="DR116" s="57">
        <f t="shared" si="650"/>
        <v>0</v>
      </c>
      <c r="DS116" s="57">
        <f t="shared" si="650"/>
        <v>0</v>
      </c>
      <c r="DT116" s="57">
        <f t="shared" si="650"/>
        <v>0</v>
      </c>
      <c r="DU116" s="57">
        <f t="shared" si="650"/>
        <v>0</v>
      </c>
      <c r="DV116" s="57">
        <f t="shared" si="650"/>
        <v>0</v>
      </c>
      <c r="DW116" s="57">
        <f t="shared" si="650"/>
        <v>0</v>
      </c>
      <c r="DX116" s="57">
        <f t="shared" ca="1" si="650"/>
        <v>0</v>
      </c>
      <c r="DY116" s="124"/>
      <c r="DZ116" s="57">
        <f>SUM(DZ117:DZ129)-DZ118</f>
        <v>44042.796779999997</v>
      </c>
      <c r="EA116" s="57">
        <f>SUM(EA117:EA129)-EA118</f>
        <v>44042.796779999997</v>
      </c>
      <c r="EB116" s="124"/>
      <c r="EC116" s="57">
        <f>SUM(EC117:EC129)-EC118</f>
        <v>44042.796780000004</v>
      </c>
      <c r="ED116" s="57">
        <f ca="1">SUM(ED117:ED129)-ED118</f>
        <v>0</v>
      </c>
      <c r="EE116" s="124"/>
      <c r="EF116" s="57">
        <f>SUM(EF117:EF129)-EF118</f>
        <v>-15090.123779999998</v>
      </c>
      <c r="EG116" s="124">
        <f ca="1">DX116-EF116</f>
        <v>15090.123779999998</v>
      </c>
      <c r="EH116" s="124"/>
      <c r="EI116" s="57">
        <f t="shared" si="357"/>
        <v>44042.796779999997</v>
      </c>
      <c r="EJ116" s="57">
        <f t="shared" ref="EJ116:EN116" si="651">SUM(EJ117:EJ129)-EJ118</f>
        <v>0</v>
      </c>
      <c r="EK116" s="57">
        <f t="shared" si="386"/>
        <v>27152.696759999999</v>
      </c>
      <c r="EL116" s="57">
        <f t="shared" ref="EL116:EM116" si="652">SUM(EL117:EL129)-EL118</f>
        <v>9419.6929900000014</v>
      </c>
      <c r="EM116" s="57">
        <f t="shared" si="652"/>
        <v>17733.003769999999</v>
      </c>
      <c r="EN116" s="57">
        <f t="shared" si="651"/>
        <v>16890.100019999998</v>
      </c>
      <c r="EO116" s="57">
        <f t="shared" ref="EO116" si="653">SUM(EO117:EO129)-EO118</f>
        <v>0</v>
      </c>
      <c r="EP116" s="57">
        <f t="shared" si="358"/>
        <v>8095.5825800000002</v>
      </c>
      <c r="EQ116" s="57">
        <f t="shared" ref="EQ116" si="654">SUM(EQ117:EQ129)-EQ118</f>
        <v>0</v>
      </c>
      <c r="ER116" s="57">
        <f>SUM(ER117:ER129)</f>
        <v>5966.6193600000006</v>
      </c>
      <c r="ES116" s="57">
        <f t="shared" ref="ES116:EU116" si="655">SUM(ES117:ES129)-ES118</f>
        <v>2320.7324099999996</v>
      </c>
      <c r="ET116" s="57">
        <f t="shared" si="655"/>
        <v>3585.8869500000001</v>
      </c>
      <c r="EU116" s="57">
        <f t="shared" si="655"/>
        <v>2128.9632200000001</v>
      </c>
      <c r="EV116" s="140">
        <f t="shared" ref="EV116" si="656">SUM(EV117:EV129)-EV118</f>
        <v>0</v>
      </c>
      <c r="EW116" s="57">
        <f t="shared" si="423"/>
        <v>0</v>
      </c>
      <c r="EX116" s="57">
        <f>AZ116</f>
        <v>0</v>
      </c>
      <c r="EY116" s="57">
        <f t="shared" ref="EY116" si="657">SUM(EY117:EY129)-EY118</f>
        <v>0</v>
      </c>
      <c r="EZ116" s="390"/>
      <c r="FA116" s="390"/>
      <c r="FB116" s="57">
        <f t="shared" si="425"/>
        <v>0</v>
      </c>
      <c r="FC116" s="57">
        <f>SUM(FC117:FC129)</f>
        <v>0</v>
      </c>
      <c r="FD116" s="57">
        <f>SUM(FD117:FD129)</f>
        <v>0</v>
      </c>
      <c r="FE116" s="390"/>
      <c r="FF116" s="390"/>
      <c r="FG116" s="390"/>
      <c r="FH116" s="304">
        <f t="shared" ref="FH116" si="658">SUM(FH117:FH129)</f>
        <v>0</v>
      </c>
      <c r="FI116" s="57">
        <f t="shared" si="427"/>
        <v>0</v>
      </c>
      <c r="FJ116" s="295"/>
      <c r="FK116" s="57">
        <f t="shared" si="389"/>
        <v>35916.929889999999</v>
      </c>
      <c r="FL116" s="57">
        <f>BA116</f>
        <v>35916.929889999999</v>
      </c>
      <c r="FM116" s="57">
        <f t="shared" ref="FM116" si="659">SUM(FM117:FM129)-FM118</f>
        <v>0</v>
      </c>
      <c r="FN116" s="390"/>
      <c r="FO116" s="390"/>
      <c r="FP116" s="57">
        <f t="shared" si="390"/>
        <v>31165.715660000002</v>
      </c>
      <c r="FQ116" s="57">
        <f>SUM(FQ117:FQ129)</f>
        <v>25693.08511</v>
      </c>
      <c r="FR116" s="57">
        <f>SUM(FR117:FR129)</f>
        <v>5472.6305500000008</v>
      </c>
      <c r="FS116" s="390"/>
      <c r="FT116" s="390"/>
      <c r="FU116" s="390"/>
      <c r="FV116" s="57">
        <f t="shared" ref="FV116" si="660">SUM(FV117:FV129)</f>
        <v>31165.715660000002</v>
      </c>
      <c r="FW116" s="57">
        <f t="shared" si="391"/>
        <v>-5472.6305500000017</v>
      </c>
      <c r="FX116" s="57">
        <f t="shared" ref="FX116" si="661">FY116+FZ116+GA116</f>
        <v>19154.516599999999</v>
      </c>
      <c r="FY116" s="57">
        <f>BD116</f>
        <v>19154.516599999999</v>
      </c>
      <c r="FZ116" s="57">
        <f t="shared" ref="FZ116" si="662">SUM(FZ117:FZ129)-FZ118</f>
        <v>0</v>
      </c>
      <c r="GA116" s="390"/>
      <c r="GB116" s="390"/>
      <c r="GC116" s="57">
        <f t="shared" si="402"/>
        <v>19019.063239999999</v>
      </c>
      <c r="GD116" s="57">
        <f t="shared" si="501"/>
        <v>16890.100019999998</v>
      </c>
      <c r="GE116" s="57">
        <f t="shared" si="502"/>
        <v>2128.9632200000001</v>
      </c>
      <c r="GF116" s="390"/>
      <c r="GG116" s="390"/>
      <c r="GH116" s="390"/>
      <c r="GI116" s="304">
        <f t="shared" si="637"/>
        <v>0</v>
      </c>
      <c r="GJ116" s="77">
        <f t="shared" si="403"/>
        <v>16890.100019999998</v>
      </c>
      <c r="GK116" s="462">
        <f t="shared" si="368"/>
        <v>0.79886061088604809</v>
      </c>
    </row>
    <row r="117" spans="2:193" s="37" customFormat="1" ht="15.75" customHeight="1" x14ac:dyDescent="0.25">
      <c r="B117" s="29">
        <v>1</v>
      </c>
      <c r="C117" s="30"/>
      <c r="D117" s="30"/>
      <c r="E117" s="493">
        <v>96</v>
      </c>
      <c r="F117" s="29">
        <v>1</v>
      </c>
      <c r="G117" s="30"/>
      <c r="H117" s="30">
        <v>1</v>
      </c>
      <c r="I117" s="731"/>
      <c r="J117" s="732"/>
      <c r="K117" s="201"/>
      <c r="L117" s="53"/>
      <c r="M117" s="493">
        <v>78</v>
      </c>
      <c r="N117" s="478" t="s">
        <v>219</v>
      </c>
      <c r="O117" s="130"/>
      <c r="P117" s="130">
        <f t="shared" si="388"/>
        <v>0</v>
      </c>
      <c r="Q117" s="130" t="s">
        <v>706</v>
      </c>
      <c r="R117" s="130"/>
      <c r="S117" s="413" t="s">
        <v>620</v>
      </c>
      <c r="T117" s="160">
        <v>2</v>
      </c>
      <c r="U117" s="160"/>
      <c r="V117" s="2">
        <f t="shared" si="369"/>
        <v>4875.5</v>
      </c>
      <c r="W117" s="2"/>
      <c r="X117" s="198">
        <f t="shared" si="605"/>
        <v>4875.5</v>
      </c>
      <c r="Y117" s="198">
        <v>2061</v>
      </c>
      <c r="Z117" s="42">
        <v>2814.5</v>
      </c>
      <c r="AA117" s="2"/>
      <c r="AB117" s="567">
        <f t="shared" ref="AB117:AB129" si="663">AC117+AD117+AG117+AH117</f>
        <v>4875.5</v>
      </c>
      <c r="AC117" s="567"/>
      <c r="AD117" s="568">
        <f t="shared" si="606"/>
        <v>4875.5</v>
      </c>
      <c r="AE117" s="568">
        <v>2061</v>
      </c>
      <c r="AF117" s="569">
        <v>2814.5</v>
      </c>
      <c r="AG117" s="567"/>
      <c r="AH117" s="573"/>
      <c r="AI117" s="567"/>
      <c r="AJ117" s="567"/>
      <c r="AK117" s="568"/>
      <c r="AL117" s="567"/>
      <c r="AM117" s="573"/>
      <c r="AN117" s="567"/>
      <c r="AO117" s="567"/>
      <c r="AP117" s="568"/>
      <c r="AQ117" s="567"/>
      <c r="AR117" s="573"/>
      <c r="AS117" s="567"/>
      <c r="AT117" s="567"/>
      <c r="AU117" s="568"/>
      <c r="AV117" s="567"/>
      <c r="AW117" s="567"/>
      <c r="AX117" s="409" t="s">
        <v>473</v>
      </c>
      <c r="AY117" s="567">
        <f t="shared" ref="AY117:AY129" si="664">AZ117+BA117+BD117+BE117</f>
        <v>4845.7160000000003</v>
      </c>
      <c r="AZ117" s="567"/>
      <c r="BA117" s="568">
        <f t="shared" ref="BA117:BA129" si="665">BB117+BC117</f>
        <v>4845.7160000000003</v>
      </c>
      <c r="BB117" s="568">
        <v>2031.2159999999999</v>
      </c>
      <c r="BC117" s="569">
        <v>2814.5</v>
      </c>
      <c r="BD117" s="567"/>
      <c r="BE117" s="567"/>
      <c r="BF117" s="567">
        <f t="shared" si="370"/>
        <v>29.784000000000106</v>
      </c>
      <c r="BG117" s="567">
        <f t="shared" si="371"/>
        <v>0</v>
      </c>
      <c r="BH117" s="567">
        <f t="shared" si="372"/>
        <v>29.784000000000106</v>
      </c>
      <c r="BI117" s="567">
        <f t="shared" si="373"/>
        <v>29.784000000000106</v>
      </c>
      <c r="BJ117" s="567">
        <f t="shared" si="374"/>
        <v>0</v>
      </c>
      <c r="BK117" s="567">
        <f t="shared" si="375"/>
        <v>0</v>
      </c>
      <c r="BL117" s="567" t="e">
        <f>#REF!-BE117</f>
        <v>#REF!</v>
      </c>
      <c r="BM117" s="567">
        <f t="shared" ref="BM117:BM129" si="666">BN117+BO117+BP117+BQ117</f>
        <v>1327.1</v>
      </c>
      <c r="BN117" s="567"/>
      <c r="BO117" s="568">
        <f>577+750.1</f>
        <v>1327.1</v>
      </c>
      <c r="BP117" s="567"/>
      <c r="BQ117" s="567"/>
      <c r="BR117" s="567">
        <f t="shared" ref="BR117:BR129" si="667">BS117+BT117+BU117+BV117</f>
        <v>0</v>
      </c>
      <c r="BS117" s="567"/>
      <c r="BT117" s="568"/>
      <c r="BU117" s="567"/>
      <c r="BV117" s="567"/>
      <c r="BW117" s="567">
        <f t="shared" ref="BW117:BW129" si="668">BX117+BY117+CB117+CC117</f>
        <v>3524.7399100000002</v>
      </c>
      <c r="BX117" s="567"/>
      <c r="BY117" s="568">
        <f t="shared" si="376"/>
        <v>3524.7399100000002</v>
      </c>
      <c r="BZ117" s="571">
        <v>1399.7933800000001</v>
      </c>
      <c r="CA117" s="571">
        <v>2124.9465300000002</v>
      </c>
      <c r="CB117" s="567"/>
      <c r="CC117" s="567"/>
      <c r="CD117" s="567">
        <f t="shared" ref="CD117:CD129" si="669">CE117+CF117+CI117+CJ117</f>
        <v>3524.7399100000002</v>
      </c>
      <c r="CE117" s="567"/>
      <c r="CF117" s="568">
        <f t="shared" si="377"/>
        <v>3524.7399100000002</v>
      </c>
      <c r="CG117" s="571">
        <v>1399.7933800000001</v>
      </c>
      <c r="CH117" s="571">
        <v>2124.9465300000002</v>
      </c>
      <c r="CI117" s="567"/>
      <c r="CJ117" s="567"/>
      <c r="CK117" s="567">
        <f t="shared" ref="CK117:CK129" si="670">CL117+CM117+CP117+CQ117</f>
        <v>992.92237999999998</v>
      </c>
      <c r="CL117" s="567"/>
      <c r="CM117" s="577">
        <v>992.92237999999998</v>
      </c>
      <c r="CN117" s="582">
        <v>130.88091</v>
      </c>
      <c r="CO117" s="582">
        <v>802.04147</v>
      </c>
      <c r="CP117" s="567"/>
      <c r="CQ117" s="567"/>
      <c r="CR117" s="573">
        <f t="shared" ref="CR117:CR129" si="671">CS117</f>
        <v>4517.6622900000002</v>
      </c>
      <c r="CS117" s="567">
        <f t="shared" si="379"/>
        <v>4517.6622900000002</v>
      </c>
      <c r="CT117" s="567">
        <f t="shared" si="380"/>
        <v>0</v>
      </c>
      <c r="CU117" s="567">
        <f t="shared" si="381"/>
        <v>4517.6622900000002</v>
      </c>
      <c r="CV117" s="567">
        <f t="shared" si="382"/>
        <v>0</v>
      </c>
      <c r="CW117" s="567">
        <f t="shared" ref="CW117:CW129" si="672">CJ117+CQ117</f>
        <v>0</v>
      </c>
      <c r="CX117" s="567">
        <f t="shared" ca="1" si="477"/>
        <v>0</v>
      </c>
      <c r="CY117" s="567">
        <f t="shared" si="383"/>
        <v>0</v>
      </c>
      <c r="CZ117" s="567">
        <f t="shared" si="384"/>
        <v>0</v>
      </c>
      <c r="DA117" s="567">
        <f t="shared" si="385"/>
        <v>0</v>
      </c>
      <c r="DB117" s="2">
        <f t="shared" ref="DB117:DB129" si="673">CC117-CJ117</f>
        <v>0</v>
      </c>
      <c r="DC117" s="76"/>
      <c r="DD117" s="253">
        <f>BM117</f>
        <v>1327.1</v>
      </c>
      <c r="DE117" s="253">
        <f>DD117</f>
        <v>1327.1</v>
      </c>
      <c r="DF117" s="2">
        <f t="shared" ref="DF117:DF129" si="674">DG117+DH117+DI117+DJ117</f>
        <v>0</v>
      </c>
      <c r="DG117" s="2"/>
      <c r="DH117" s="198"/>
      <c r="DI117" s="2"/>
      <c r="DJ117" s="2"/>
      <c r="DK117" s="2">
        <f t="shared" ref="DK117:DK129" si="675">DL117+DM117+DN117+DO117</f>
        <v>0</v>
      </c>
      <c r="DL117" s="2"/>
      <c r="DM117" s="198"/>
      <c r="DN117" s="2"/>
      <c r="DO117" s="2"/>
      <c r="DP117" s="2">
        <f t="shared" ref="DP117:DP129" si="676">DQ117+DR117+DS117+DT117</f>
        <v>0</v>
      </c>
      <c r="DQ117" s="2">
        <f t="shared" ref="DQ117:DT129" si="677">DG117-DL117</f>
        <v>0</v>
      </c>
      <c r="DR117" s="2">
        <f t="shared" si="677"/>
        <v>0</v>
      </c>
      <c r="DS117" s="2">
        <f t="shared" si="677"/>
        <v>0</v>
      </c>
      <c r="DT117" s="2">
        <f t="shared" si="677"/>
        <v>0</v>
      </c>
      <c r="DU117" s="2"/>
      <c r="DV117" s="2"/>
      <c r="DW117" s="2"/>
      <c r="DX117" s="2">
        <f t="shared" ref="DX117:DX129" ca="1" si="678">CX117+DP117+DW117</f>
        <v>0</v>
      </c>
      <c r="DY117" s="46"/>
      <c r="DZ117" s="2">
        <f t="shared" ref="DZ117:DZ129" si="679">BW117+DF117+DU117</f>
        <v>3524.7399100000002</v>
      </c>
      <c r="EA117" s="2">
        <f t="shared" ref="EA117:EA129" si="680">CD117+DK117+DV117</f>
        <v>3524.7399100000002</v>
      </c>
      <c r="EB117" s="46"/>
      <c r="EC117" s="2">
        <f>EA117</f>
        <v>3524.7399100000002</v>
      </c>
      <c r="ED117" s="2">
        <f ca="1">DX117</f>
        <v>0</v>
      </c>
      <c r="EE117" s="46"/>
      <c r="EF117" s="2">
        <f>DE117-EC117</f>
        <v>-2197.6399100000003</v>
      </c>
      <c r="EG117" s="46"/>
      <c r="EH117" s="46"/>
      <c r="EI117" s="2">
        <f t="shared" si="357"/>
        <v>3524.7399100000002</v>
      </c>
      <c r="EJ117" s="2"/>
      <c r="EK117" s="198">
        <f t="shared" si="386"/>
        <v>3524.7399100000002</v>
      </c>
      <c r="EL117" s="446">
        <v>1399.7933800000001</v>
      </c>
      <c r="EM117" s="446">
        <v>2124.9465300000002</v>
      </c>
      <c r="EN117" s="2"/>
      <c r="EO117" s="2"/>
      <c r="EP117" s="2">
        <f t="shared" si="358"/>
        <v>992.92237999999998</v>
      </c>
      <c r="EQ117" s="2"/>
      <c r="ER117" s="236">
        <v>992.92237999999998</v>
      </c>
      <c r="ES117" s="235">
        <v>130.88091</v>
      </c>
      <c r="ET117" s="235">
        <v>802.04147</v>
      </c>
      <c r="EU117" s="2"/>
      <c r="EV117" s="141"/>
      <c r="EW117" s="310"/>
      <c r="EX117" s="310"/>
      <c r="EY117" s="312"/>
      <c r="EZ117" s="396"/>
      <c r="FA117" s="396"/>
      <c r="FB117" s="310"/>
      <c r="FC117" s="310"/>
      <c r="FD117" s="312"/>
      <c r="FE117" s="396"/>
      <c r="FF117" s="396"/>
      <c r="FG117" s="396"/>
      <c r="FH117" s="311"/>
      <c r="FI117" s="310"/>
      <c r="FJ117" s="296" t="e">
        <f t="shared" ref="FJ117:FJ129" si="681">FH117/FE117</f>
        <v>#DIV/0!</v>
      </c>
      <c r="FK117" s="353">
        <f t="shared" si="389"/>
        <v>4845.7160000000003</v>
      </c>
      <c r="FL117" s="353">
        <f>BA117</f>
        <v>4845.7160000000003</v>
      </c>
      <c r="FM117" s="354"/>
      <c r="FN117" s="388">
        <f t="shared" ref="FN117:FN129" si="682">FL117/FK117</f>
        <v>1</v>
      </c>
      <c r="FO117" s="388">
        <f t="shared" ref="FO117:FO129" si="683">FM117/FK117</f>
        <v>0</v>
      </c>
      <c r="FP117" s="353">
        <f t="shared" si="390"/>
        <v>4517.6622900000002</v>
      </c>
      <c r="FQ117" s="353">
        <f t="shared" ref="FQ117:FQ129" si="684">EK117</f>
        <v>3524.7399100000002</v>
      </c>
      <c r="FR117" s="354">
        <f t="shared" ref="FR117:FR129" si="685">ER117</f>
        <v>992.92237999999998</v>
      </c>
      <c r="FS117" s="388">
        <f t="shared" ref="FS117:FS129" si="686">FQ117/FP117</f>
        <v>0.78021323501806061</v>
      </c>
      <c r="FT117" s="388">
        <f t="shared" ref="FT117:FT129" si="687">FR117/FP117</f>
        <v>0.21978676498193936</v>
      </c>
      <c r="FU117" s="388"/>
      <c r="FV117" s="353">
        <f t="shared" ref="FV117:FV129" si="688">FP117*FN117</f>
        <v>4517.6622900000002</v>
      </c>
      <c r="FW117" s="353">
        <f t="shared" si="391"/>
        <v>-992.92237999999998</v>
      </c>
      <c r="FX117" s="310"/>
      <c r="FY117" s="310"/>
      <c r="FZ117" s="312"/>
      <c r="GA117" s="396"/>
      <c r="GB117" s="396"/>
      <c r="GC117" s="310"/>
      <c r="GD117" s="310"/>
      <c r="GE117" s="312"/>
      <c r="GF117" s="396"/>
      <c r="GG117" s="396"/>
      <c r="GH117" s="396"/>
      <c r="GI117" s="311"/>
      <c r="GJ117" s="344"/>
      <c r="GK117" s="303">
        <f t="shared" si="368"/>
        <v>0.72294942262332074</v>
      </c>
    </row>
    <row r="118" spans="2:193" s="37" customFormat="1" ht="15.75" hidden="1" customHeight="1" x14ac:dyDescent="0.25">
      <c r="B118" s="29"/>
      <c r="C118" s="30"/>
      <c r="D118" s="30"/>
      <c r="E118" s="493"/>
      <c r="F118" s="29"/>
      <c r="G118" s="30"/>
      <c r="H118" s="30"/>
      <c r="I118" s="731"/>
      <c r="J118" s="732"/>
      <c r="K118" s="201"/>
      <c r="L118" s="53"/>
      <c r="M118" s="493"/>
      <c r="N118" s="18" t="s">
        <v>246</v>
      </c>
      <c r="O118" s="128"/>
      <c r="P118" s="128">
        <f t="shared" si="388"/>
        <v>0</v>
      </c>
      <c r="Q118" s="128"/>
      <c r="R118" s="128"/>
      <c r="S118" s="128"/>
      <c r="T118" s="128"/>
      <c r="U118" s="128"/>
      <c r="V118" s="2">
        <f t="shared" si="369"/>
        <v>0</v>
      </c>
      <c r="W118" s="2"/>
      <c r="X118" s="233">
        <f t="shared" si="605"/>
        <v>0</v>
      </c>
      <c r="Y118" s="233"/>
      <c r="Z118" s="43"/>
      <c r="AA118" s="2"/>
      <c r="AB118" s="567">
        <f t="shared" si="663"/>
        <v>0</v>
      </c>
      <c r="AC118" s="567"/>
      <c r="AD118" s="575">
        <f t="shared" si="606"/>
        <v>0</v>
      </c>
      <c r="AE118" s="575"/>
      <c r="AF118" s="576"/>
      <c r="AG118" s="567"/>
      <c r="AH118" s="573"/>
      <c r="AI118" s="567"/>
      <c r="AJ118" s="567"/>
      <c r="AK118" s="575"/>
      <c r="AL118" s="567"/>
      <c r="AM118" s="573"/>
      <c r="AN118" s="567"/>
      <c r="AO118" s="567"/>
      <c r="AP118" s="575"/>
      <c r="AQ118" s="567"/>
      <c r="AR118" s="573"/>
      <c r="AS118" s="567"/>
      <c r="AT118" s="567"/>
      <c r="AU118" s="575"/>
      <c r="AV118" s="567"/>
      <c r="AW118" s="567"/>
      <c r="AX118" s="409"/>
      <c r="AY118" s="567">
        <f t="shared" si="664"/>
        <v>0</v>
      </c>
      <c r="AZ118" s="567"/>
      <c r="BA118" s="575">
        <f t="shared" si="665"/>
        <v>0</v>
      </c>
      <c r="BB118" s="575"/>
      <c r="BC118" s="576"/>
      <c r="BD118" s="567"/>
      <c r="BE118" s="567"/>
      <c r="BF118" s="567">
        <f t="shared" si="370"/>
        <v>0</v>
      </c>
      <c r="BG118" s="567">
        <f t="shared" si="371"/>
        <v>0</v>
      </c>
      <c r="BH118" s="567">
        <f t="shared" si="372"/>
        <v>0</v>
      </c>
      <c r="BI118" s="567">
        <f t="shared" si="373"/>
        <v>0</v>
      </c>
      <c r="BJ118" s="567">
        <f t="shared" si="374"/>
        <v>0</v>
      </c>
      <c r="BK118" s="567">
        <f t="shared" si="375"/>
        <v>0</v>
      </c>
      <c r="BL118" s="567" t="e">
        <f>#REF!-BE118</f>
        <v>#REF!</v>
      </c>
      <c r="BM118" s="567">
        <f t="shared" si="666"/>
        <v>0</v>
      </c>
      <c r="BN118" s="567"/>
      <c r="BO118" s="575"/>
      <c r="BP118" s="567"/>
      <c r="BQ118" s="567"/>
      <c r="BR118" s="567">
        <f t="shared" si="667"/>
        <v>0</v>
      </c>
      <c r="BS118" s="567"/>
      <c r="BT118" s="575"/>
      <c r="BU118" s="567"/>
      <c r="BV118" s="567"/>
      <c r="BW118" s="567">
        <f t="shared" si="668"/>
        <v>0</v>
      </c>
      <c r="BX118" s="567"/>
      <c r="BY118" s="597">
        <f t="shared" si="376"/>
        <v>0</v>
      </c>
      <c r="BZ118" s="598"/>
      <c r="CA118" s="598"/>
      <c r="CB118" s="567"/>
      <c r="CC118" s="567"/>
      <c r="CD118" s="567">
        <f t="shared" si="669"/>
        <v>0</v>
      </c>
      <c r="CE118" s="567"/>
      <c r="CF118" s="597">
        <f t="shared" si="377"/>
        <v>0</v>
      </c>
      <c r="CG118" s="598"/>
      <c r="CH118" s="598"/>
      <c r="CI118" s="567"/>
      <c r="CJ118" s="567"/>
      <c r="CK118" s="567">
        <f t="shared" si="670"/>
        <v>0</v>
      </c>
      <c r="CL118" s="567"/>
      <c r="CM118" s="567">
        <f t="shared" si="378"/>
        <v>0</v>
      </c>
      <c r="CN118" s="567"/>
      <c r="CO118" s="567"/>
      <c r="CP118" s="567"/>
      <c r="CQ118" s="567"/>
      <c r="CR118" s="573">
        <f t="shared" si="671"/>
        <v>0</v>
      </c>
      <c r="CS118" s="567">
        <f t="shared" si="379"/>
        <v>0</v>
      </c>
      <c r="CT118" s="567">
        <f t="shared" si="380"/>
        <v>0</v>
      </c>
      <c r="CU118" s="567">
        <f t="shared" si="381"/>
        <v>0</v>
      </c>
      <c r="CV118" s="567">
        <f t="shared" si="382"/>
        <v>0</v>
      </c>
      <c r="CW118" s="567">
        <f t="shared" si="672"/>
        <v>0</v>
      </c>
      <c r="CX118" s="567">
        <f t="shared" ca="1" si="477"/>
        <v>0</v>
      </c>
      <c r="CY118" s="567">
        <f t="shared" si="383"/>
        <v>0</v>
      </c>
      <c r="CZ118" s="567">
        <f t="shared" si="384"/>
        <v>0</v>
      </c>
      <c r="DA118" s="567">
        <f t="shared" si="385"/>
        <v>0</v>
      </c>
      <c r="DB118" s="2">
        <f t="shared" si="673"/>
        <v>0</v>
      </c>
      <c r="DC118" s="76"/>
      <c r="DD118" s="253"/>
      <c r="DE118" s="253"/>
      <c r="DF118" s="2">
        <f t="shared" si="674"/>
        <v>0</v>
      </c>
      <c r="DG118" s="2"/>
      <c r="DH118" s="233"/>
      <c r="DI118" s="2"/>
      <c r="DJ118" s="2"/>
      <c r="DK118" s="2">
        <f t="shared" si="675"/>
        <v>0</v>
      </c>
      <c r="DL118" s="2"/>
      <c r="DM118" s="233"/>
      <c r="DN118" s="2"/>
      <c r="DO118" s="2"/>
      <c r="DP118" s="2">
        <f t="shared" si="676"/>
        <v>0</v>
      </c>
      <c r="DQ118" s="2">
        <f t="shared" si="677"/>
        <v>0</v>
      </c>
      <c r="DR118" s="2">
        <f t="shared" si="677"/>
        <v>0</v>
      </c>
      <c r="DS118" s="2">
        <f t="shared" si="677"/>
        <v>0</v>
      </c>
      <c r="DT118" s="2">
        <f t="shared" si="677"/>
        <v>0</v>
      </c>
      <c r="DU118" s="2"/>
      <c r="DV118" s="2"/>
      <c r="DW118" s="2"/>
      <c r="DX118" s="2">
        <f t="shared" ca="1" si="678"/>
        <v>0</v>
      </c>
      <c r="DY118" s="46"/>
      <c r="DZ118" s="2">
        <f t="shared" si="679"/>
        <v>0</v>
      </c>
      <c r="EA118" s="2">
        <f t="shared" si="680"/>
        <v>0</v>
      </c>
      <c r="EB118" s="46"/>
      <c r="EC118" s="2">
        <f>EA118</f>
        <v>0</v>
      </c>
      <c r="ED118" s="2">
        <f ca="1">DX118</f>
        <v>0</v>
      </c>
      <c r="EE118" s="46"/>
      <c r="EF118" s="2"/>
      <c r="EG118" s="46"/>
      <c r="EH118" s="46"/>
      <c r="EI118" s="2">
        <f t="shared" si="357"/>
        <v>0</v>
      </c>
      <c r="EJ118" s="2"/>
      <c r="EK118" s="262">
        <f t="shared" si="386"/>
        <v>0</v>
      </c>
      <c r="EL118" s="498"/>
      <c r="EM118" s="498"/>
      <c r="EN118" s="2"/>
      <c r="EO118" s="2"/>
      <c r="EP118" s="2">
        <f t="shared" si="358"/>
        <v>0</v>
      </c>
      <c r="EQ118" s="2"/>
      <c r="ER118" s="2">
        <f t="shared" si="387"/>
        <v>0</v>
      </c>
      <c r="ES118" s="2"/>
      <c r="ET118" s="2"/>
      <c r="EU118" s="2"/>
      <c r="EV118" s="141"/>
      <c r="EW118" s="310"/>
      <c r="EX118" s="310"/>
      <c r="EY118" s="310"/>
      <c r="EZ118" s="396"/>
      <c r="FA118" s="396"/>
      <c r="FB118" s="310"/>
      <c r="FC118" s="310"/>
      <c r="FD118" s="310"/>
      <c r="FE118" s="396"/>
      <c r="FF118" s="396"/>
      <c r="FG118" s="396"/>
      <c r="FH118" s="311"/>
      <c r="FI118" s="310"/>
      <c r="FJ118" s="296" t="e">
        <f t="shared" si="681"/>
        <v>#DIV/0!</v>
      </c>
      <c r="FK118" s="353"/>
      <c r="FL118" s="353"/>
      <c r="FM118" s="353"/>
      <c r="FN118" s="388"/>
      <c r="FO118" s="388"/>
      <c r="FP118" s="353"/>
      <c r="FQ118" s="353"/>
      <c r="FR118" s="353"/>
      <c r="FS118" s="388"/>
      <c r="FT118" s="388"/>
      <c r="FU118" s="388"/>
      <c r="FV118" s="353"/>
      <c r="FW118" s="353">
        <f t="shared" si="391"/>
        <v>0</v>
      </c>
      <c r="FX118" s="310"/>
      <c r="FY118" s="310"/>
      <c r="FZ118" s="310"/>
      <c r="GA118" s="396"/>
      <c r="GB118" s="396"/>
      <c r="GC118" s="310"/>
      <c r="GD118" s="310"/>
      <c r="GE118" s="310"/>
      <c r="GF118" s="396"/>
      <c r="GG118" s="396"/>
      <c r="GH118" s="396"/>
      <c r="GI118" s="311"/>
      <c r="GJ118" s="344"/>
      <c r="GK118" s="303" t="e">
        <f t="shared" si="368"/>
        <v>#DIV/0!</v>
      </c>
    </row>
    <row r="119" spans="2:193" s="37" customFormat="1" ht="15.75" customHeight="1" x14ac:dyDescent="0.25">
      <c r="B119" s="29"/>
      <c r="C119" s="30"/>
      <c r="D119" s="30">
        <v>1</v>
      </c>
      <c r="E119" s="493">
        <v>97</v>
      </c>
      <c r="F119" s="29"/>
      <c r="G119" s="30"/>
      <c r="H119" s="30">
        <v>1</v>
      </c>
      <c r="I119" s="729"/>
      <c r="J119" s="730"/>
      <c r="K119" s="730"/>
      <c r="L119" s="154"/>
      <c r="M119" s="493">
        <v>79</v>
      </c>
      <c r="N119" s="494" t="s">
        <v>218</v>
      </c>
      <c r="O119" s="494"/>
      <c r="P119" s="494">
        <f t="shared" si="388"/>
        <v>0</v>
      </c>
      <c r="Q119" s="494"/>
      <c r="R119" s="494"/>
      <c r="S119" s="494">
        <v>114</v>
      </c>
      <c r="T119" s="156">
        <v>1</v>
      </c>
      <c r="U119" s="493"/>
      <c r="V119" s="2">
        <f t="shared" si="369"/>
        <v>677.6</v>
      </c>
      <c r="W119" s="2"/>
      <c r="X119" s="198">
        <f t="shared" si="605"/>
        <v>677.6</v>
      </c>
      <c r="Y119" s="198">
        <v>677.6</v>
      </c>
      <c r="Z119" s="42"/>
      <c r="AA119" s="2"/>
      <c r="AB119" s="567">
        <f t="shared" si="663"/>
        <v>677.6</v>
      </c>
      <c r="AC119" s="567"/>
      <c r="AD119" s="568">
        <f t="shared" si="606"/>
        <v>677.6</v>
      </c>
      <c r="AE119" s="568">
        <v>677.6</v>
      </c>
      <c r="AF119" s="569"/>
      <c r="AG119" s="567"/>
      <c r="AH119" s="570"/>
      <c r="AI119" s="567"/>
      <c r="AJ119" s="567"/>
      <c r="AK119" s="568"/>
      <c r="AL119" s="567"/>
      <c r="AM119" s="570"/>
      <c r="AN119" s="567"/>
      <c r="AO119" s="567"/>
      <c r="AP119" s="568"/>
      <c r="AQ119" s="567"/>
      <c r="AR119" s="570"/>
      <c r="AS119" s="567"/>
      <c r="AT119" s="567"/>
      <c r="AU119" s="568"/>
      <c r="AV119" s="567"/>
      <c r="AW119" s="570"/>
      <c r="AX119" s="409" t="s">
        <v>371</v>
      </c>
      <c r="AY119" s="567">
        <f t="shared" si="664"/>
        <v>677.6</v>
      </c>
      <c r="AZ119" s="567"/>
      <c r="BA119" s="568">
        <f t="shared" si="665"/>
        <v>677.6</v>
      </c>
      <c r="BB119" s="568">
        <v>677.6</v>
      </c>
      <c r="BC119" s="569"/>
      <c r="BD119" s="567"/>
      <c r="BE119" s="570"/>
      <c r="BF119" s="567">
        <f t="shared" si="370"/>
        <v>0</v>
      </c>
      <c r="BG119" s="567">
        <f t="shared" si="371"/>
        <v>0</v>
      </c>
      <c r="BH119" s="567">
        <f t="shared" si="372"/>
        <v>0</v>
      </c>
      <c r="BI119" s="567">
        <f t="shared" si="373"/>
        <v>0</v>
      </c>
      <c r="BJ119" s="567">
        <f t="shared" si="374"/>
        <v>0</v>
      </c>
      <c r="BK119" s="567">
        <f t="shared" si="375"/>
        <v>0</v>
      </c>
      <c r="BL119" s="567" t="e">
        <f>#REF!-BE119</f>
        <v>#REF!</v>
      </c>
      <c r="BM119" s="567">
        <f t="shared" si="666"/>
        <v>694.6</v>
      </c>
      <c r="BN119" s="567"/>
      <c r="BO119" s="568">
        <v>694.6</v>
      </c>
      <c r="BP119" s="567"/>
      <c r="BQ119" s="570"/>
      <c r="BR119" s="567">
        <f t="shared" si="667"/>
        <v>0</v>
      </c>
      <c r="BS119" s="567"/>
      <c r="BT119" s="568"/>
      <c r="BU119" s="567"/>
      <c r="BV119" s="570"/>
      <c r="BW119" s="567">
        <f t="shared" si="668"/>
        <v>613.22799999999995</v>
      </c>
      <c r="BX119" s="567"/>
      <c r="BY119" s="578">
        <f t="shared" si="376"/>
        <v>613.22799999999995</v>
      </c>
      <c r="BZ119" s="571">
        <v>613.22799999999995</v>
      </c>
      <c r="CA119" s="571"/>
      <c r="CB119" s="567"/>
      <c r="CC119" s="577"/>
      <c r="CD119" s="567">
        <f t="shared" si="669"/>
        <v>613.22799999999995</v>
      </c>
      <c r="CE119" s="567"/>
      <c r="CF119" s="578">
        <f t="shared" si="377"/>
        <v>613.22799999999995</v>
      </c>
      <c r="CG119" s="571">
        <v>613.22799999999995</v>
      </c>
      <c r="CH119" s="571"/>
      <c r="CI119" s="567"/>
      <c r="CJ119" s="577"/>
      <c r="CK119" s="567">
        <f t="shared" si="670"/>
        <v>635.46384999999998</v>
      </c>
      <c r="CL119" s="567"/>
      <c r="CM119" s="567">
        <v>635.46384999999998</v>
      </c>
      <c r="CN119" s="567"/>
      <c r="CO119" s="567"/>
      <c r="CP119" s="567"/>
      <c r="CQ119" s="567"/>
      <c r="CR119" s="573">
        <f t="shared" si="671"/>
        <v>1248.6918499999999</v>
      </c>
      <c r="CS119" s="567">
        <f t="shared" si="379"/>
        <v>1248.6918499999999</v>
      </c>
      <c r="CT119" s="567">
        <f t="shared" si="380"/>
        <v>0</v>
      </c>
      <c r="CU119" s="567">
        <f t="shared" si="381"/>
        <v>1248.6918499999999</v>
      </c>
      <c r="CV119" s="567">
        <f t="shared" si="382"/>
        <v>0</v>
      </c>
      <c r="CW119" s="567">
        <f t="shared" si="672"/>
        <v>0</v>
      </c>
      <c r="CX119" s="567">
        <f t="shared" ca="1" si="477"/>
        <v>0</v>
      </c>
      <c r="CY119" s="567">
        <f t="shared" si="383"/>
        <v>0</v>
      </c>
      <c r="CZ119" s="567">
        <f t="shared" si="384"/>
        <v>0</v>
      </c>
      <c r="DA119" s="567">
        <f t="shared" si="385"/>
        <v>0</v>
      </c>
      <c r="DB119" s="2">
        <f t="shared" si="673"/>
        <v>0</v>
      </c>
      <c r="DC119" s="76"/>
      <c r="DD119" s="253"/>
      <c r="DE119" s="253"/>
      <c r="DF119" s="2">
        <f t="shared" si="674"/>
        <v>0</v>
      </c>
      <c r="DG119" s="2"/>
      <c r="DH119" s="198"/>
      <c r="DI119" s="2"/>
      <c r="DJ119" s="234"/>
      <c r="DK119" s="2">
        <f t="shared" si="675"/>
        <v>0</v>
      </c>
      <c r="DL119" s="2"/>
      <c r="DM119" s="198"/>
      <c r="DN119" s="2"/>
      <c r="DO119" s="234"/>
      <c r="DP119" s="2">
        <f t="shared" si="676"/>
        <v>0</v>
      </c>
      <c r="DQ119" s="2">
        <f t="shared" si="677"/>
        <v>0</v>
      </c>
      <c r="DR119" s="2">
        <f t="shared" si="677"/>
        <v>0</v>
      </c>
      <c r="DS119" s="2">
        <f t="shared" si="677"/>
        <v>0</v>
      </c>
      <c r="DT119" s="2">
        <f t="shared" si="677"/>
        <v>0</v>
      </c>
      <c r="DU119" s="2"/>
      <c r="DV119" s="2"/>
      <c r="DW119" s="2"/>
      <c r="DX119" s="2">
        <f t="shared" ca="1" si="678"/>
        <v>0</v>
      </c>
      <c r="DY119" s="46"/>
      <c r="DZ119" s="2">
        <f t="shared" si="679"/>
        <v>613.22799999999995</v>
      </c>
      <c r="EA119" s="2">
        <f t="shared" si="680"/>
        <v>613.22799999999995</v>
      </c>
      <c r="EB119" s="46"/>
      <c r="EC119" s="2"/>
      <c r="ED119" s="2"/>
      <c r="EE119" s="46"/>
      <c r="EF119" s="2"/>
      <c r="EG119" s="46"/>
      <c r="EH119" s="46"/>
      <c r="EI119" s="2">
        <f t="shared" si="357"/>
        <v>613.22799999999995</v>
      </c>
      <c r="EJ119" s="2"/>
      <c r="EK119" s="433">
        <f t="shared" si="386"/>
        <v>613.22799999999995</v>
      </c>
      <c r="EL119" s="446">
        <v>613.22799999999995</v>
      </c>
      <c r="EM119" s="446"/>
      <c r="EN119" s="2"/>
      <c r="EO119" s="236"/>
      <c r="EP119" s="2">
        <f t="shared" si="358"/>
        <v>635.46384999999998</v>
      </c>
      <c r="EQ119" s="2"/>
      <c r="ER119" s="2">
        <v>635.46384999999998</v>
      </c>
      <c r="ES119" s="2">
        <v>635.46384999999998</v>
      </c>
      <c r="ET119" s="2"/>
      <c r="EU119" s="2"/>
      <c r="EV119" s="141"/>
      <c r="EW119" s="310"/>
      <c r="EX119" s="310"/>
      <c r="EY119" s="310"/>
      <c r="EZ119" s="396"/>
      <c r="FA119" s="396"/>
      <c r="FB119" s="310"/>
      <c r="FC119" s="310"/>
      <c r="FD119" s="310"/>
      <c r="FE119" s="396"/>
      <c r="FF119" s="396"/>
      <c r="FG119" s="396"/>
      <c r="FH119" s="311"/>
      <c r="FI119" s="310"/>
      <c r="FJ119" s="296" t="e">
        <f t="shared" si="681"/>
        <v>#DIV/0!</v>
      </c>
      <c r="FK119" s="353">
        <f t="shared" si="389"/>
        <v>677.6</v>
      </c>
      <c r="FL119" s="353">
        <f>BA119</f>
        <v>677.6</v>
      </c>
      <c r="FM119" s="353"/>
      <c r="FN119" s="388">
        <f t="shared" si="682"/>
        <v>1</v>
      </c>
      <c r="FO119" s="388">
        <f t="shared" si="683"/>
        <v>0</v>
      </c>
      <c r="FP119" s="353">
        <f t="shared" si="390"/>
        <v>1248.6918499999999</v>
      </c>
      <c r="FQ119" s="353">
        <f t="shared" si="684"/>
        <v>613.22799999999995</v>
      </c>
      <c r="FR119" s="353">
        <f t="shared" si="685"/>
        <v>635.46384999999998</v>
      </c>
      <c r="FS119" s="388">
        <f t="shared" si="686"/>
        <v>0.49109634214398051</v>
      </c>
      <c r="FT119" s="388">
        <f t="shared" si="687"/>
        <v>0.50890365785601954</v>
      </c>
      <c r="FU119" s="388"/>
      <c r="FV119" s="353">
        <f t="shared" si="688"/>
        <v>1248.6918499999999</v>
      </c>
      <c r="FW119" s="353">
        <f t="shared" si="391"/>
        <v>-635.46384999999998</v>
      </c>
      <c r="FX119" s="310"/>
      <c r="FY119" s="310"/>
      <c r="FZ119" s="310"/>
      <c r="GA119" s="396"/>
      <c r="GB119" s="396"/>
      <c r="GC119" s="310"/>
      <c r="GD119" s="310"/>
      <c r="GE119" s="310"/>
      <c r="GF119" s="396"/>
      <c r="GG119" s="396"/>
      <c r="GH119" s="396"/>
      <c r="GI119" s="311"/>
      <c r="GJ119" s="344"/>
      <c r="GK119" s="303">
        <f t="shared" si="368"/>
        <v>0.90499999999999992</v>
      </c>
    </row>
    <row r="120" spans="2:193" s="37" customFormat="1" ht="15.75" hidden="1" customHeight="1" x14ac:dyDescent="0.25">
      <c r="B120" s="29"/>
      <c r="C120" s="30"/>
      <c r="D120" s="30">
        <v>1</v>
      </c>
      <c r="E120" s="493">
        <v>98</v>
      </c>
      <c r="F120" s="29"/>
      <c r="G120" s="30"/>
      <c r="H120" s="30"/>
      <c r="I120" s="731"/>
      <c r="J120" s="732"/>
      <c r="K120" s="201"/>
      <c r="L120" s="53"/>
      <c r="M120" s="493">
        <v>87</v>
      </c>
      <c r="N120" s="494" t="s">
        <v>217</v>
      </c>
      <c r="O120" s="494"/>
      <c r="P120" s="494">
        <f t="shared" si="388"/>
        <v>0</v>
      </c>
      <c r="Q120" s="494"/>
      <c r="R120" s="494"/>
      <c r="S120" s="494"/>
      <c r="T120" s="156"/>
      <c r="U120" s="493"/>
      <c r="V120" s="2">
        <f t="shared" si="369"/>
        <v>0</v>
      </c>
      <c r="W120" s="2"/>
      <c r="X120" s="198">
        <f t="shared" si="605"/>
        <v>0</v>
      </c>
      <c r="Y120" s="198"/>
      <c r="Z120" s="42"/>
      <c r="AA120" s="2"/>
      <c r="AB120" s="567">
        <f t="shared" si="663"/>
        <v>0</v>
      </c>
      <c r="AC120" s="567"/>
      <c r="AD120" s="568">
        <f t="shared" si="606"/>
        <v>0</v>
      </c>
      <c r="AE120" s="568"/>
      <c r="AF120" s="569"/>
      <c r="AG120" s="567"/>
      <c r="AH120" s="570"/>
      <c r="AI120" s="567"/>
      <c r="AJ120" s="567"/>
      <c r="AK120" s="568"/>
      <c r="AL120" s="567"/>
      <c r="AM120" s="570"/>
      <c r="AN120" s="567"/>
      <c r="AO120" s="567"/>
      <c r="AP120" s="568"/>
      <c r="AQ120" s="567"/>
      <c r="AR120" s="570"/>
      <c r="AS120" s="567"/>
      <c r="AT120" s="567"/>
      <c r="AU120" s="568"/>
      <c r="AV120" s="567"/>
      <c r="AW120" s="570"/>
      <c r="AX120" s="409"/>
      <c r="AY120" s="567">
        <f t="shared" si="664"/>
        <v>0</v>
      </c>
      <c r="AZ120" s="567"/>
      <c r="BA120" s="567">
        <f t="shared" si="665"/>
        <v>0</v>
      </c>
      <c r="BB120" s="567"/>
      <c r="BC120" s="567"/>
      <c r="BD120" s="574"/>
      <c r="BE120" s="567"/>
      <c r="BF120" s="567">
        <f t="shared" si="370"/>
        <v>0</v>
      </c>
      <c r="BG120" s="567">
        <f t="shared" si="371"/>
        <v>0</v>
      </c>
      <c r="BH120" s="567">
        <f t="shared" si="372"/>
        <v>0</v>
      </c>
      <c r="BI120" s="567">
        <f t="shared" si="373"/>
        <v>0</v>
      </c>
      <c r="BJ120" s="567">
        <f t="shared" si="374"/>
        <v>0</v>
      </c>
      <c r="BK120" s="567">
        <f t="shared" si="375"/>
        <v>0</v>
      </c>
      <c r="BL120" s="567" t="e">
        <f>#REF!-BE120</f>
        <v>#REF!</v>
      </c>
      <c r="BM120" s="567">
        <f t="shared" si="666"/>
        <v>783.4</v>
      </c>
      <c r="BN120" s="567"/>
      <c r="BO120" s="567">
        <v>783.4</v>
      </c>
      <c r="BP120" s="567"/>
      <c r="BQ120" s="567"/>
      <c r="BR120" s="567">
        <f t="shared" si="667"/>
        <v>0</v>
      </c>
      <c r="BS120" s="567"/>
      <c r="BT120" s="567"/>
      <c r="BU120" s="567"/>
      <c r="BV120" s="567"/>
      <c r="BW120" s="567">
        <f t="shared" si="668"/>
        <v>0</v>
      </c>
      <c r="BX120" s="567"/>
      <c r="BY120" s="567">
        <f t="shared" si="376"/>
        <v>0</v>
      </c>
      <c r="BZ120" s="574"/>
      <c r="CA120" s="574"/>
      <c r="CB120" s="567"/>
      <c r="CC120" s="567"/>
      <c r="CD120" s="567">
        <f t="shared" si="669"/>
        <v>0</v>
      </c>
      <c r="CE120" s="567"/>
      <c r="CF120" s="567">
        <f t="shared" si="377"/>
        <v>0</v>
      </c>
      <c r="CG120" s="574"/>
      <c r="CH120" s="574"/>
      <c r="CI120" s="567"/>
      <c r="CJ120" s="567"/>
      <c r="CK120" s="567">
        <f t="shared" si="670"/>
        <v>0</v>
      </c>
      <c r="CL120" s="567"/>
      <c r="CM120" s="567">
        <f t="shared" si="378"/>
        <v>0</v>
      </c>
      <c r="CN120" s="567"/>
      <c r="CO120" s="567"/>
      <c r="CP120" s="567"/>
      <c r="CQ120" s="567"/>
      <c r="CR120" s="573">
        <f t="shared" si="671"/>
        <v>0</v>
      </c>
      <c r="CS120" s="567">
        <f t="shared" si="379"/>
        <v>0</v>
      </c>
      <c r="CT120" s="567">
        <f t="shared" si="380"/>
        <v>0</v>
      </c>
      <c r="CU120" s="567">
        <f t="shared" si="381"/>
        <v>0</v>
      </c>
      <c r="CV120" s="567">
        <f t="shared" si="382"/>
        <v>0</v>
      </c>
      <c r="CW120" s="567">
        <f t="shared" si="672"/>
        <v>0</v>
      </c>
      <c r="CX120" s="567">
        <f t="shared" ca="1" si="477"/>
        <v>0</v>
      </c>
      <c r="CY120" s="567">
        <f t="shared" si="383"/>
        <v>0</v>
      </c>
      <c r="CZ120" s="567">
        <f t="shared" si="384"/>
        <v>0</v>
      </c>
      <c r="DA120" s="567">
        <f t="shared" si="385"/>
        <v>0</v>
      </c>
      <c r="DB120" s="2">
        <f t="shared" si="673"/>
        <v>0</v>
      </c>
      <c r="DC120" s="76"/>
      <c r="DD120" s="253"/>
      <c r="DE120" s="253"/>
      <c r="DF120" s="2">
        <f t="shared" si="674"/>
        <v>0</v>
      </c>
      <c r="DG120" s="2"/>
      <c r="DH120" s="2"/>
      <c r="DI120" s="2"/>
      <c r="DJ120" s="2"/>
      <c r="DK120" s="2">
        <f t="shared" si="675"/>
        <v>0</v>
      </c>
      <c r="DL120" s="2"/>
      <c r="DM120" s="2"/>
      <c r="DN120" s="2"/>
      <c r="DO120" s="2"/>
      <c r="DP120" s="2">
        <f t="shared" si="676"/>
        <v>0</v>
      </c>
      <c r="DQ120" s="2">
        <f t="shared" si="677"/>
        <v>0</v>
      </c>
      <c r="DR120" s="2">
        <f t="shared" si="677"/>
        <v>0</v>
      </c>
      <c r="DS120" s="2">
        <f t="shared" si="677"/>
        <v>0</v>
      </c>
      <c r="DT120" s="2">
        <f t="shared" si="677"/>
        <v>0</v>
      </c>
      <c r="DU120" s="2"/>
      <c r="DV120" s="2"/>
      <c r="DW120" s="2"/>
      <c r="DX120" s="2">
        <f t="shared" ca="1" si="678"/>
        <v>0</v>
      </c>
      <c r="DY120" s="46"/>
      <c r="DZ120" s="2">
        <f t="shared" si="679"/>
        <v>0</v>
      </c>
      <c r="EA120" s="2">
        <f t="shared" si="680"/>
        <v>0</v>
      </c>
      <c r="EB120" s="46"/>
      <c r="EC120" s="2"/>
      <c r="ED120" s="2"/>
      <c r="EE120" s="46"/>
      <c r="EF120" s="2"/>
      <c r="EG120" s="46"/>
      <c r="EH120" s="46"/>
      <c r="EI120" s="2">
        <f t="shared" si="357"/>
        <v>0</v>
      </c>
      <c r="EJ120" s="2"/>
      <c r="EK120" s="2">
        <f t="shared" si="386"/>
        <v>0</v>
      </c>
      <c r="EL120" s="432"/>
      <c r="EM120" s="432"/>
      <c r="EN120" s="2"/>
      <c r="EO120" s="2"/>
      <c r="EP120" s="2">
        <f t="shared" si="358"/>
        <v>0</v>
      </c>
      <c r="EQ120" s="2"/>
      <c r="ER120" s="2">
        <f t="shared" si="387"/>
        <v>0</v>
      </c>
      <c r="ES120" s="2"/>
      <c r="ET120" s="2"/>
      <c r="EU120" s="2"/>
      <c r="EV120" s="141"/>
      <c r="EW120" s="310"/>
      <c r="EX120" s="310"/>
      <c r="EY120" s="310"/>
      <c r="EZ120" s="396"/>
      <c r="FA120" s="396"/>
      <c r="FB120" s="310"/>
      <c r="FC120" s="310"/>
      <c r="FD120" s="310"/>
      <c r="FE120" s="396"/>
      <c r="FF120" s="396"/>
      <c r="FG120" s="396"/>
      <c r="FH120" s="311"/>
      <c r="FI120" s="310"/>
      <c r="FJ120" s="296" t="e">
        <f t="shared" si="681"/>
        <v>#DIV/0!</v>
      </c>
      <c r="FK120" s="353"/>
      <c r="FL120" s="353"/>
      <c r="FM120" s="353"/>
      <c r="FN120" s="388"/>
      <c r="FO120" s="388"/>
      <c r="FP120" s="353"/>
      <c r="FQ120" s="353"/>
      <c r="FR120" s="353"/>
      <c r="FS120" s="388"/>
      <c r="FT120" s="388"/>
      <c r="FU120" s="388"/>
      <c r="FV120" s="353"/>
      <c r="FW120" s="353">
        <f t="shared" si="391"/>
        <v>0</v>
      </c>
      <c r="FX120" s="310"/>
      <c r="FY120" s="310"/>
      <c r="FZ120" s="310"/>
      <c r="GA120" s="396"/>
      <c r="GB120" s="396"/>
      <c r="GC120" s="310"/>
      <c r="GD120" s="310"/>
      <c r="GE120" s="310"/>
      <c r="GF120" s="396"/>
      <c r="GG120" s="396"/>
      <c r="GH120" s="396"/>
      <c r="GI120" s="311"/>
      <c r="GJ120" s="344"/>
      <c r="GK120" s="303" t="e">
        <f t="shared" si="368"/>
        <v>#DIV/0!</v>
      </c>
    </row>
    <row r="121" spans="2:193" s="37" customFormat="1" ht="15.6" customHeight="1" x14ac:dyDescent="0.25">
      <c r="B121" s="29"/>
      <c r="C121" s="30">
        <v>1</v>
      </c>
      <c r="D121" s="30"/>
      <c r="E121" s="493">
        <v>99</v>
      </c>
      <c r="F121" s="29"/>
      <c r="G121" s="30">
        <v>1</v>
      </c>
      <c r="H121" s="30">
        <v>1</v>
      </c>
      <c r="I121" s="731"/>
      <c r="J121" s="732"/>
      <c r="K121" s="201"/>
      <c r="L121" s="53"/>
      <c r="M121" s="493">
        <v>80</v>
      </c>
      <c r="N121" s="478" t="s">
        <v>216</v>
      </c>
      <c r="O121" s="478"/>
      <c r="P121" s="478">
        <f t="shared" si="388"/>
        <v>0</v>
      </c>
      <c r="Q121" s="478" t="s">
        <v>701</v>
      </c>
      <c r="R121" s="478" t="s">
        <v>699</v>
      </c>
      <c r="S121" s="443" t="s">
        <v>554</v>
      </c>
      <c r="T121" s="156">
        <v>3</v>
      </c>
      <c r="U121" s="493"/>
      <c r="V121" s="2">
        <f t="shared" si="369"/>
        <v>13571.5</v>
      </c>
      <c r="W121" s="2"/>
      <c r="X121" s="198">
        <f t="shared" si="605"/>
        <v>1734.5</v>
      </c>
      <c r="Y121" s="198">
        <v>546.5</v>
      </c>
      <c r="Z121" s="42">
        <v>1188</v>
      </c>
      <c r="AA121" s="2">
        <v>11837</v>
      </c>
      <c r="AB121" s="567">
        <f t="shared" si="663"/>
        <v>13571.5</v>
      </c>
      <c r="AC121" s="567"/>
      <c r="AD121" s="568">
        <f t="shared" si="606"/>
        <v>1734.5</v>
      </c>
      <c r="AE121" s="568">
        <v>546.5</v>
      </c>
      <c r="AF121" s="569">
        <v>1188</v>
      </c>
      <c r="AG121" s="567">
        <v>11837</v>
      </c>
      <c r="AH121" s="570"/>
      <c r="AI121" s="567"/>
      <c r="AJ121" s="567"/>
      <c r="AK121" s="568"/>
      <c r="AL121" s="567"/>
      <c r="AM121" s="570"/>
      <c r="AN121" s="567"/>
      <c r="AO121" s="567"/>
      <c r="AP121" s="568"/>
      <c r="AQ121" s="567"/>
      <c r="AR121" s="570"/>
      <c r="AS121" s="567"/>
      <c r="AT121" s="567"/>
      <c r="AU121" s="568"/>
      <c r="AV121" s="567"/>
      <c r="AW121" s="570"/>
      <c r="AX121" s="409" t="s">
        <v>423</v>
      </c>
      <c r="AY121" s="567">
        <f t="shared" si="664"/>
        <v>13571.499589999999</v>
      </c>
      <c r="AZ121" s="567"/>
      <c r="BA121" s="568">
        <f t="shared" si="665"/>
        <v>1734.4995899999999</v>
      </c>
      <c r="BB121" s="568">
        <f>546.5-0.00041</f>
        <v>546.49959000000001</v>
      </c>
      <c r="BC121" s="569">
        <f>1187.99959+0.00041</f>
        <v>1188</v>
      </c>
      <c r="BD121" s="574">
        <v>11837</v>
      </c>
      <c r="BE121" s="570"/>
      <c r="BF121" s="567">
        <f t="shared" si="370"/>
        <v>4.0999999998803105E-4</v>
      </c>
      <c r="BG121" s="567">
        <f t="shared" si="371"/>
        <v>0</v>
      </c>
      <c r="BH121" s="567">
        <f t="shared" si="372"/>
        <v>4.0999999998803105E-4</v>
      </c>
      <c r="BI121" s="567">
        <f t="shared" si="373"/>
        <v>4.0999999998803105E-4</v>
      </c>
      <c r="BJ121" s="567">
        <f t="shared" si="374"/>
        <v>0</v>
      </c>
      <c r="BK121" s="567">
        <f t="shared" si="375"/>
        <v>0</v>
      </c>
      <c r="BL121" s="567" t="e">
        <f>#REF!-BE121</f>
        <v>#REF!</v>
      </c>
      <c r="BM121" s="567">
        <f t="shared" si="666"/>
        <v>5535.9</v>
      </c>
      <c r="BN121" s="567"/>
      <c r="BO121" s="568">
        <f>233+302.9</f>
        <v>535.9</v>
      </c>
      <c r="BP121" s="567">
        <v>5000</v>
      </c>
      <c r="BQ121" s="570"/>
      <c r="BR121" s="567">
        <f t="shared" si="667"/>
        <v>0</v>
      </c>
      <c r="BS121" s="567"/>
      <c r="BT121" s="568"/>
      <c r="BU121" s="567"/>
      <c r="BV121" s="570"/>
      <c r="BW121" s="567">
        <f t="shared" si="668"/>
        <v>11189.463229999999</v>
      </c>
      <c r="BX121" s="567"/>
      <c r="BY121" s="578">
        <f t="shared" si="376"/>
        <v>1543.7046399999999</v>
      </c>
      <c r="BZ121" s="571">
        <f>486.38459</f>
        <v>486.38459</v>
      </c>
      <c r="CA121" s="571">
        <f>0.00041+1057.31964</f>
        <v>1057.32005</v>
      </c>
      <c r="CB121" s="567">
        <f>5694.76379+3950.9948</f>
        <v>9645.7585899999995</v>
      </c>
      <c r="CC121" s="577"/>
      <c r="CD121" s="567">
        <f t="shared" si="669"/>
        <v>11189.463229999999</v>
      </c>
      <c r="CE121" s="567"/>
      <c r="CF121" s="578">
        <f t="shared" si="377"/>
        <v>1543.7046399999999</v>
      </c>
      <c r="CG121" s="571">
        <f>486.38459</f>
        <v>486.38459</v>
      </c>
      <c r="CH121" s="571">
        <f>0.00041+1057.31964</f>
        <v>1057.32005</v>
      </c>
      <c r="CI121" s="567">
        <f>5694.76379+3950.9948</f>
        <v>9645.7585899999995</v>
      </c>
      <c r="CJ121" s="577"/>
      <c r="CK121" s="567">
        <f t="shared" si="670"/>
        <v>1382.96741</v>
      </c>
      <c r="CL121" s="567"/>
      <c r="CM121" s="567">
        <v>190.79499999999999</v>
      </c>
      <c r="CN121" s="567"/>
      <c r="CO121" s="567"/>
      <c r="CP121" s="567">
        <v>1192.1724099999999</v>
      </c>
      <c r="CQ121" s="567"/>
      <c r="CR121" s="573">
        <f t="shared" si="671"/>
        <v>12572.430639999999</v>
      </c>
      <c r="CS121" s="567">
        <f t="shared" si="379"/>
        <v>12572.430639999999</v>
      </c>
      <c r="CT121" s="567">
        <f t="shared" si="380"/>
        <v>0</v>
      </c>
      <c r="CU121" s="567">
        <f t="shared" si="381"/>
        <v>1734.49964</v>
      </c>
      <c r="CV121" s="567">
        <f t="shared" si="382"/>
        <v>10837.930999999999</v>
      </c>
      <c r="CW121" s="567">
        <f t="shared" si="672"/>
        <v>0</v>
      </c>
      <c r="CX121" s="567">
        <f t="shared" ca="1" si="477"/>
        <v>0</v>
      </c>
      <c r="CY121" s="567">
        <f t="shared" si="383"/>
        <v>0</v>
      </c>
      <c r="CZ121" s="567">
        <f t="shared" si="384"/>
        <v>0</v>
      </c>
      <c r="DA121" s="567">
        <f t="shared" si="385"/>
        <v>0</v>
      </c>
      <c r="DB121" s="2">
        <f t="shared" si="673"/>
        <v>0</v>
      </c>
      <c r="DC121" s="76"/>
      <c r="DD121" s="545">
        <f>BM121+BM122</f>
        <v>14316.764999999999</v>
      </c>
      <c r="DE121" s="545">
        <f>DD121+DF121+DF122</f>
        <v>14316.764999999999</v>
      </c>
      <c r="DF121" s="2">
        <f t="shared" si="674"/>
        <v>0</v>
      </c>
      <c r="DG121" s="2"/>
      <c r="DH121" s="198"/>
      <c r="DI121" s="2"/>
      <c r="DJ121" s="234"/>
      <c r="DK121" s="2">
        <f t="shared" si="675"/>
        <v>0</v>
      </c>
      <c r="DL121" s="2"/>
      <c r="DM121" s="198"/>
      <c r="DN121" s="2"/>
      <c r="DO121" s="234"/>
      <c r="DP121" s="2">
        <f t="shared" si="676"/>
        <v>0</v>
      </c>
      <c r="DQ121" s="2">
        <f t="shared" si="677"/>
        <v>0</v>
      </c>
      <c r="DR121" s="2">
        <f t="shared" si="677"/>
        <v>0</v>
      </c>
      <c r="DS121" s="2">
        <f t="shared" si="677"/>
        <v>0</v>
      </c>
      <c r="DT121" s="2">
        <f t="shared" si="677"/>
        <v>0</v>
      </c>
      <c r="DU121" s="2"/>
      <c r="DV121" s="2"/>
      <c r="DW121" s="2"/>
      <c r="DX121" s="2">
        <f t="shared" ca="1" si="678"/>
        <v>0</v>
      </c>
      <c r="DY121" s="46"/>
      <c r="DZ121" s="2">
        <f t="shared" si="679"/>
        <v>11189.463229999999</v>
      </c>
      <c r="EA121" s="2">
        <f t="shared" si="680"/>
        <v>11189.463229999999</v>
      </c>
      <c r="EB121" s="46"/>
      <c r="EC121" s="546">
        <f>EA121+EA122</f>
        <v>15522.95615</v>
      </c>
      <c r="ED121" s="546">
        <f ca="1">DX121+DX122</f>
        <v>0</v>
      </c>
      <c r="EE121" s="46"/>
      <c r="EF121" s="2">
        <f>DE121-EC121</f>
        <v>-1206.1911500000006</v>
      </c>
      <c r="EG121" s="46"/>
      <c r="EH121" s="46"/>
      <c r="EI121" s="2">
        <f t="shared" si="357"/>
        <v>11189.463229999999</v>
      </c>
      <c r="EJ121" s="2"/>
      <c r="EK121" s="433">
        <f t="shared" si="386"/>
        <v>1543.7046399999999</v>
      </c>
      <c r="EL121" s="446">
        <f>486.38459</f>
        <v>486.38459</v>
      </c>
      <c r="EM121" s="446">
        <f>0.00041+1057.31964</f>
        <v>1057.32005</v>
      </c>
      <c r="EN121" s="2">
        <f>5694.76379+3950.9948</f>
        <v>9645.7585899999995</v>
      </c>
      <c r="EO121" s="236"/>
      <c r="EP121" s="2">
        <f t="shared" si="358"/>
        <v>1382.96741</v>
      </c>
      <c r="EQ121" s="2"/>
      <c r="ER121" s="2">
        <v>190.79499999999999</v>
      </c>
      <c r="ES121" s="2">
        <v>60.115049999999997</v>
      </c>
      <c r="ET121" s="2">
        <v>130.67994999999999</v>
      </c>
      <c r="EU121" s="2">
        <v>1192.1724099999999</v>
      </c>
      <c r="EV121" s="141"/>
      <c r="EW121" s="310"/>
      <c r="EX121" s="310"/>
      <c r="EY121" s="310"/>
      <c r="EZ121" s="396"/>
      <c r="FA121" s="396"/>
      <c r="FB121" s="310"/>
      <c r="FC121" s="310"/>
      <c r="FD121" s="310"/>
      <c r="FE121" s="396"/>
      <c r="FF121" s="396"/>
      <c r="FG121" s="396"/>
      <c r="FH121" s="311"/>
      <c r="FI121" s="310"/>
      <c r="FJ121" s="296" t="e">
        <f t="shared" si="681"/>
        <v>#DIV/0!</v>
      </c>
      <c r="FK121" s="353">
        <f t="shared" si="389"/>
        <v>1734.4995899999999</v>
      </c>
      <c r="FL121" s="353">
        <f>BA121</f>
        <v>1734.4995899999999</v>
      </c>
      <c r="FM121" s="353"/>
      <c r="FN121" s="388">
        <f t="shared" si="682"/>
        <v>1</v>
      </c>
      <c r="FO121" s="388">
        <f t="shared" si="683"/>
        <v>0</v>
      </c>
      <c r="FP121" s="353">
        <f t="shared" si="390"/>
        <v>1734.49964</v>
      </c>
      <c r="FQ121" s="353">
        <f t="shared" si="684"/>
        <v>1543.7046399999999</v>
      </c>
      <c r="FR121" s="353">
        <f t="shared" si="685"/>
        <v>190.79499999999999</v>
      </c>
      <c r="FS121" s="388">
        <f t="shared" si="686"/>
        <v>0.8899999771692082</v>
      </c>
      <c r="FT121" s="388">
        <f t="shared" si="687"/>
        <v>0.1100000228307917</v>
      </c>
      <c r="FU121" s="388"/>
      <c r="FV121" s="353">
        <f t="shared" si="688"/>
        <v>1734.49964</v>
      </c>
      <c r="FW121" s="353">
        <f t="shared" si="391"/>
        <v>-190.79500000000007</v>
      </c>
      <c r="FX121" s="310">
        <f t="shared" ref="FX121:FX129" si="689">FY121+FZ121</f>
        <v>11837</v>
      </c>
      <c r="FY121" s="310">
        <f>BD121</f>
        <v>11837</v>
      </c>
      <c r="FZ121" s="310"/>
      <c r="GA121" s="396">
        <f t="shared" ref="GA121:GA129" si="690">FY121/FX121</f>
        <v>1</v>
      </c>
      <c r="GB121" s="396">
        <f t="shared" ref="GB121:GB129" si="691">FZ121/FX121</f>
        <v>0</v>
      </c>
      <c r="GC121" s="310">
        <f t="shared" si="402"/>
        <v>10837.930999999999</v>
      </c>
      <c r="GD121" s="310">
        <f t="shared" si="501"/>
        <v>9645.7585899999995</v>
      </c>
      <c r="GE121" s="310">
        <f t="shared" si="502"/>
        <v>1192.1724099999999</v>
      </c>
      <c r="GF121" s="396">
        <f t="shared" ref="GF121:GF129" si="692">GD121/GC121</f>
        <v>0.89</v>
      </c>
      <c r="GG121" s="396">
        <f t="shared" ref="GG121:GG129" si="693">GE121/GC121</f>
        <v>0.11</v>
      </c>
      <c r="GH121" s="396"/>
      <c r="GI121" s="311">
        <f t="shared" si="637"/>
        <v>10837.930999999999</v>
      </c>
      <c r="GJ121" s="344">
        <f t="shared" si="403"/>
        <v>-1192.1724099999992</v>
      </c>
      <c r="GK121" s="303">
        <f t="shared" si="368"/>
        <v>0.82448242493460555</v>
      </c>
    </row>
    <row r="122" spans="2:193" s="37" customFormat="1" ht="15.6" customHeight="1" x14ac:dyDescent="0.25">
      <c r="B122" s="29"/>
      <c r="C122" s="30">
        <v>1</v>
      </c>
      <c r="D122" s="30"/>
      <c r="E122" s="493">
        <v>100</v>
      </c>
      <c r="F122" s="29"/>
      <c r="G122" s="30">
        <v>1</v>
      </c>
      <c r="H122" s="30">
        <v>1</v>
      </c>
      <c r="I122" s="729"/>
      <c r="J122" s="730"/>
      <c r="K122" s="730"/>
      <c r="L122" s="154"/>
      <c r="M122" s="493">
        <v>81</v>
      </c>
      <c r="N122" s="494" t="s">
        <v>156</v>
      </c>
      <c r="O122" s="494"/>
      <c r="P122" s="494">
        <f t="shared" si="388"/>
        <v>0</v>
      </c>
      <c r="Q122" s="494"/>
      <c r="R122" s="494"/>
      <c r="S122" s="494" t="s">
        <v>649</v>
      </c>
      <c r="T122" s="156">
        <v>4</v>
      </c>
      <c r="U122" s="493">
        <v>1</v>
      </c>
      <c r="V122" s="2">
        <f t="shared" si="369"/>
        <v>4685.2</v>
      </c>
      <c r="W122" s="2">
        <v>0</v>
      </c>
      <c r="X122" s="198">
        <f t="shared" si="605"/>
        <v>4685.2</v>
      </c>
      <c r="Y122" s="198">
        <v>1476.2</v>
      </c>
      <c r="Z122" s="198">
        <v>3209</v>
      </c>
      <c r="AA122" s="198"/>
      <c r="AB122" s="567">
        <f t="shared" si="663"/>
        <v>4685.2</v>
      </c>
      <c r="AC122" s="567">
        <v>0</v>
      </c>
      <c r="AD122" s="568">
        <f t="shared" si="606"/>
        <v>4685.2</v>
      </c>
      <c r="AE122" s="568">
        <v>1476.2</v>
      </c>
      <c r="AF122" s="568">
        <v>3209</v>
      </c>
      <c r="AG122" s="568"/>
      <c r="AH122" s="568"/>
      <c r="AI122" s="567"/>
      <c r="AJ122" s="567"/>
      <c r="AK122" s="568"/>
      <c r="AL122" s="568"/>
      <c r="AM122" s="568"/>
      <c r="AN122" s="567"/>
      <c r="AO122" s="567"/>
      <c r="AP122" s="568"/>
      <c r="AQ122" s="568"/>
      <c r="AR122" s="568"/>
      <c r="AS122" s="567"/>
      <c r="AT122" s="567"/>
      <c r="AU122" s="568"/>
      <c r="AV122" s="568"/>
      <c r="AW122" s="568"/>
      <c r="AX122" s="425" t="s">
        <v>730</v>
      </c>
      <c r="AY122" s="567">
        <f t="shared" si="664"/>
        <v>4685.2</v>
      </c>
      <c r="AZ122" s="567">
        <f>29022.09956-29022.09956</f>
        <v>0</v>
      </c>
      <c r="BA122" s="568">
        <f t="shared" si="665"/>
        <v>4685.2</v>
      </c>
      <c r="BB122" s="568">
        <v>1476.2</v>
      </c>
      <c r="BC122" s="568">
        <v>3209</v>
      </c>
      <c r="BD122" s="578"/>
      <c r="BE122" s="570"/>
      <c r="BF122" s="568">
        <f t="shared" si="370"/>
        <v>0</v>
      </c>
      <c r="BG122" s="567">
        <f t="shared" si="371"/>
        <v>0</v>
      </c>
      <c r="BH122" s="567">
        <f t="shared" si="372"/>
        <v>0</v>
      </c>
      <c r="BI122" s="567">
        <f t="shared" si="373"/>
        <v>0</v>
      </c>
      <c r="BJ122" s="567">
        <f t="shared" si="374"/>
        <v>0</v>
      </c>
      <c r="BK122" s="567">
        <f t="shared" si="375"/>
        <v>0</v>
      </c>
      <c r="BL122" s="567" t="e">
        <f>#REF!-BE122</f>
        <v>#REF!</v>
      </c>
      <c r="BM122" s="567">
        <f t="shared" si="666"/>
        <v>8780.8649999999998</v>
      </c>
      <c r="BN122" s="567"/>
      <c r="BO122" s="568">
        <f>657+854.1</f>
        <v>1511.1</v>
      </c>
      <c r="BP122" s="568">
        <v>7269.7650000000003</v>
      </c>
      <c r="BQ122" s="570"/>
      <c r="BR122" s="567">
        <f t="shared" si="667"/>
        <v>0</v>
      </c>
      <c r="BS122" s="567"/>
      <c r="BT122" s="568"/>
      <c r="BU122" s="568"/>
      <c r="BV122" s="570"/>
      <c r="BW122" s="567">
        <f t="shared" si="668"/>
        <v>4333.4929200000006</v>
      </c>
      <c r="BX122" s="567"/>
      <c r="BY122" s="578">
        <f t="shared" si="376"/>
        <v>4333.4929200000006</v>
      </c>
      <c r="BZ122" s="578">
        <v>1461.4380000000001</v>
      </c>
      <c r="CA122" s="578">
        <v>2872.05492</v>
      </c>
      <c r="CB122" s="568"/>
      <c r="CC122" s="577"/>
      <c r="CD122" s="567">
        <f t="shared" si="669"/>
        <v>4333.4929200000006</v>
      </c>
      <c r="CE122" s="567"/>
      <c r="CF122" s="578">
        <f t="shared" si="377"/>
        <v>4333.4929200000006</v>
      </c>
      <c r="CG122" s="578">
        <v>1461.4380000000001</v>
      </c>
      <c r="CH122" s="578">
        <v>2872.05492</v>
      </c>
      <c r="CI122" s="568"/>
      <c r="CJ122" s="577"/>
      <c r="CK122" s="567">
        <f t="shared" si="670"/>
        <v>732.84883000000002</v>
      </c>
      <c r="CL122" s="567"/>
      <c r="CM122" s="567">
        <v>732.84883000000002</v>
      </c>
      <c r="CN122" s="567">
        <v>490.72161999999997</v>
      </c>
      <c r="CO122" s="567"/>
      <c r="CP122" s="567"/>
      <c r="CQ122" s="567"/>
      <c r="CR122" s="573">
        <f t="shared" si="671"/>
        <v>5066.3417500000005</v>
      </c>
      <c r="CS122" s="567">
        <f t="shared" si="379"/>
        <v>5066.3417500000005</v>
      </c>
      <c r="CT122" s="567">
        <f t="shared" si="380"/>
        <v>0</v>
      </c>
      <c r="CU122" s="567">
        <f t="shared" si="381"/>
        <v>5066.3417500000005</v>
      </c>
      <c r="CV122" s="567">
        <f t="shared" si="382"/>
        <v>0</v>
      </c>
      <c r="CW122" s="567">
        <f t="shared" si="672"/>
        <v>0</v>
      </c>
      <c r="CX122" s="567">
        <f t="shared" ca="1" si="477"/>
        <v>0</v>
      </c>
      <c r="CY122" s="567">
        <f t="shared" si="383"/>
        <v>0</v>
      </c>
      <c r="CZ122" s="567">
        <f t="shared" si="384"/>
        <v>0</v>
      </c>
      <c r="DA122" s="567">
        <f t="shared" si="385"/>
        <v>0</v>
      </c>
      <c r="DB122" s="2">
        <f t="shared" si="673"/>
        <v>0</v>
      </c>
      <c r="DC122" s="76"/>
      <c r="DD122" s="253"/>
      <c r="DE122" s="253"/>
      <c r="DF122" s="2">
        <f t="shared" si="674"/>
        <v>0</v>
      </c>
      <c r="DG122" s="2"/>
      <c r="DH122" s="198"/>
      <c r="DI122" s="198"/>
      <c r="DJ122" s="234"/>
      <c r="DK122" s="2">
        <f t="shared" si="675"/>
        <v>0</v>
      </c>
      <c r="DL122" s="2"/>
      <c r="DM122" s="198"/>
      <c r="DN122" s="198"/>
      <c r="DO122" s="234"/>
      <c r="DP122" s="2">
        <f t="shared" si="676"/>
        <v>0</v>
      </c>
      <c r="DQ122" s="2">
        <f t="shared" si="677"/>
        <v>0</v>
      </c>
      <c r="DR122" s="2">
        <f t="shared" si="677"/>
        <v>0</v>
      </c>
      <c r="DS122" s="2">
        <f t="shared" si="677"/>
        <v>0</v>
      </c>
      <c r="DT122" s="2">
        <f t="shared" si="677"/>
        <v>0</v>
      </c>
      <c r="DU122" s="2"/>
      <c r="DV122" s="2"/>
      <c r="DW122" s="2"/>
      <c r="DX122" s="2">
        <f t="shared" ca="1" si="678"/>
        <v>0</v>
      </c>
      <c r="DY122" s="46"/>
      <c r="DZ122" s="2">
        <f t="shared" si="679"/>
        <v>4333.4929200000006</v>
      </c>
      <c r="EA122" s="2">
        <f t="shared" si="680"/>
        <v>4333.4929200000006</v>
      </c>
      <c r="EB122" s="46"/>
      <c r="EC122" s="2"/>
      <c r="ED122" s="2"/>
      <c r="EE122" s="46"/>
      <c r="EF122" s="2"/>
      <c r="EG122" s="46"/>
      <c r="EH122" s="46"/>
      <c r="EI122" s="2">
        <f t="shared" si="357"/>
        <v>4333.4929200000006</v>
      </c>
      <c r="EJ122" s="2"/>
      <c r="EK122" s="433">
        <f t="shared" si="386"/>
        <v>4333.4929200000006</v>
      </c>
      <c r="EL122" s="433">
        <v>1461.4380000000001</v>
      </c>
      <c r="EM122" s="433">
        <v>2872.05492</v>
      </c>
      <c r="EN122" s="198"/>
      <c r="EO122" s="236"/>
      <c r="EP122" s="2">
        <f t="shared" si="358"/>
        <v>732.84883000000002</v>
      </c>
      <c r="EQ122" s="2"/>
      <c r="ER122" s="2">
        <v>732.84883000000002</v>
      </c>
      <c r="ES122" s="2">
        <v>490.72161999999997</v>
      </c>
      <c r="ET122" s="2">
        <v>242.12720999999999</v>
      </c>
      <c r="EU122" s="2"/>
      <c r="EV122" s="141"/>
      <c r="EW122" s="310"/>
      <c r="EX122" s="310"/>
      <c r="EY122" s="310"/>
      <c r="EZ122" s="396"/>
      <c r="FA122" s="396"/>
      <c r="FB122" s="310"/>
      <c r="FC122" s="310"/>
      <c r="FD122" s="310"/>
      <c r="FE122" s="396"/>
      <c r="FF122" s="396"/>
      <c r="FG122" s="396"/>
      <c r="FH122" s="311"/>
      <c r="FI122" s="310"/>
      <c r="FJ122" s="296" t="e">
        <f t="shared" si="681"/>
        <v>#DIV/0!</v>
      </c>
      <c r="FK122" s="353">
        <f t="shared" si="389"/>
        <v>4685.2</v>
      </c>
      <c r="FL122" s="353">
        <f>BA122</f>
        <v>4685.2</v>
      </c>
      <c r="FM122" s="353"/>
      <c r="FN122" s="388">
        <f t="shared" si="682"/>
        <v>1</v>
      </c>
      <c r="FO122" s="388">
        <f t="shared" si="683"/>
        <v>0</v>
      </c>
      <c r="FP122" s="353">
        <f t="shared" si="390"/>
        <v>5066.3417500000005</v>
      </c>
      <c r="FQ122" s="353">
        <f t="shared" si="684"/>
        <v>4333.4929200000006</v>
      </c>
      <c r="FR122" s="353">
        <f t="shared" si="685"/>
        <v>732.84883000000002</v>
      </c>
      <c r="FS122" s="388">
        <f t="shared" si="686"/>
        <v>0.85534950736396731</v>
      </c>
      <c r="FT122" s="388">
        <f t="shared" si="687"/>
        <v>0.14465049263603269</v>
      </c>
      <c r="FU122" s="388"/>
      <c r="FV122" s="353">
        <f t="shared" si="688"/>
        <v>5066.3417500000005</v>
      </c>
      <c r="FW122" s="353">
        <f t="shared" si="391"/>
        <v>-732.84882999999991</v>
      </c>
      <c r="FX122" s="310">
        <f t="shared" si="689"/>
        <v>0</v>
      </c>
      <c r="FY122" s="310">
        <f>BD122</f>
        <v>0</v>
      </c>
      <c r="FZ122" s="310"/>
      <c r="GA122" s="396" t="e">
        <f t="shared" si="690"/>
        <v>#DIV/0!</v>
      </c>
      <c r="GB122" s="396" t="e">
        <f t="shared" si="691"/>
        <v>#DIV/0!</v>
      </c>
      <c r="GC122" s="310">
        <f t="shared" si="402"/>
        <v>0</v>
      </c>
      <c r="GD122" s="310">
        <f t="shared" si="501"/>
        <v>0</v>
      </c>
      <c r="GE122" s="310">
        <f t="shared" si="502"/>
        <v>0</v>
      </c>
      <c r="GF122" s="396" t="e">
        <f t="shared" si="692"/>
        <v>#DIV/0!</v>
      </c>
      <c r="GG122" s="396" t="e">
        <f t="shared" si="693"/>
        <v>#DIV/0!</v>
      </c>
      <c r="GH122" s="396"/>
      <c r="GI122" s="311" t="e">
        <f t="shared" si="637"/>
        <v>#DIV/0!</v>
      </c>
      <c r="GJ122" s="344" t="e">
        <f t="shared" si="403"/>
        <v>#DIV/0!</v>
      </c>
      <c r="GK122" s="303">
        <f t="shared" si="368"/>
        <v>0.92493232305984818</v>
      </c>
    </row>
    <row r="123" spans="2:193" s="37" customFormat="1" ht="15.6" customHeight="1" x14ac:dyDescent="0.25">
      <c r="B123" s="29"/>
      <c r="C123" s="30"/>
      <c r="D123" s="30">
        <v>1</v>
      </c>
      <c r="E123" s="493">
        <v>101</v>
      </c>
      <c r="F123" s="29"/>
      <c r="G123" s="30"/>
      <c r="H123" s="30">
        <v>1</v>
      </c>
      <c r="I123" s="733" t="s">
        <v>260</v>
      </c>
      <c r="J123" s="734"/>
      <c r="K123" s="734"/>
      <c r="L123" s="734"/>
      <c r="M123" s="493">
        <v>82</v>
      </c>
      <c r="N123" s="494" t="s">
        <v>215</v>
      </c>
      <c r="O123" s="494"/>
      <c r="P123" s="494">
        <f t="shared" si="388"/>
        <v>0</v>
      </c>
      <c r="Q123" s="494" t="s">
        <v>701</v>
      </c>
      <c r="R123" s="494" t="s">
        <v>699</v>
      </c>
      <c r="S123" s="494" t="s">
        <v>592</v>
      </c>
      <c r="T123" s="156">
        <v>2</v>
      </c>
      <c r="U123" s="493">
        <v>1</v>
      </c>
      <c r="V123" s="2">
        <f t="shared" si="369"/>
        <v>7175</v>
      </c>
      <c r="W123" s="2"/>
      <c r="X123" s="198">
        <f t="shared" si="605"/>
        <v>7175</v>
      </c>
      <c r="Y123" s="198">
        <v>2260.6</v>
      </c>
      <c r="Z123" s="42">
        <v>4914.3999999999996</v>
      </c>
      <c r="AA123" s="2"/>
      <c r="AB123" s="567">
        <f t="shared" si="663"/>
        <v>7175</v>
      </c>
      <c r="AC123" s="567"/>
      <c r="AD123" s="568">
        <f t="shared" si="606"/>
        <v>7175</v>
      </c>
      <c r="AE123" s="568">
        <v>2260.6</v>
      </c>
      <c r="AF123" s="569">
        <v>4914.3999999999996</v>
      </c>
      <c r="AG123" s="567"/>
      <c r="AH123" s="570"/>
      <c r="AI123" s="567"/>
      <c r="AJ123" s="567"/>
      <c r="AK123" s="568"/>
      <c r="AL123" s="567"/>
      <c r="AM123" s="570"/>
      <c r="AN123" s="567"/>
      <c r="AO123" s="567"/>
      <c r="AP123" s="568"/>
      <c r="AQ123" s="567"/>
      <c r="AR123" s="570"/>
      <c r="AS123" s="567"/>
      <c r="AT123" s="567"/>
      <c r="AU123" s="568"/>
      <c r="AV123" s="567"/>
      <c r="AW123" s="570"/>
      <c r="AX123" s="425" t="s">
        <v>697</v>
      </c>
      <c r="AY123" s="567">
        <f t="shared" si="664"/>
        <v>7144.2143000000005</v>
      </c>
      <c r="AZ123" s="567"/>
      <c r="BA123" s="568">
        <f t="shared" si="665"/>
        <v>7144.2143000000005</v>
      </c>
      <c r="BB123" s="568">
        <f>2230.3643-0.55</f>
        <v>2229.8143</v>
      </c>
      <c r="BC123" s="569">
        <f>4913.85+0.55</f>
        <v>4914.4000000000005</v>
      </c>
      <c r="BD123" s="567"/>
      <c r="BE123" s="570"/>
      <c r="BF123" s="567">
        <f t="shared" si="370"/>
        <v>30.785699999999906</v>
      </c>
      <c r="BG123" s="567">
        <f t="shared" si="371"/>
        <v>0</v>
      </c>
      <c r="BH123" s="567">
        <f t="shared" si="372"/>
        <v>30.785699999999906</v>
      </c>
      <c r="BI123" s="567">
        <f t="shared" si="373"/>
        <v>30.785699999999906</v>
      </c>
      <c r="BJ123" s="567">
        <f t="shared" si="374"/>
        <v>0</v>
      </c>
      <c r="BK123" s="567">
        <f t="shared" si="375"/>
        <v>0</v>
      </c>
      <c r="BL123" s="567" t="e">
        <f>#REF!-BE123</f>
        <v>#REF!</v>
      </c>
      <c r="BM123" s="567">
        <f t="shared" si="666"/>
        <v>3947.1759999999999</v>
      </c>
      <c r="BN123" s="567"/>
      <c r="BO123" s="568">
        <f>1007+1309.1</f>
        <v>2316.1</v>
      </c>
      <c r="BP123" s="567">
        <v>1631.076</v>
      </c>
      <c r="BQ123" s="570"/>
      <c r="BR123" s="567">
        <f t="shared" si="667"/>
        <v>0</v>
      </c>
      <c r="BS123" s="567"/>
      <c r="BT123" s="568"/>
      <c r="BU123" s="567"/>
      <c r="BV123" s="570"/>
      <c r="BW123" s="567">
        <f t="shared" si="668"/>
        <v>7144.2143000000005</v>
      </c>
      <c r="BX123" s="567"/>
      <c r="BY123" s="568">
        <f t="shared" si="376"/>
        <v>7144.2143000000005</v>
      </c>
      <c r="BZ123" s="578">
        <f>2230.3643-0.55</f>
        <v>2229.8143</v>
      </c>
      <c r="CA123" s="571">
        <f>4913.85+0.55</f>
        <v>4914.4000000000005</v>
      </c>
      <c r="CB123" s="567"/>
      <c r="CC123" s="577"/>
      <c r="CD123" s="567">
        <f t="shared" si="669"/>
        <v>7144.2143000000005</v>
      </c>
      <c r="CE123" s="567"/>
      <c r="CF123" s="568">
        <f t="shared" si="377"/>
        <v>7144.2143000000005</v>
      </c>
      <c r="CG123" s="578">
        <f>2230.3643-0.55</f>
        <v>2229.8143</v>
      </c>
      <c r="CH123" s="571">
        <f>4913.85+0.55</f>
        <v>4914.4000000000005</v>
      </c>
      <c r="CI123" s="567"/>
      <c r="CJ123" s="577"/>
      <c r="CK123" s="567">
        <f t="shared" si="670"/>
        <v>1260.7437</v>
      </c>
      <c r="CL123" s="567"/>
      <c r="CM123" s="567">
        <f t="shared" si="378"/>
        <v>1260.7437</v>
      </c>
      <c r="CN123" s="567">
        <v>393.59370000000001</v>
      </c>
      <c r="CO123" s="567">
        <f>400.32792+347.5566+119.26548</f>
        <v>867.15000000000009</v>
      </c>
      <c r="CP123" s="567"/>
      <c r="CQ123" s="567"/>
      <c r="CR123" s="573">
        <f t="shared" si="671"/>
        <v>8404.9580000000005</v>
      </c>
      <c r="CS123" s="567">
        <f t="shared" si="379"/>
        <v>8404.9580000000005</v>
      </c>
      <c r="CT123" s="567">
        <f t="shared" si="380"/>
        <v>0</v>
      </c>
      <c r="CU123" s="567">
        <f t="shared" si="381"/>
        <v>8404.9580000000005</v>
      </c>
      <c r="CV123" s="567">
        <f t="shared" si="382"/>
        <v>0</v>
      </c>
      <c r="CW123" s="567">
        <f t="shared" si="672"/>
        <v>0</v>
      </c>
      <c r="CX123" s="567">
        <f t="shared" ca="1" si="477"/>
        <v>0</v>
      </c>
      <c r="CY123" s="567">
        <f t="shared" si="383"/>
        <v>0</v>
      </c>
      <c r="CZ123" s="567">
        <f t="shared" si="384"/>
        <v>0</v>
      </c>
      <c r="DA123" s="567">
        <f t="shared" si="385"/>
        <v>0</v>
      </c>
      <c r="DB123" s="2">
        <f t="shared" si="673"/>
        <v>0</v>
      </c>
      <c r="DC123" s="76"/>
      <c r="DD123" s="253">
        <f>BM116-DD117-DD121</f>
        <v>13308.808000000005</v>
      </c>
      <c r="DE123" s="253">
        <f>DD123</f>
        <v>13308.808000000005</v>
      </c>
      <c r="DF123" s="2">
        <f t="shared" si="674"/>
        <v>0</v>
      </c>
      <c r="DG123" s="2"/>
      <c r="DH123" s="198"/>
      <c r="DI123" s="2"/>
      <c r="DJ123" s="234"/>
      <c r="DK123" s="2">
        <f t="shared" si="675"/>
        <v>0</v>
      </c>
      <c r="DL123" s="2"/>
      <c r="DM123" s="198"/>
      <c r="DN123" s="2"/>
      <c r="DO123" s="234"/>
      <c r="DP123" s="2">
        <f t="shared" si="676"/>
        <v>0</v>
      </c>
      <c r="DQ123" s="2">
        <f t="shared" si="677"/>
        <v>0</v>
      </c>
      <c r="DR123" s="2">
        <f t="shared" si="677"/>
        <v>0</v>
      </c>
      <c r="DS123" s="2">
        <f t="shared" si="677"/>
        <v>0</v>
      </c>
      <c r="DT123" s="2">
        <f t="shared" si="677"/>
        <v>0</v>
      </c>
      <c r="DU123" s="2"/>
      <c r="DV123" s="2"/>
      <c r="DW123" s="2"/>
      <c r="DX123" s="2">
        <f t="shared" ca="1" si="678"/>
        <v>0</v>
      </c>
      <c r="DY123" s="46"/>
      <c r="DZ123" s="2">
        <f t="shared" si="679"/>
        <v>7144.2143000000005</v>
      </c>
      <c r="EA123" s="2">
        <f t="shared" si="680"/>
        <v>7144.2143000000005</v>
      </c>
      <c r="EB123" s="46"/>
      <c r="EC123" s="2">
        <f>EA119+EA120+EA123+EA124+EA125+EA126+EA127+EA128+EA129</f>
        <v>24995.100720000002</v>
      </c>
      <c r="ED123" s="2">
        <f ca="1">DX119+DX120+DX123+DX124+DX125+DX126+DX127+DX128+DX129</f>
        <v>0</v>
      </c>
      <c r="EE123" s="46"/>
      <c r="EF123" s="2">
        <f>DE123-EC123</f>
        <v>-11686.292719999998</v>
      </c>
      <c r="EG123" s="46"/>
      <c r="EH123" s="46"/>
      <c r="EI123" s="2">
        <f t="shared" si="357"/>
        <v>7144.2143000000005</v>
      </c>
      <c r="EJ123" s="2"/>
      <c r="EK123" s="198">
        <f t="shared" si="386"/>
        <v>7144.2143000000005</v>
      </c>
      <c r="EL123" s="433">
        <f>2230.3643-0.55</f>
        <v>2229.8143</v>
      </c>
      <c r="EM123" s="446">
        <f>4913.85+0.55</f>
        <v>4914.4000000000005</v>
      </c>
      <c r="EN123" s="2"/>
      <c r="EO123" s="236"/>
      <c r="EP123" s="2">
        <f t="shared" si="358"/>
        <v>1260.7437</v>
      </c>
      <c r="EQ123" s="2"/>
      <c r="ER123" s="2">
        <f t="shared" si="387"/>
        <v>1260.7437</v>
      </c>
      <c r="ES123" s="2">
        <v>393.59370000000001</v>
      </c>
      <c r="ET123" s="2">
        <f>400.32792+347.5566+119.26548</f>
        <v>867.15000000000009</v>
      </c>
      <c r="EU123" s="2"/>
      <c r="EV123" s="141"/>
      <c r="EW123" s="310"/>
      <c r="EX123" s="310"/>
      <c r="EY123" s="310"/>
      <c r="EZ123" s="396"/>
      <c r="FA123" s="396"/>
      <c r="FB123" s="310"/>
      <c r="FC123" s="310"/>
      <c r="FD123" s="310"/>
      <c r="FE123" s="396"/>
      <c r="FF123" s="396"/>
      <c r="FG123" s="396"/>
      <c r="FH123" s="311"/>
      <c r="FI123" s="310"/>
      <c r="FJ123" s="296" t="e">
        <f t="shared" si="681"/>
        <v>#DIV/0!</v>
      </c>
      <c r="FK123" s="353">
        <f t="shared" si="389"/>
        <v>7144.2143000000005</v>
      </c>
      <c r="FL123" s="353">
        <f>BA123</f>
        <v>7144.2143000000005</v>
      </c>
      <c r="FM123" s="353"/>
      <c r="FN123" s="388">
        <f t="shared" si="682"/>
        <v>1</v>
      </c>
      <c r="FO123" s="388">
        <f t="shared" si="683"/>
        <v>0</v>
      </c>
      <c r="FP123" s="353">
        <f t="shared" si="390"/>
        <v>8404.9580000000005</v>
      </c>
      <c r="FQ123" s="353">
        <f t="shared" si="684"/>
        <v>7144.2143000000005</v>
      </c>
      <c r="FR123" s="353">
        <f t="shared" si="685"/>
        <v>1260.7437</v>
      </c>
      <c r="FS123" s="388">
        <f t="shared" si="686"/>
        <v>0.85</v>
      </c>
      <c r="FT123" s="388">
        <f t="shared" si="687"/>
        <v>0.15</v>
      </c>
      <c r="FU123" s="388"/>
      <c r="FV123" s="353">
        <f t="shared" si="688"/>
        <v>8404.9580000000005</v>
      </c>
      <c r="FW123" s="353">
        <f t="shared" si="391"/>
        <v>-1260.7437</v>
      </c>
      <c r="FX123" s="310">
        <f t="shared" ref="FX123" si="694">FY123+FZ123</f>
        <v>0</v>
      </c>
      <c r="FY123" s="310">
        <f>BD123</f>
        <v>0</v>
      </c>
      <c r="FZ123" s="310"/>
      <c r="GA123" s="396" t="e">
        <f t="shared" ref="GA123" si="695">FY123/FX123</f>
        <v>#DIV/0!</v>
      </c>
      <c r="GB123" s="396" t="e">
        <f t="shared" ref="GB123" si="696">FZ123/FX123</f>
        <v>#DIV/0!</v>
      </c>
      <c r="GC123" s="310">
        <f t="shared" ref="GC123" si="697">GD123+GE123</f>
        <v>0</v>
      </c>
      <c r="GD123" s="310">
        <f t="shared" ref="GD123" si="698">EN123</f>
        <v>0</v>
      </c>
      <c r="GE123" s="310">
        <f t="shared" ref="GE123" si="699">EU123</f>
        <v>0</v>
      </c>
      <c r="GF123" s="396" t="e">
        <f t="shared" ref="GF123" si="700">GD123/GC123</f>
        <v>#DIV/0!</v>
      </c>
      <c r="GG123" s="396" t="e">
        <f t="shared" ref="GG123" si="701">GE123/GC123</f>
        <v>#DIV/0!</v>
      </c>
      <c r="GH123" s="396"/>
      <c r="GI123" s="311" t="e">
        <f t="shared" ref="GI123" si="702">GC123*GA123</f>
        <v>#DIV/0!</v>
      </c>
      <c r="GJ123" s="344" t="e">
        <f t="shared" ref="GJ123" si="703">GD123-GI123</f>
        <v>#DIV/0!</v>
      </c>
      <c r="GK123" s="303">
        <f t="shared" si="368"/>
        <v>0.99570931010452968</v>
      </c>
    </row>
    <row r="124" spans="2:193" s="37" customFormat="1" ht="15.6" customHeight="1" x14ac:dyDescent="0.25">
      <c r="B124" s="29"/>
      <c r="C124" s="30"/>
      <c r="D124" s="30">
        <v>1</v>
      </c>
      <c r="E124" s="493">
        <v>102</v>
      </c>
      <c r="F124" s="29"/>
      <c r="G124" s="30"/>
      <c r="H124" s="30"/>
      <c r="I124" s="493">
        <v>6</v>
      </c>
      <c r="J124" s="494" t="s">
        <v>260</v>
      </c>
      <c r="K124" s="201" t="s">
        <v>273</v>
      </c>
      <c r="L124" s="53"/>
      <c r="M124" s="493">
        <v>83</v>
      </c>
      <c r="N124" s="494" t="s">
        <v>214</v>
      </c>
      <c r="O124" s="494"/>
      <c r="P124" s="494">
        <f t="shared" si="388"/>
        <v>0</v>
      </c>
      <c r="Q124" s="494"/>
      <c r="R124" s="494"/>
      <c r="S124" s="494">
        <v>328</v>
      </c>
      <c r="T124" s="156">
        <v>1</v>
      </c>
      <c r="U124" s="493"/>
      <c r="V124" s="2">
        <f t="shared" si="369"/>
        <v>2265.8000000000002</v>
      </c>
      <c r="W124" s="2"/>
      <c r="X124" s="198">
        <f t="shared" si="605"/>
        <v>2265.8000000000002</v>
      </c>
      <c r="Y124" s="198">
        <v>713.9</v>
      </c>
      <c r="Z124" s="42">
        <v>1551.9</v>
      </c>
      <c r="AA124" s="2"/>
      <c r="AB124" s="567">
        <f t="shared" si="663"/>
        <v>2265.8000000000002</v>
      </c>
      <c r="AC124" s="567"/>
      <c r="AD124" s="568">
        <f t="shared" si="606"/>
        <v>2265.8000000000002</v>
      </c>
      <c r="AE124" s="568">
        <v>713.9</v>
      </c>
      <c r="AF124" s="569">
        <v>1551.9</v>
      </c>
      <c r="AG124" s="567"/>
      <c r="AH124" s="580"/>
      <c r="AI124" s="567"/>
      <c r="AJ124" s="567"/>
      <c r="AK124" s="568"/>
      <c r="AL124" s="567"/>
      <c r="AM124" s="580"/>
      <c r="AN124" s="567"/>
      <c r="AO124" s="567"/>
      <c r="AP124" s="568"/>
      <c r="AQ124" s="567"/>
      <c r="AR124" s="580"/>
      <c r="AS124" s="567"/>
      <c r="AT124" s="567"/>
      <c r="AU124" s="568"/>
      <c r="AV124" s="567"/>
      <c r="AW124" s="580"/>
      <c r="AX124" s="425" t="s">
        <v>459</v>
      </c>
      <c r="AY124" s="567">
        <f t="shared" si="664"/>
        <v>2265.8000000000002</v>
      </c>
      <c r="AZ124" s="567"/>
      <c r="BA124" s="568">
        <f t="shared" si="665"/>
        <v>2265.8000000000002</v>
      </c>
      <c r="BB124" s="568">
        <v>713.9</v>
      </c>
      <c r="BC124" s="569">
        <v>1551.9</v>
      </c>
      <c r="BD124" s="567"/>
      <c r="BE124" s="567"/>
      <c r="BF124" s="567">
        <f t="shared" si="370"/>
        <v>0</v>
      </c>
      <c r="BG124" s="567">
        <f t="shared" si="371"/>
        <v>0</v>
      </c>
      <c r="BH124" s="567">
        <f t="shared" si="372"/>
        <v>0</v>
      </c>
      <c r="BI124" s="567">
        <f t="shared" si="373"/>
        <v>0</v>
      </c>
      <c r="BJ124" s="567">
        <f t="shared" si="374"/>
        <v>0</v>
      </c>
      <c r="BK124" s="567">
        <f t="shared" si="375"/>
        <v>0</v>
      </c>
      <c r="BL124" s="567" t="e">
        <f>#REF!-BE124</f>
        <v>#REF!</v>
      </c>
      <c r="BM124" s="567">
        <f t="shared" si="666"/>
        <v>731.4</v>
      </c>
      <c r="BN124" s="567"/>
      <c r="BO124" s="568">
        <v>731.4</v>
      </c>
      <c r="BP124" s="567"/>
      <c r="BQ124" s="567"/>
      <c r="BR124" s="567">
        <f t="shared" si="667"/>
        <v>0</v>
      </c>
      <c r="BS124" s="567"/>
      <c r="BT124" s="567"/>
      <c r="BU124" s="567"/>
      <c r="BV124" s="567"/>
      <c r="BW124" s="567">
        <f t="shared" si="668"/>
        <v>1459.6116499999998</v>
      </c>
      <c r="BX124" s="567"/>
      <c r="BY124" s="568">
        <f t="shared" si="376"/>
        <v>1459.6116499999998</v>
      </c>
      <c r="BZ124" s="571"/>
      <c r="CA124" s="571">
        <f>543.81441+915.79724</f>
        <v>1459.6116499999998</v>
      </c>
      <c r="CB124" s="567"/>
      <c r="CC124" s="567"/>
      <c r="CD124" s="567">
        <f t="shared" si="669"/>
        <v>1459.6116499999998</v>
      </c>
      <c r="CE124" s="567"/>
      <c r="CF124" s="568">
        <f t="shared" si="377"/>
        <v>1459.6116499999998</v>
      </c>
      <c r="CG124" s="571"/>
      <c r="CH124" s="571">
        <f>543.81441+915.79724</f>
        <v>1459.6116499999998</v>
      </c>
      <c r="CI124" s="567"/>
      <c r="CJ124" s="567"/>
      <c r="CK124" s="567">
        <f t="shared" si="670"/>
        <v>493.98881</v>
      </c>
      <c r="CL124" s="567"/>
      <c r="CM124" s="567">
        <v>493.98881</v>
      </c>
      <c r="CN124" s="567"/>
      <c r="CO124" s="567"/>
      <c r="CP124" s="567"/>
      <c r="CQ124" s="567"/>
      <c r="CR124" s="573">
        <f t="shared" si="671"/>
        <v>1953.6004599999999</v>
      </c>
      <c r="CS124" s="567">
        <f t="shared" si="379"/>
        <v>1953.6004599999999</v>
      </c>
      <c r="CT124" s="567">
        <f t="shared" si="380"/>
        <v>0</v>
      </c>
      <c r="CU124" s="567">
        <f t="shared" si="381"/>
        <v>1953.6004599999999</v>
      </c>
      <c r="CV124" s="567">
        <f t="shared" si="382"/>
        <v>0</v>
      </c>
      <c r="CW124" s="567">
        <f t="shared" si="672"/>
        <v>0</v>
      </c>
      <c r="CX124" s="567">
        <f t="shared" ca="1" si="477"/>
        <v>0</v>
      </c>
      <c r="CY124" s="567">
        <f t="shared" si="383"/>
        <v>0</v>
      </c>
      <c r="CZ124" s="567">
        <f t="shared" si="384"/>
        <v>0</v>
      </c>
      <c r="DA124" s="567">
        <f t="shared" si="385"/>
        <v>0</v>
      </c>
      <c r="DB124" s="2">
        <f t="shared" si="673"/>
        <v>0</v>
      </c>
      <c r="DC124" s="76"/>
      <c r="DD124" s="253"/>
      <c r="DE124" s="253"/>
      <c r="DF124" s="2">
        <f t="shared" si="674"/>
        <v>0</v>
      </c>
      <c r="DG124" s="2"/>
      <c r="DH124" s="2"/>
      <c r="DI124" s="2"/>
      <c r="DJ124" s="2"/>
      <c r="DK124" s="2">
        <f t="shared" si="675"/>
        <v>0</v>
      </c>
      <c r="DL124" s="2"/>
      <c r="DM124" s="2"/>
      <c r="DN124" s="2"/>
      <c r="DO124" s="2"/>
      <c r="DP124" s="2">
        <f t="shared" si="676"/>
        <v>0</v>
      </c>
      <c r="DQ124" s="2">
        <f t="shared" si="677"/>
        <v>0</v>
      </c>
      <c r="DR124" s="2">
        <f t="shared" si="677"/>
        <v>0</v>
      </c>
      <c r="DS124" s="2">
        <f t="shared" si="677"/>
        <v>0</v>
      </c>
      <c r="DT124" s="2">
        <f t="shared" si="677"/>
        <v>0</v>
      </c>
      <c r="DU124" s="2"/>
      <c r="DV124" s="2"/>
      <c r="DW124" s="2"/>
      <c r="DX124" s="2">
        <f t="shared" ca="1" si="678"/>
        <v>0</v>
      </c>
      <c r="DY124" s="46"/>
      <c r="DZ124" s="2">
        <f t="shared" si="679"/>
        <v>1459.6116499999998</v>
      </c>
      <c r="EA124" s="2">
        <f t="shared" si="680"/>
        <v>1459.6116499999998</v>
      </c>
      <c r="EB124" s="46"/>
      <c r="EC124" s="2"/>
      <c r="ED124" s="2"/>
      <c r="EE124" s="46"/>
      <c r="EF124" s="2"/>
      <c r="EG124" s="46"/>
      <c r="EH124" s="46"/>
      <c r="EI124" s="2">
        <f t="shared" si="357"/>
        <v>1459.6116499999998</v>
      </c>
      <c r="EJ124" s="2"/>
      <c r="EK124" s="198">
        <f t="shared" si="386"/>
        <v>1459.6116499999998</v>
      </c>
      <c r="EL124" s="446"/>
      <c r="EM124" s="446">
        <f>543.81441+915.79724</f>
        <v>1459.6116499999998</v>
      </c>
      <c r="EN124" s="2"/>
      <c r="EO124" s="2"/>
      <c r="EP124" s="2">
        <f t="shared" si="358"/>
        <v>493.98881</v>
      </c>
      <c r="EQ124" s="2"/>
      <c r="ER124" s="2">
        <v>493.98881</v>
      </c>
      <c r="ES124" s="2"/>
      <c r="ET124" s="2">
        <f>184.04775+309.94106</f>
        <v>493.98881</v>
      </c>
      <c r="EU124" s="2"/>
      <c r="EV124" s="141"/>
      <c r="EW124" s="310"/>
      <c r="EX124" s="310"/>
      <c r="EY124" s="310"/>
      <c r="EZ124" s="396"/>
      <c r="FA124" s="396"/>
      <c r="FB124" s="310"/>
      <c r="FC124" s="310"/>
      <c r="FD124" s="310"/>
      <c r="FE124" s="396"/>
      <c r="FF124" s="396"/>
      <c r="FG124" s="396"/>
      <c r="FH124" s="311"/>
      <c r="FI124" s="310"/>
      <c r="FJ124" s="296" t="e">
        <f t="shared" si="681"/>
        <v>#DIV/0!</v>
      </c>
      <c r="FK124" s="353"/>
      <c r="FL124" s="353"/>
      <c r="FM124" s="353"/>
      <c r="FN124" s="388"/>
      <c r="FO124" s="388"/>
      <c r="FP124" s="353"/>
      <c r="FQ124" s="353"/>
      <c r="FR124" s="353"/>
      <c r="FS124" s="388"/>
      <c r="FT124" s="388"/>
      <c r="FU124" s="388"/>
      <c r="FV124" s="353"/>
      <c r="FW124" s="353">
        <f t="shared" si="391"/>
        <v>0</v>
      </c>
      <c r="FX124" s="310"/>
      <c r="FY124" s="310"/>
      <c r="FZ124" s="310"/>
      <c r="GA124" s="396"/>
      <c r="GB124" s="396"/>
      <c r="GC124" s="310"/>
      <c r="GD124" s="310"/>
      <c r="GE124" s="310"/>
      <c r="GF124" s="396"/>
      <c r="GG124" s="396"/>
      <c r="GH124" s="396"/>
      <c r="GI124" s="311"/>
      <c r="GJ124" s="344"/>
      <c r="GK124" s="303">
        <f t="shared" si="368"/>
        <v>0.64419262512136977</v>
      </c>
    </row>
    <row r="125" spans="2:193" s="37" customFormat="1" ht="15.6" customHeight="1" x14ac:dyDescent="0.25">
      <c r="B125" s="29"/>
      <c r="C125" s="30"/>
      <c r="D125" s="30">
        <v>1</v>
      </c>
      <c r="E125" s="493">
        <v>103</v>
      </c>
      <c r="F125" s="29"/>
      <c r="G125" s="30"/>
      <c r="H125" s="30">
        <v>1</v>
      </c>
      <c r="I125" s="729" t="s">
        <v>266</v>
      </c>
      <c r="J125" s="730"/>
      <c r="K125" s="730"/>
      <c r="L125" s="154"/>
      <c r="M125" s="493">
        <v>84</v>
      </c>
      <c r="N125" s="494" t="s">
        <v>177</v>
      </c>
      <c r="O125" s="494"/>
      <c r="P125" s="494">
        <f t="shared" si="388"/>
        <v>0</v>
      </c>
      <c r="Q125" s="494" t="s">
        <v>701</v>
      </c>
      <c r="R125" s="494" t="s">
        <v>699</v>
      </c>
      <c r="S125" s="494" t="s">
        <v>552</v>
      </c>
      <c r="T125" s="156">
        <v>2</v>
      </c>
      <c r="U125" s="493">
        <v>1</v>
      </c>
      <c r="V125" s="2">
        <f t="shared" si="369"/>
        <v>5519.9</v>
      </c>
      <c r="W125" s="2"/>
      <c r="X125" s="198">
        <f t="shared" si="605"/>
        <v>5519.9</v>
      </c>
      <c r="Y125" s="198">
        <v>750.2</v>
      </c>
      <c r="Z125" s="42">
        <v>4769.7</v>
      </c>
      <c r="AA125" s="2"/>
      <c r="AB125" s="567">
        <f t="shared" si="663"/>
        <v>5519.9</v>
      </c>
      <c r="AC125" s="567"/>
      <c r="AD125" s="568">
        <f t="shared" si="606"/>
        <v>5519.9</v>
      </c>
      <c r="AE125" s="568">
        <v>750.2</v>
      </c>
      <c r="AF125" s="569">
        <v>4769.7</v>
      </c>
      <c r="AG125" s="567"/>
      <c r="AH125" s="580"/>
      <c r="AI125" s="567"/>
      <c r="AJ125" s="567"/>
      <c r="AK125" s="568"/>
      <c r="AL125" s="567"/>
      <c r="AM125" s="580"/>
      <c r="AN125" s="567"/>
      <c r="AO125" s="567"/>
      <c r="AP125" s="568"/>
      <c r="AQ125" s="567"/>
      <c r="AR125" s="580"/>
      <c r="AS125" s="567"/>
      <c r="AT125" s="567"/>
      <c r="AU125" s="568"/>
      <c r="AV125" s="567"/>
      <c r="AW125" s="580"/>
      <c r="AX125" s="409" t="s">
        <v>665</v>
      </c>
      <c r="AY125" s="567">
        <f t="shared" si="664"/>
        <v>5519.9</v>
      </c>
      <c r="AZ125" s="567"/>
      <c r="BA125" s="568">
        <f t="shared" si="665"/>
        <v>5519.9</v>
      </c>
      <c r="BB125" s="568">
        <v>750.2</v>
      </c>
      <c r="BC125" s="569">
        <v>4769.7</v>
      </c>
      <c r="BD125" s="567"/>
      <c r="BE125" s="567"/>
      <c r="BF125" s="567">
        <f t="shared" si="370"/>
        <v>0</v>
      </c>
      <c r="BG125" s="567">
        <f t="shared" si="371"/>
        <v>0</v>
      </c>
      <c r="BH125" s="567">
        <f t="shared" si="372"/>
        <v>0</v>
      </c>
      <c r="BI125" s="567">
        <f t="shared" si="373"/>
        <v>0</v>
      </c>
      <c r="BJ125" s="567">
        <f t="shared" si="374"/>
        <v>0</v>
      </c>
      <c r="BK125" s="567">
        <f t="shared" si="375"/>
        <v>0</v>
      </c>
      <c r="BL125" s="567" t="e">
        <f>#REF!-BE125</f>
        <v>#REF!</v>
      </c>
      <c r="BM125" s="567">
        <f t="shared" si="666"/>
        <v>768.2</v>
      </c>
      <c r="BN125" s="567"/>
      <c r="BO125" s="568">
        <f>334+434.2</f>
        <v>768.2</v>
      </c>
      <c r="BP125" s="567"/>
      <c r="BQ125" s="567"/>
      <c r="BR125" s="567">
        <f t="shared" si="667"/>
        <v>0</v>
      </c>
      <c r="BS125" s="567"/>
      <c r="BT125" s="568"/>
      <c r="BU125" s="567"/>
      <c r="BV125" s="567"/>
      <c r="BW125" s="567">
        <f t="shared" si="668"/>
        <v>731.44497999999999</v>
      </c>
      <c r="BX125" s="567"/>
      <c r="BY125" s="568">
        <f t="shared" si="376"/>
        <v>731.44497999999999</v>
      </c>
      <c r="BZ125" s="571">
        <v>731.44497999999999</v>
      </c>
      <c r="CA125" s="571"/>
      <c r="CB125" s="567"/>
      <c r="CC125" s="567"/>
      <c r="CD125" s="567">
        <f t="shared" si="669"/>
        <v>731.44497999999999</v>
      </c>
      <c r="CE125" s="567"/>
      <c r="CF125" s="568">
        <f t="shared" si="377"/>
        <v>731.44497999999999</v>
      </c>
      <c r="CG125" s="571">
        <v>731.44497999999999</v>
      </c>
      <c r="CH125" s="571"/>
      <c r="CI125" s="567"/>
      <c r="CJ125" s="567"/>
      <c r="CK125" s="567">
        <f t="shared" si="670"/>
        <v>90.432220000000001</v>
      </c>
      <c r="CL125" s="567"/>
      <c r="CM125" s="567">
        <f t="shared" si="378"/>
        <v>90.432220000000001</v>
      </c>
      <c r="CN125" s="567">
        <v>90.432220000000001</v>
      </c>
      <c r="CO125" s="567"/>
      <c r="CP125" s="567"/>
      <c r="CQ125" s="567"/>
      <c r="CR125" s="573">
        <f t="shared" si="671"/>
        <v>821.87720000000002</v>
      </c>
      <c r="CS125" s="567">
        <f t="shared" si="379"/>
        <v>821.87720000000002</v>
      </c>
      <c r="CT125" s="567">
        <f t="shared" si="380"/>
        <v>0</v>
      </c>
      <c r="CU125" s="567">
        <f t="shared" si="381"/>
        <v>821.87720000000002</v>
      </c>
      <c r="CV125" s="567">
        <f t="shared" si="382"/>
        <v>0</v>
      </c>
      <c r="CW125" s="567">
        <f t="shared" si="672"/>
        <v>0</v>
      </c>
      <c r="CX125" s="567">
        <f t="shared" ca="1" si="477"/>
        <v>0</v>
      </c>
      <c r="CY125" s="567">
        <f t="shared" si="383"/>
        <v>0</v>
      </c>
      <c r="CZ125" s="567">
        <f t="shared" si="384"/>
        <v>0</v>
      </c>
      <c r="DA125" s="567">
        <f t="shared" si="385"/>
        <v>0</v>
      </c>
      <c r="DB125" s="2">
        <f t="shared" si="673"/>
        <v>0</v>
      </c>
      <c r="DC125" s="76"/>
      <c r="DD125" s="253"/>
      <c r="DE125" s="253"/>
      <c r="DF125" s="2">
        <f t="shared" si="674"/>
        <v>0</v>
      </c>
      <c r="DG125" s="2"/>
      <c r="DH125" s="198"/>
      <c r="DI125" s="2"/>
      <c r="DJ125" s="2"/>
      <c r="DK125" s="2">
        <f t="shared" si="675"/>
        <v>0</v>
      </c>
      <c r="DL125" s="2"/>
      <c r="DM125" s="198"/>
      <c r="DN125" s="2"/>
      <c r="DO125" s="2"/>
      <c r="DP125" s="2">
        <f t="shared" si="676"/>
        <v>0</v>
      </c>
      <c r="DQ125" s="2">
        <f t="shared" si="677"/>
        <v>0</v>
      </c>
      <c r="DR125" s="2">
        <f t="shared" si="677"/>
        <v>0</v>
      </c>
      <c r="DS125" s="2">
        <f t="shared" si="677"/>
        <v>0</v>
      </c>
      <c r="DT125" s="2">
        <f t="shared" si="677"/>
        <v>0</v>
      </c>
      <c r="DU125" s="2"/>
      <c r="DV125" s="2"/>
      <c r="DW125" s="2"/>
      <c r="DX125" s="2">
        <f t="shared" ca="1" si="678"/>
        <v>0</v>
      </c>
      <c r="DY125" s="46"/>
      <c r="DZ125" s="2">
        <f t="shared" si="679"/>
        <v>731.44497999999999</v>
      </c>
      <c r="EA125" s="2">
        <f t="shared" si="680"/>
        <v>731.44497999999999</v>
      </c>
      <c r="EB125" s="46"/>
      <c r="EC125" s="2"/>
      <c r="ED125" s="2"/>
      <c r="EE125" s="46"/>
      <c r="EF125" s="2"/>
      <c r="EG125" s="46"/>
      <c r="EH125" s="46"/>
      <c r="EI125" s="2">
        <f t="shared" si="357"/>
        <v>731.44497999999999</v>
      </c>
      <c r="EJ125" s="2"/>
      <c r="EK125" s="198">
        <f t="shared" si="386"/>
        <v>731.44497999999999</v>
      </c>
      <c r="EL125" s="446">
        <v>731.44497999999999</v>
      </c>
      <c r="EM125" s="446"/>
      <c r="EN125" s="2"/>
      <c r="EO125" s="2"/>
      <c r="EP125" s="2">
        <f t="shared" si="358"/>
        <v>90.432220000000001</v>
      </c>
      <c r="EQ125" s="2"/>
      <c r="ER125" s="2">
        <f t="shared" si="387"/>
        <v>90.432220000000001</v>
      </c>
      <c r="ES125" s="2">
        <v>90.432220000000001</v>
      </c>
      <c r="ET125" s="2"/>
      <c r="EU125" s="2"/>
      <c r="EV125" s="141"/>
      <c r="EW125" s="310"/>
      <c r="EX125" s="310"/>
      <c r="EY125" s="310"/>
      <c r="EZ125" s="396"/>
      <c r="FA125" s="396"/>
      <c r="FB125" s="310"/>
      <c r="FC125" s="310"/>
      <c r="FD125" s="310"/>
      <c r="FE125" s="396"/>
      <c r="FF125" s="396"/>
      <c r="FG125" s="396"/>
      <c r="FH125" s="311"/>
      <c r="FI125" s="310"/>
      <c r="FJ125" s="296" t="e">
        <f t="shared" si="681"/>
        <v>#DIV/0!</v>
      </c>
      <c r="FK125" s="353">
        <f t="shared" si="389"/>
        <v>5519.9</v>
      </c>
      <c r="FL125" s="353">
        <f t="shared" ref="FL125:FL130" si="704">BA125</f>
        <v>5519.9</v>
      </c>
      <c r="FM125" s="353"/>
      <c r="FN125" s="388">
        <f t="shared" si="682"/>
        <v>1</v>
      </c>
      <c r="FO125" s="388">
        <f t="shared" si="683"/>
        <v>0</v>
      </c>
      <c r="FP125" s="353">
        <f t="shared" si="390"/>
        <v>821.87720000000002</v>
      </c>
      <c r="FQ125" s="353">
        <f t="shared" si="684"/>
        <v>731.44497999999999</v>
      </c>
      <c r="FR125" s="353">
        <f t="shared" si="685"/>
        <v>90.432220000000001</v>
      </c>
      <c r="FS125" s="388">
        <f t="shared" si="686"/>
        <v>0.88996869605337636</v>
      </c>
      <c r="FT125" s="388">
        <f t="shared" si="687"/>
        <v>0.11003130394662365</v>
      </c>
      <c r="FU125" s="388"/>
      <c r="FV125" s="353">
        <f t="shared" si="688"/>
        <v>821.87720000000002</v>
      </c>
      <c r="FW125" s="353">
        <f t="shared" si="391"/>
        <v>-90.432220000000029</v>
      </c>
      <c r="FX125" s="310">
        <f t="shared" ref="FX125" si="705">FY125+FZ125</f>
        <v>0</v>
      </c>
      <c r="FY125" s="310">
        <f>BD125</f>
        <v>0</v>
      </c>
      <c r="FZ125" s="310"/>
      <c r="GA125" s="396" t="e">
        <f t="shared" ref="GA125" si="706">FY125/FX125</f>
        <v>#DIV/0!</v>
      </c>
      <c r="GB125" s="396" t="e">
        <f t="shared" ref="GB125" si="707">FZ125/FX125</f>
        <v>#DIV/0!</v>
      </c>
      <c r="GC125" s="310">
        <f t="shared" ref="GC125" si="708">GD125+GE125</f>
        <v>0</v>
      </c>
      <c r="GD125" s="310">
        <f t="shared" ref="GD125" si="709">EN125</f>
        <v>0</v>
      </c>
      <c r="GE125" s="310">
        <f t="shared" ref="GE125" si="710">EU125</f>
        <v>0</v>
      </c>
      <c r="GF125" s="396" t="e">
        <f t="shared" ref="GF125" si="711">GD125/GC125</f>
        <v>#DIV/0!</v>
      </c>
      <c r="GG125" s="396" t="e">
        <f t="shared" ref="GG125" si="712">GE125/GC125</f>
        <v>#DIV/0!</v>
      </c>
      <c r="GH125" s="396"/>
      <c r="GI125" s="311" t="e">
        <f t="shared" ref="GI125" si="713">GC125*GA125</f>
        <v>#DIV/0!</v>
      </c>
      <c r="GJ125" s="344" t="e">
        <f t="shared" ref="GJ125" si="714">GD125-GI125</f>
        <v>#DIV/0!</v>
      </c>
      <c r="GK125" s="303">
        <f t="shared" si="368"/>
        <v>0.13251054910415044</v>
      </c>
    </row>
    <row r="126" spans="2:193" s="37" customFormat="1" ht="15.75" customHeight="1" x14ac:dyDescent="0.25">
      <c r="B126" s="29"/>
      <c r="C126" s="30"/>
      <c r="D126" s="30">
        <v>1</v>
      </c>
      <c r="E126" s="493">
        <v>104</v>
      </c>
      <c r="F126" s="29"/>
      <c r="G126" s="30"/>
      <c r="H126" s="30">
        <v>1</v>
      </c>
      <c r="I126" s="733" t="s">
        <v>261</v>
      </c>
      <c r="J126" s="734"/>
      <c r="K126" s="734"/>
      <c r="L126" s="734"/>
      <c r="M126" s="493">
        <v>85</v>
      </c>
      <c r="N126" s="494" t="s">
        <v>213</v>
      </c>
      <c r="O126" s="494"/>
      <c r="P126" s="494">
        <f t="shared" si="388"/>
        <v>0</v>
      </c>
      <c r="Q126" s="494" t="s">
        <v>701</v>
      </c>
      <c r="R126" s="494" t="s">
        <v>699</v>
      </c>
      <c r="S126" s="494" t="s">
        <v>637</v>
      </c>
      <c r="T126" s="156">
        <v>3</v>
      </c>
      <c r="U126" s="493"/>
      <c r="V126" s="2">
        <f t="shared" si="369"/>
        <v>6087.7049999999999</v>
      </c>
      <c r="W126" s="2"/>
      <c r="X126" s="198">
        <f t="shared" si="605"/>
        <v>2246.6</v>
      </c>
      <c r="Y126" s="198">
        <v>707.8</v>
      </c>
      <c r="Z126" s="42">
        <v>1538.8</v>
      </c>
      <c r="AA126" s="2">
        <v>3841.105</v>
      </c>
      <c r="AB126" s="567">
        <f t="shared" si="663"/>
        <v>6087.7049999999999</v>
      </c>
      <c r="AC126" s="567"/>
      <c r="AD126" s="568">
        <f t="shared" si="606"/>
        <v>2246.6</v>
      </c>
      <c r="AE126" s="568">
        <v>707.8</v>
      </c>
      <c r="AF126" s="569">
        <v>1538.8</v>
      </c>
      <c r="AG126" s="567">
        <v>3841.105</v>
      </c>
      <c r="AH126" s="570"/>
      <c r="AI126" s="567"/>
      <c r="AJ126" s="567"/>
      <c r="AK126" s="568"/>
      <c r="AL126" s="567"/>
      <c r="AM126" s="570"/>
      <c r="AN126" s="567"/>
      <c r="AO126" s="567"/>
      <c r="AP126" s="568"/>
      <c r="AQ126" s="567"/>
      <c r="AR126" s="570"/>
      <c r="AS126" s="567"/>
      <c r="AT126" s="567"/>
      <c r="AU126" s="568"/>
      <c r="AV126" s="567"/>
      <c r="AW126" s="570"/>
      <c r="AX126" s="409" t="s">
        <v>486</v>
      </c>
      <c r="AY126" s="567">
        <f t="shared" si="664"/>
        <v>6087.7046</v>
      </c>
      <c r="AZ126" s="567"/>
      <c r="BA126" s="568">
        <f t="shared" si="665"/>
        <v>2246.6</v>
      </c>
      <c r="BB126" s="568">
        <v>707.8</v>
      </c>
      <c r="BC126" s="569">
        <v>1538.8</v>
      </c>
      <c r="BD126" s="567">
        <v>3841.1046000000001</v>
      </c>
      <c r="BE126" s="567"/>
      <c r="BF126" s="567">
        <f t="shared" si="370"/>
        <v>3.9999999989959178E-4</v>
      </c>
      <c r="BG126" s="567">
        <f t="shared" si="371"/>
        <v>0</v>
      </c>
      <c r="BH126" s="567">
        <f t="shared" si="372"/>
        <v>0</v>
      </c>
      <c r="BI126" s="567">
        <f t="shared" si="373"/>
        <v>0</v>
      </c>
      <c r="BJ126" s="567">
        <f t="shared" si="374"/>
        <v>0</v>
      </c>
      <c r="BK126" s="567">
        <f t="shared" si="375"/>
        <v>3.9999999989959178E-4</v>
      </c>
      <c r="BL126" s="567" t="e">
        <f>#REF!-BE126</f>
        <v>#REF!</v>
      </c>
      <c r="BM126" s="567">
        <f t="shared" si="666"/>
        <v>4088.6320000000001</v>
      </c>
      <c r="BN126" s="567"/>
      <c r="BO126" s="568">
        <f>315+409.5</f>
        <v>724.5</v>
      </c>
      <c r="BP126" s="567">
        <f>2730.235+633.897</f>
        <v>3364.1320000000001</v>
      </c>
      <c r="BQ126" s="567"/>
      <c r="BR126" s="567">
        <f t="shared" si="667"/>
        <v>0</v>
      </c>
      <c r="BS126" s="567"/>
      <c r="BT126" s="568"/>
      <c r="BU126" s="567"/>
      <c r="BV126" s="567"/>
      <c r="BW126" s="567">
        <f t="shared" si="668"/>
        <v>5615.4944999999998</v>
      </c>
      <c r="BX126" s="567"/>
      <c r="BY126" s="578">
        <f t="shared" si="376"/>
        <v>1812.8009500000001</v>
      </c>
      <c r="BZ126" s="578">
        <v>700.72199999999998</v>
      </c>
      <c r="CA126" s="571">
        <v>1112.0789500000001</v>
      </c>
      <c r="CB126" s="567">
        <v>3802.69355</v>
      </c>
      <c r="CC126" s="567"/>
      <c r="CD126" s="567">
        <f t="shared" si="669"/>
        <v>5615.4944999999998</v>
      </c>
      <c r="CE126" s="567"/>
      <c r="CF126" s="578">
        <f t="shared" si="377"/>
        <v>1812.8009500000001</v>
      </c>
      <c r="CG126" s="578">
        <v>700.72199999999998</v>
      </c>
      <c r="CH126" s="571">
        <v>1112.0789500000001</v>
      </c>
      <c r="CI126" s="567">
        <v>3802.69355</v>
      </c>
      <c r="CJ126" s="567"/>
      <c r="CK126" s="567">
        <f t="shared" si="670"/>
        <v>700.9400599999999</v>
      </c>
      <c r="CL126" s="567"/>
      <c r="CM126" s="567">
        <f t="shared" si="378"/>
        <v>278.41854999999998</v>
      </c>
      <c r="CN126" s="567">
        <v>133.88007999999999</v>
      </c>
      <c r="CO126" s="567">
        <v>144.53846999999999</v>
      </c>
      <c r="CP126" s="567">
        <v>422.52150999999998</v>
      </c>
      <c r="CQ126" s="567"/>
      <c r="CR126" s="573">
        <f t="shared" si="671"/>
        <v>6316.4345599999997</v>
      </c>
      <c r="CS126" s="567">
        <f t="shared" si="379"/>
        <v>6316.4345599999997</v>
      </c>
      <c r="CT126" s="567">
        <f t="shared" si="380"/>
        <v>0</v>
      </c>
      <c r="CU126" s="567">
        <f t="shared" si="381"/>
        <v>2091.2195000000002</v>
      </c>
      <c r="CV126" s="567">
        <f t="shared" si="382"/>
        <v>4225.2150599999995</v>
      </c>
      <c r="CW126" s="567">
        <f t="shared" si="672"/>
        <v>0</v>
      </c>
      <c r="CX126" s="567">
        <f t="shared" ca="1" si="477"/>
        <v>0</v>
      </c>
      <c r="CY126" s="567">
        <f t="shared" si="383"/>
        <v>0</v>
      </c>
      <c r="CZ126" s="567">
        <f t="shared" si="384"/>
        <v>0</v>
      </c>
      <c r="DA126" s="567">
        <f t="shared" si="385"/>
        <v>0</v>
      </c>
      <c r="DB126" s="2">
        <f t="shared" si="673"/>
        <v>0</v>
      </c>
      <c r="DC126" s="76"/>
      <c r="DD126" s="253"/>
      <c r="DE126" s="253"/>
      <c r="DF126" s="2">
        <f t="shared" si="674"/>
        <v>0</v>
      </c>
      <c r="DG126" s="2"/>
      <c r="DH126" s="198"/>
      <c r="DI126" s="2"/>
      <c r="DJ126" s="2"/>
      <c r="DK126" s="2">
        <f t="shared" si="675"/>
        <v>0</v>
      </c>
      <c r="DL126" s="2"/>
      <c r="DM126" s="198"/>
      <c r="DN126" s="2"/>
      <c r="DO126" s="2"/>
      <c r="DP126" s="2">
        <f t="shared" si="676"/>
        <v>0</v>
      </c>
      <c r="DQ126" s="2">
        <f t="shared" si="677"/>
        <v>0</v>
      </c>
      <c r="DR126" s="2">
        <f t="shared" si="677"/>
        <v>0</v>
      </c>
      <c r="DS126" s="2">
        <f t="shared" si="677"/>
        <v>0</v>
      </c>
      <c r="DT126" s="2">
        <f t="shared" si="677"/>
        <v>0</v>
      </c>
      <c r="DU126" s="2"/>
      <c r="DV126" s="2"/>
      <c r="DW126" s="2"/>
      <c r="DX126" s="2">
        <f t="shared" ca="1" si="678"/>
        <v>0</v>
      </c>
      <c r="DY126" s="46"/>
      <c r="DZ126" s="2">
        <f t="shared" si="679"/>
        <v>5615.4944999999998</v>
      </c>
      <c r="EA126" s="2">
        <f t="shared" si="680"/>
        <v>5615.4944999999998</v>
      </c>
      <c r="EB126" s="46"/>
      <c r="EC126" s="2"/>
      <c r="ED126" s="2"/>
      <c r="EE126" s="46"/>
      <c r="EF126" s="2"/>
      <c r="EG126" s="46"/>
      <c r="EH126" s="46"/>
      <c r="EI126" s="2">
        <f t="shared" si="357"/>
        <v>5615.4944999999998</v>
      </c>
      <c r="EJ126" s="2"/>
      <c r="EK126" s="433">
        <f t="shared" si="386"/>
        <v>1812.8009500000001</v>
      </c>
      <c r="EL126" s="433">
        <v>700.72199999999998</v>
      </c>
      <c r="EM126" s="446">
        <v>1112.0789500000001</v>
      </c>
      <c r="EN126" s="2">
        <v>3802.69355</v>
      </c>
      <c r="EO126" s="2"/>
      <c r="EP126" s="2">
        <f t="shared" si="358"/>
        <v>700.9400599999999</v>
      </c>
      <c r="EQ126" s="2"/>
      <c r="ER126" s="2">
        <f t="shared" si="387"/>
        <v>278.41854999999998</v>
      </c>
      <c r="ES126" s="2">
        <v>133.88007999999999</v>
      </c>
      <c r="ET126" s="2">
        <v>144.53846999999999</v>
      </c>
      <c r="EU126" s="2">
        <v>422.52150999999998</v>
      </c>
      <c r="EV126" s="141"/>
      <c r="EW126" s="310"/>
      <c r="EX126" s="310"/>
      <c r="EY126" s="310"/>
      <c r="EZ126" s="396"/>
      <c r="FA126" s="396"/>
      <c r="FB126" s="310"/>
      <c r="FC126" s="310"/>
      <c r="FD126" s="310"/>
      <c r="FE126" s="396"/>
      <c r="FF126" s="396"/>
      <c r="FG126" s="396"/>
      <c r="FH126" s="311"/>
      <c r="FI126" s="310"/>
      <c r="FJ126" s="296" t="e">
        <f t="shared" si="681"/>
        <v>#DIV/0!</v>
      </c>
      <c r="FK126" s="353">
        <f t="shared" ref="FK126" si="715">FL126+FM126</f>
        <v>2246.6</v>
      </c>
      <c r="FL126" s="353">
        <f t="shared" si="704"/>
        <v>2246.6</v>
      </c>
      <c r="FM126" s="353"/>
      <c r="FN126" s="388">
        <f t="shared" ref="FN126" si="716">FL126/FK126</f>
        <v>1</v>
      </c>
      <c r="FO126" s="388">
        <f t="shared" ref="FO126" si="717">FM126/FK126</f>
        <v>0</v>
      </c>
      <c r="FP126" s="353">
        <f t="shared" ref="FP126" si="718">FQ126+FR126</f>
        <v>2091.2195000000002</v>
      </c>
      <c r="FQ126" s="353">
        <f t="shared" ref="FQ126" si="719">EK126</f>
        <v>1812.8009500000001</v>
      </c>
      <c r="FR126" s="353">
        <f t="shared" ref="FR126" si="720">ER126</f>
        <v>278.41854999999998</v>
      </c>
      <c r="FS126" s="388">
        <f t="shared" ref="FS126" si="721">FQ126/FP126</f>
        <v>0.86686306721986861</v>
      </c>
      <c r="FT126" s="388">
        <f t="shared" ref="FT126" si="722">FR126/FP126</f>
        <v>0.13313693278013139</v>
      </c>
      <c r="FU126" s="388"/>
      <c r="FV126" s="353">
        <f t="shared" ref="FV126" si="723">FP126*FN126</f>
        <v>2091.2195000000002</v>
      </c>
      <c r="FW126" s="353">
        <f t="shared" si="391"/>
        <v>-278.4185500000001</v>
      </c>
      <c r="FX126" s="310">
        <f t="shared" ref="FX126" si="724">FY126+FZ126</f>
        <v>3841.1046000000001</v>
      </c>
      <c r="FY126" s="310">
        <f>BD126</f>
        <v>3841.1046000000001</v>
      </c>
      <c r="FZ126" s="310"/>
      <c r="GA126" s="396">
        <f t="shared" ref="GA126" si="725">FY126/FX126</f>
        <v>1</v>
      </c>
      <c r="GB126" s="396">
        <f t="shared" ref="GB126" si="726">FZ126/FX126</f>
        <v>0</v>
      </c>
      <c r="GC126" s="310">
        <f t="shared" ref="GC126" si="727">GD126+GE126</f>
        <v>4225.2150599999995</v>
      </c>
      <c r="GD126" s="310">
        <f t="shared" ref="GD126" si="728">EN126</f>
        <v>3802.69355</v>
      </c>
      <c r="GE126" s="310">
        <f t="shared" ref="GE126" si="729">EU126</f>
        <v>422.52150999999998</v>
      </c>
      <c r="GF126" s="396">
        <f t="shared" ref="GF126" si="730">GD126/GC126</f>
        <v>0.89999999905330275</v>
      </c>
      <c r="GG126" s="396">
        <f t="shared" ref="GG126" si="731">GE126/GC126</f>
        <v>0.10000000094669738</v>
      </c>
      <c r="GH126" s="396"/>
      <c r="GI126" s="311">
        <f t="shared" ref="GI126" si="732">GC126*GA126</f>
        <v>4225.2150599999995</v>
      </c>
      <c r="GJ126" s="344">
        <f t="shared" ref="GJ126" si="733">GD126-GI126</f>
        <v>-422.52150999999958</v>
      </c>
      <c r="GK126" s="303">
        <f t="shared" si="368"/>
        <v>0.92243209879585164</v>
      </c>
    </row>
    <row r="127" spans="2:193" s="37" customFormat="1" ht="15.6" customHeight="1" x14ac:dyDescent="0.25">
      <c r="B127" s="29"/>
      <c r="C127" s="30"/>
      <c r="D127" s="30">
        <v>1</v>
      </c>
      <c r="E127" s="493">
        <v>105</v>
      </c>
      <c r="F127" s="29"/>
      <c r="G127" s="30"/>
      <c r="H127" s="30">
        <v>1</v>
      </c>
      <c r="I127" s="731">
        <v>7</v>
      </c>
      <c r="J127" s="731" t="s">
        <v>261</v>
      </c>
      <c r="K127" s="201" t="s">
        <v>274</v>
      </c>
      <c r="L127" s="53">
        <v>5724.6031400000002</v>
      </c>
      <c r="M127" s="493">
        <v>86</v>
      </c>
      <c r="N127" s="494" t="s">
        <v>212</v>
      </c>
      <c r="O127" s="494"/>
      <c r="P127" s="494">
        <f t="shared" si="388"/>
        <v>0</v>
      </c>
      <c r="Q127" s="494" t="s">
        <v>701</v>
      </c>
      <c r="R127" s="494" t="s">
        <v>699</v>
      </c>
      <c r="S127" s="494" t="s">
        <v>520</v>
      </c>
      <c r="T127" s="156">
        <v>2</v>
      </c>
      <c r="U127" s="493"/>
      <c r="V127" s="2">
        <f t="shared" si="369"/>
        <v>2099.4</v>
      </c>
      <c r="W127" s="2"/>
      <c r="X127" s="198">
        <f t="shared" si="605"/>
        <v>2099.4</v>
      </c>
      <c r="Y127" s="198">
        <v>661.5</v>
      </c>
      <c r="Z127" s="42">
        <v>1437.9</v>
      </c>
      <c r="AA127" s="2"/>
      <c r="AB127" s="567">
        <f t="shared" si="663"/>
        <v>2099.4</v>
      </c>
      <c r="AC127" s="567"/>
      <c r="AD127" s="568">
        <f t="shared" si="606"/>
        <v>2099.4</v>
      </c>
      <c r="AE127" s="568">
        <v>661.5</v>
      </c>
      <c r="AF127" s="569">
        <v>1437.9</v>
      </c>
      <c r="AG127" s="567"/>
      <c r="AH127" s="580"/>
      <c r="AI127" s="567"/>
      <c r="AJ127" s="567"/>
      <c r="AK127" s="568"/>
      <c r="AL127" s="567"/>
      <c r="AM127" s="580"/>
      <c r="AN127" s="567"/>
      <c r="AO127" s="567"/>
      <c r="AP127" s="568"/>
      <c r="AQ127" s="567"/>
      <c r="AR127" s="580"/>
      <c r="AS127" s="567"/>
      <c r="AT127" s="567"/>
      <c r="AU127" s="568"/>
      <c r="AV127" s="567"/>
      <c r="AW127" s="580"/>
      <c r="AX127" s="409" t="s">
        <v>393</v>
      </c>
      <c r="AY127" s="567">
        <f t="shared" si="664"/>
        <v>2099.4</v>
      </c>
      <c r="AZ127" s="567"/>
      <c r="BA127" s="568">
        <f t="shared" si="665"/>
        <v>2099.4</v>
      </c>
      <c r="BB127" s="568">
        <v>661.5</v>
      </c>
      <c r="BC127" s="569">
        <v>1437.9</v>
      </c>
      <c r="BD127" s="567"/>
      <c r="BE127" s="567"/>
      <c r="BF127" s="567">
        <f t="shared" si="370"/>
        <v>0</v>
      </c>
      <c r="BG127" s="567">
        <f t="shared" si="371"/>
        <v>0</v>
      </c>
      <c r="BH127" s="567">
        <f t="shared" si="372"/>
        <v>0</v>
      </c>
      <c r="BI127" s="567">
        <f t="shared" si="373"/>
        <v>0</v>
      </c>
      <c r="BJ127" s="567">
        <f t="shared" si="374"/>
        <v>0</v>
      </c>
      <c r="BK127" s="567">
        <f t="shared" si="375"/>
        <v>0</v>
      </c>
      <c r="BL127" s="567" t="e">
        <f>#REF!-BE127</f>
        <v>#REF!</v>
      </c>
      <c r="BM127" s="567">
        <f t="shared" si="666"/>
        <v>779.7</v>
      </c>
      <c r="BN127" s="567"/>
      <c r="BO127" s="568">
        <f>339+440.7</f>
        <v>779.7</v>
      </c>
      <c r="BP127" s="567"/>
      <c r="BQ127" s="567"/>
      <c r="BR127" s="567">
        <f t="shared" si="667"/>
        <v>0</v>
      </c>
      <c r="BS127" s="567"/>
      <c r="BT127" s="570"/>
      <c r="BU127" s="567"/>
      <c r="BV127" s="567"/>
      <c r="BW127" s="567">
        <f t="shared" si="668"/>
        <v>2078.4059999999999</v>
      </c>
      <c r="BX127" s="567"/>
      <c r="BY127" s="578">
        <f t="shared" si="376"/>
        <v>2078.4059999999999</v>
      </c>
      <c r="BZ127" s="571">
        <v>654.88499999999999</v>
      </c>
      <c r="CA127" s="571">
        <v>1423.521</v>
      </c>
      <c r="CB127" s="567"/>
      <c r="CC127" s="567"/>
      <c r="CD127" s="567">
        <f t="shared" si="669"/>
        <v>2078.4059999999999</v>
      </c>
      <c r="CE127" s="567"/>
      <c r="CF127" s="578">
        <f t="shared" si="377"/>
        <v>2078.4059999999999</v>
      </c>
      <c r="CG127" s="571">
        <v>654.88499999999999</v>
      </c>
      <c r="CH127" s="571">
        <v>1423.521</v>
      </c>
      <c r="CI127" s="567"/>
      <c r="CJ127" s="567"/>
      <c r="CK127" s="567">
        <f t="shared" si="670"/>
        <v>313.99829999999997</v>
      </c>
      <c r="CL127" s="567"/>
      <c r="CM127" s="567">
        <f t="shared" si="378"/>
        <v>313.99829999999997</v>
      </c>
      <c r="CN127" s="567">
        <v>99</v>
      </c>
      <c r="CO127" s="567">
        <v>214.9983</v>
      </c>
      <c r="CP127" s="567"/>
      <c r="CQ127" s="567"/>
      <c r="CR127" s="573">
        <f t="shared" si="671"/>
        <v>2392.4043000000001</v>
      </c>
      <c r="CS127" s="567">
        <f t="shared" si="379"/>
        <v>2392.4043000000001</v>
      </c>
      <c r="CT127" s="567">
        <f t="shared" si="380"/>
        <v>0</v>
      </c>
      <c r="CU127" s="567">
        <f t="shared" si="381"/>
        <v>2392.4043000000001</v>
      </c>
      <c r="CV127" s="567">
        <f t="shared" si="382"/>
        <v>0</v>
      </c>
      <c r="CW127" s="567">
        <f t="shared" si="672"/>
        <v>0</v>
      </c>
      <c r="CX127" s="567">
        <f t="shared" ca="1" si="477"/>
        <v>0</v>
      </c>
      <c r="CY127" s="567">
        <f t="shared" si="383"/>
        <v>0</v>
      </c>
      <c r="CZ127" s="567">
        <f t="shared" si="384"/>
        <v>0</v>
      </c>
      <c r="DA127" s="567">
        <f t="shared" si="385"/>
        <v>0</v>
      </c>
      <c r="DB127" s="2">
        <f t="shared" si="673"/>
        <v>0</v>
      </c>
      <c r="DC127" s="76"/>
      <c r="DD127" s="253"/>
      <c r="DE127" s="253"/>
      <c r="DF127" s="2">
        <f t="shared" si="674"/>
        <v>0</v>
      </c>
      <c r="DG127" s="2"/>
      <c r="DH127" s="234"/>
      <c r="DI127" s="2"/>
      <c r="DJ127" s="2"/>
      <c r="DK127" s="2">
        <f t="shared" si="675"/>
        <v>0</v>
      </c>
      <c r="DL127" s="2"/>
      <c r="DM127" s="234"/>
      <c r="DN127" s="2"/>
      <c r="DO127" s="2"/>
      <c r="DP127" s="2">
        <f t="shared" si="676"/>
        <v>0</v>
      </c>
      <c r="DQ127" s="2">
        <f t="shared" si="677"/>
        <v>0</v>
      </c>
      <c r="DR127" s="2">
        <f t="shared" si="677"/>
        <v>0</v>
      </c>
      <c r="DS127" s="2">
        <f t="shared" si="677"/>
        <v>0</v>
      </c>
      <c r="DT127" s="2">
        <f t="shared" si="677"/>
        <v>0</v>
      </c>
      <c r="DU127" s="2"/>
      <c r="DV127" s="2"/>
      <c r="DW127" s="2"/>
      <c r="DX127" s="2">
        <f t="shared" ca="1" si="678"/>
        <v>0</v>
      </c>
      <c r="DY127" s="46"/>
      <c r="DZ127" s="2">
        <f t="shared" si="679"/>
        <v>2078.4059999999999</v>
      </c>
      <c r="EA127" s="2">
        <f t="shared" si="680"/>
        <v>2078.4059999999999</v>
      </c>
      <c r="EB127" s="46"/>
      <c r="EC127" s="2"/>
      <c r="ED127" s="2"/>
      <c r="EE127" s="46"/>
      <c r="EF127" s="2"/>
      <c r="EG127" s="46"/>
      <c r="EH127" s="46"/>
      <c r="EI127" s="2">
        <f t="shared" si="357"/>
        <v>2078.4059999999999</v>
      </c>
      <c r="EJ127" s="2"/>
      <c r="EK127" s="433">
        <f t="shared" si="386"/>
        <v>2078.4059999999999</v>
      </c>
      <c r="EL127" s="446">
        <v>654.88499999999999</v>
      </c>
      <c r="EM127" s="446">
        <v>1423.521</v>
      </c>
      <c r="EN127" s="2"/>
      <c r="EO127" s="2"/>
      <c r="EP127" s="2">
        <f t="shared" si="358"/>
        <v>313.99829999999997</v>
      </c>
      <c r="EQ127" s="2"/>
      <c r="ER127" s="2">
        <f t="shared" si="387"/>
        <v>313.99829999999997</v>
      </c>
      <c r="ES127" s="2">
        <v>99</v>
      </c>
      <c r="ET127" s="2">
        <v>214.9983</v>
      </c>
      <c r="EU127" s="2"/>
      <c r="EV127" s="141"/>
      <c r="EW127" s="310"/>
      <c r="EX127" s="310"/>
      <c r="EY127" s="310"/>
      <c r="EZ127" s="396"/>
      <c r="FA127" s="396"/>
      <c r="FB127" s="310"/>
      <c r="FC127" s="310"/>
      <c r="FD127" s="310"/>
      <c r="FE127" s="396"/>
      <c r="FF127" s="396"/>
      <c r="FG127" s="396"/>
      <c r="FH127" s="311"/>
      <c r="FI127" s="310"/>
      <c r="FJ127" s="296" t="e">
        <f t="shared" si="681"/>
        <v>#DIV/0!</v>
      </c>
      <c r="FK127" s="353">
        <f t="shared" si="389"/>
        <v>2099.4</v>
      </c>
      <c r="FL127" s="353">
        <f t="shared" si="704"/>
        <v>2099.4</v>
      </c>
      <c r="FM127" s="353"/>
      <c r="FN127" s="388">
        <f t="shared" si="682"/>
        <v>1</v>
      </c>
      <c r="FO127" s="388">
        <f t="shared" si="683"/>
        <v>0</v>
      </c>
      <c r="FP127" s="353">
        <f t="shared" si="390"/>
        <v>2392.4043000000001</v>
      </c>
      <c r="FQ127" s="353">
        <f t="shared" si="684"/>
        <v>2078.4059999999999</v>
      </c>
      <c r="FR127" s="353">
        <f t="shared" si="685"/>
        <v>313.99829999999997</v>
      </c>
      <c r="FS127" s="388">
        <f t="shared" si="686"/>
        <v>0.86875199145896864</v>
      </c>
      <c r="FT127" s="388">
        <f t="shared" si="687"/>
        <v>0.13124800854103127</v>
      </c>
      <c r="FU127" s="388"/>
      <c r="FV127" s="353">
        <f t="shared" si="688"/>
        <v>2392.4043000000001</v>
      </c>
      <c r="FW127" s="353">
        <f t="shared" si="391"/>
        <v>-313.9983000000002</v>
      </c>
      <c r="FX127" s="310"/>
      <c r="FY127" s="310"/>
      <c r="FZ127" s="310"/>
      <c r="GA127" s="396"/>
      <c r="GB127" s="396"/>
      <c r="GC127" s="310"/>
      <c r="GD127" s="310"/>
      <c r="GE127" s="310"/>
      <c r="GF127" s="396"/>
      <c r="GG127" s="396"/>
      <c r="GH127" s="396"/>
      <c r="GI127" s="311"/>
      <c r="GJ127" s="344"/>
      <c r="GK127" s="303">
        <f t="shared" si="368"/>
        <v>0.98999999999999988</v>
      </c>
    </row>
    <row r="128" spans="2:193" s="37" customFormat="1" ht="15.6" customHeight="1" x14ac:dyDescent="0.25">
      <c r="B128" s="29"/>
      <c r="C128" s="30"/>
      <c r="D128" s="30">
        <v>1</v>
      </c>
      <c r="E128" s="493">
        <v>106</v>
      </c>
      <c r="F128" s="29"/>
      <c r="G128" s="30"/>
      <c r="H128" s="30"/>
      <c r="I128" s="731"/>
      <c r="J128" s="731"/>
      <c r="K128" s="201" t="s">
        <v>275</v>
      </c>
      <c r="L128" s="53">
        <v>9110.3080000000009</v>
      </c>
      <c r="M128" s="493">
        <v>87</v>
      </c>
      <c r="N128" s="494" t="s">
        <v>211</v>
      </c>
      <c r="O128" s="494"/>
      <c r="P128" s="494">
        <f t="shared" si="388"/>
        <v>0</v>
      </c>
      <c r="Q128" s="494"/>
      <c r="R128" s="494"/>
      <c r="S128" s="494" t="s">
        <v>587</v>
      </c>
      <c r="T128" s="156">
        <v>2</v>
      </c>
      <c r="U128" s="493"/>
      <c r="V128" s="2">
        <f t="shared" si="369"/>
        <v>3059.4</v>
      </c>
      <c r="W128" s="2"/>
      <c r="X128" s="198">
        <f t="shared" si="605"/>
        <v>3059.4</v>
      </c>
      <c r="Y128" s="198">
        <v>963.9</v>
      </c>
      <c r="Z128" s="42">
        <v>2095.5</v>
      </c>
      <c r="AA128" s="2"/>
      <c r="AB128" s="567">
        <f t="shared" si="663"/>
        <v>3059.4</v>
      </c>
      <c r="AC128" s="567"/>
      <c r="AD128" s="568">
        <f t="shared" si="606"/>
        <v>3059.4</v>
      </c>
      <c r="AE128" s="568">
        <v>963.9</v>
      </c>
      <c r="AF128" s="569">
        <v>2095.5</v>
      </c>
      <c r="AG128" s="567"/>
      <c r="AH128" s="570"/>
      <c r="AI128" s="567"/>
      <c r="AJ128" s="567"/>
      <c r="AK128" s="568"/>
      <c r="AL128" s="567"/>
      <c r="AM128" s="570"/>
      <c r="AN128" s="567"/>
      <c r="AO128" s="567"/>
      <c r="AP128" s="568"/>
      <c r="AQ128" s="567"/>
      <c r="AR128" s="570"/>
      <c r="AS128" s="567"/>
      <c r="AT128" s="567"/>
      <c r="AU128" s="568"/>
      <c r="AV128" s="567"/>
      <c r="AW128" s="570"/>
      <c r="AX128" s="409" t="s">
        <v>445</v>
      </c>
      <c r="AY128" s="567">
        <f t="shared" si="664"/>
        <v>3059.4</v>
      </c>
      <c r="AZ128" s="567"/>
      <c r="BA128" s="568">
        <f t="shared" si="665"/>
        <v>3059.4</v>
      </c>
      <c r="BB128" s="568">
        <v>963.9</v>
      </c>
      <c r="BC128" s="569">
        <v>2095.5</v>
      </c>
      <c r="BD128" s="567"/>
      <c r="BE128" s="567"/>
      <c r="BF128" s="567">
        <f t="shared" si="370"/>
        <v>0</v>
      </c>
      <c r="BG128" s="567">
        <f t="shared" si="371"/>
        <v>0</v>
      </c>
      <c r="BH128" s="567">
        <f t="shared" si="372"/>
        <v>0</v>
      </c>
      <c r="BI128" s="567">
        <f t="shared" si="373"/>
        <v>0</v>
      </c>
      <c r="BJ128" s="567">
        <f t="shared" si="374"/>
        <v>0</v>
      </c>
      <c r="BK128" s="567">
        <f t="shared" si="375"/>
        <v>0</v>
      </c>
      <c r="BL128" s="567" t="e">
        <f>#REF!-BE128</f>
        <v>#REF!</v>
      </c>
      <c r="BM128" s="567">
        <f t="shared" si="666"/>
        <v>986.7</v>
      </c>
      <c r="BN128" s="567"/>
      <c r="BO128" s="568">
        <f>429+557.7</f>
        <v>986.7</v>
      </c>
      <c r="BP128" s="567"/>
      <c r="BQ128" s="567"/>
      <c r="BR128" s="567">
        <f t="shared" si="667"/>
        <v>0</v>
      </c>
      <c r="BS128" s="567"/>
      <c r="BT128" s="567"/>
      <c r="BU128" s="567"/>
      <c r="BV128" s="567"/>
      <c r="BW128" s="567">
        <f t="shared" si="668"/>
        <v>2293.33923</v>
      </c>
      <c r="BX128" s="567"/>
      <c r="BY128" s="568">
        <f t="shared" si="376"/>
        <v>2293.33923</v>
      </c>
      <c r="BZ128" s="571">
        <v>630.84573999999998</v>
      </c>
      <c r="CA128" s="571">
        <v>1662.4934900000001</v>
      </c>
      <c r="CB128" s="567"/>
      <c r="CC128" s="567"/>
      <c r="CD128" s="567">
        <f t="shared" si="669"/>
        <v>2293.33923</v>
      </c>
      <c r="CE128" s="567"/>
      <c r="CF128" s="568">
        <f t="shared" si="377"/>
        <v>2293.33923</v>
      </c>
      <c r="CG128" s="571">
        <v>630.84573999999998</v>
      </c>
      <c r="CH128" s="571">
        <v>1662.4934900000001</v>
      </c>
      <c r="CI128" s="567"/>
      <c r="CJ128" s="567"/>
      <c r="CK128" s="567">
        <f t="shared" si="670"/>
        <v>473.89997</v>
      </c>
      <c r="CL128" s="567"/>
      <c r="CM128" s="567">
        <v>473.89997</v>
      </c>
      <c r="CN128" s="567"/>
      <c r="CO128" s="567"/>
      <c r="CP128" s="567"/>
      <c r="CQ128" s="567"/>
      <c r="CR128" s="573">
        <f t="shared" si="671"/>
        <v>2767.2392</v>
      </c>
      <c r="CS128" s="567">
        <f t="shared" si="379"/>
        <v>2767.2392</v>
      </c>
      <c r="CT128" s="567">
        <f t="shared" si="380"/>
        <v>0</v>
      </c>
      <c r="CU128" s="567">
        <f t="shared" si="381"/>
        <v>2767.2392</v>
      </c>
      <c r="CV128" s="567">
        <f t="shared" si="382"/>
        <v>0</v>
      </c>
      <c r="CW128" s="567">
        <f t="shared" si="672"/>
        <v>0</v>
      </c>
      <c r="CX128" s="567">
        <f t="shared" ca="1" si="477"/>
        <v>0</v>
      </c>
      <c r="CY128" s="567">
        <f t="shared" si="383"/>
        <v>0</v>
      </c>
      <c r="CZ128" s="567">
        <f t="shared" si="384"/>
        <v>0</v>
      </c>
      <c r="DA128" s="567">
        <f t="shared" si="385"/>
        <v>0</v>
      </c>
      <c r="DB128" s="2">
        <f t="shared" si="673"/>
        <v>0</v>
      </c>
      <c r="DC128" s="76"/>
      <c r="DD128" s="253"/>
      <c r="DE128" s="253"/>
      <c r="DF128" s="2">
        <f t="shared" si="674"/>
        <v>0</v>
      </c>
      <c r="DG128" s="2"/>
      <c r="DH128" s="2"/>
      <c r="DI128" s="2"/>
      <c r="DJ128" s="2"/>
      <c r="DK128" s="2">
        <f t="shared" si="675"/>
        <v>0</v>
      </c>
      <c r="DL128" s="2"/>
      <c r="DM128" s="2"/>
      <c r="DN128" s="2"/>
      <c r="DO128" s="2"/>
      <c r="DP128" s="2">
        <f t="shared" si="676"/>
        <v>0</v>
      </c>
      <c r="DQ128" s="2">
        <f t="shared" si="677"/>
        <v>0</v>
      </c>
      <c r="DR128" s="2">
        <f t="shared" si="677"/>
        <v>0</v>
      </c>
      <c r="DS128" s="2">
        <f t="shared" si="677"/>
        <v>0</v>
      </c>
      <c r="DT128" s="2">
        <f t="shared" si="677"/>
        <v>0</v>
      </c>
      <c r="DU128" s="2"/>
      <c r="DV128" s="2"/>
      <c r="DW128" s="2"/>
      <c r="DX128" s="2">
        <f t="shared" ca="1" si="678"/>
        <v>0</v>
      </c>
      <c r="DY128" s="46"/>
      <c r="DZ128" s="2">
        <f t="shared" si="679"/>
        <v>2293.33923</v>
      </c>
      <c r="EA128" s="2">
        <f t="shared" si="680"/>
        <v>2293.33923</v>
      </c>
      <c r="EB128" s="46"/>
      <c r="EC128" s="2"/>
      <c r="ED128" s="2"/>
      <c r="EE128" s="46"/>
      <c r="EF128" s="2"/>
      <c r="EG128" s="46"/>
      <c r="EH128" s="46"/>
      <c r="EI128" s="2">
        <f t="shared" si="357"/>
        <v>2293.33923</v>
      </c>
      <c r="EJ128" s="2"/>
      <c r="EK128" s="198">
        <f t="shared" si="386"/>
        <v>2293.33923</v>
      </c>
      <c r="EL128" s="446">
        <v>630.84573999999998</v>
      </c>
      <c r="EM128" s="446">
        <v>1662.4934900000001</v>
      </c>
      <c r="EN128" s="2"/>
      <c r="EO128" s="2"/>
      <c r="EP128" s="2">
        <f t="shared" si="358"/>
        <v>473.89997</v>
      </c>
      <c r="EQ128" s="2"/>
      <c r="ER128" s="2">
        <v>473.89997</v>
      </c>
      <c r="ES128" s="2">
        <v>157.81628000000001</v>
      </c>
      <c r="ET128" s="2">
        <v>316.08368999999999</v>
      </c>
      <c r="EU128" s="2"/>
      <c r="EV128" s="141"/>
      <c r="EW128" s="310"/>
      <c r="EX128" s="310"/>
      <c r="EY128" s="310"/>
      <c r="EZ128" s="396"/>
      <c r="FA128" s="396"/>
      <c r="FB128" s="310"/>
      <c r="FC128" s="310"/>
      <c r="FD128" s="310"/>
      <c r="FE128" s="396"/>
      <c r="FF128" s="396"/>
      <c r="FG128" s="396"/>
      <c r="FH128" s="311"/>
      <c r="FI128" s="310"/>
      <c r="FJ128" s="296" t="e">
        <f t="shared" si="681"/>
        <v>#DIV/0!</v>
      </c>
      <c r="FK128" s="353">
        <f t="shared" si="389"/>
        <v>3059.4</v>
      </c>
      <c r="FL128" s="353">
        <f t="shared" si="704"/>
        <v>3059.4</v>
      </c>
      <c r="FM128" s="353"/>
      <c r="FN128" s="388">
        <f t="shared" si="682"/>
        <v>1</v>
      </c>
      <c r="FO128" s="388">
        <f t="shared" si="683"/>
        <v>0</v>
      </c>
      <c r="FP128" s="353">
        <f t="shared" si="390"/>
        <v>2767.2392</v>
      </c>
      <c r="FQ128" s="353">
        <f t="shared" si="684"/>
        <v>2293.33923</v>
      </c>
      <c r="FR128" s="353">
        <f t="shared" si="685"/>
        <v>473.89997</v>
      </c>
      <c r="FS128" s="388">
        <f t="shared" si="686"/>
        <v>0.82874629341764172</v>
      </c>
      <c r="FT128" s="388">
        <f t="shared" si="687"/>
        <v>0.17125370658235833</v>
      </c>
      <c r="FU128" s="388"/>
      <c r="FV128" s="353">
        <f t="shared" si="688"/>
        <v>2767.2392</v>
      </c>
      <c r="FW128" s="353">
        <f t="shared" si="391"/>
        <v>-473.89996999999994</v>
      </c>
      <c r="FX128" s="310"/>
      <c r="FY128" s="310"/>
      <c r="FZ128" s="310"/>
      <c r="GA128" s="396"/>
      <c r="GB128" s="396"/>
      <c r="GC128" s="310"/>
      <c r="GD128" s="310"/>
      <c r="GE128" s="310"/>
      <c r="GF128" s="396"/>
      <c r="GG128" s="396"/>
      <c r="GH128" s="396"/>
      <c r="GI128" s="311"/>
      <c r="GJ128" s="344"/>
      <c r="GK128" s="303">
        <f t="shared" si="368"/>
        <v>0.74960424593057462</v>
      </c>
    </row>
    <row r="129" spans="2:193" s="37" customFormat="1" ht="15.75" customHeight="1" x14ac:dyDescent="0.25">
      <c r="B129" s="29"/>
      <c r="C129" s="30"/>
      <c r="D129" s="30">
        <v>1</v>
      </c>
      <c r="E129" s="493">
        <v>107</v>
      </c>
      <c r="F129" s="29"/>
      <c r="G129" s="30"/>
      <c r="H129" s="30">
        <v>1</v>
      </c>
      <c r="I129" s="745" t="s">
        <v>266</v>
      </c>
      <c r="J129" s="746"/>
      <c r="K129" s="746"/>
      <c r="L129" s="55">
        <f>L128+L127</f>
        <v>14834.91114</v>
      </c>
      <c r="M129" s="493">
        <v>88</v>
      </c>
      <c r="N129" s="494" t="s">
        <v>210</v>
      </c>
      <c r="O129" s="494"/>
      <c r="P129" s="494">
        <f t="shared" si="388"/>
        <v>0</v>
      </c>
      <c r="Q129" s="494"/>
      <c r="R129" s="494"/>
      <c r="S129" s="494" t="s">
        <v>553</v>
      </c>
      <c r="T129" s="156">
        <v>3</v>
      </c>
      <c r="U129" s="493"/>
      <c r="V129" s="2">
        <f t="shared" si="369"/>
        <v>5115.0119999999997</v>
      </c>
      <c r="W129" s="2"/>
      <c r="X129" s="198">
        <f t="shared" si="605"/>
        <v>1638.6</v>
      </c>
      <c r="Y129" s="198">
        <v>516.29999999999995</v>
      </c>
      <c r="Z129" s="42">
        <v>1122.3</v>
      </c>
      <c r="AA129" s="2">
        <v>3476.4119999999998</v>
      </c>
      <c r="AB129" s="567">
        <f t="shared" si="663"/>
        <v>5115.0119999999997</v>
      </c>
      <c r="AC129" s="567"/>
      <c r="AD129" s="568">
        <f t="shared" si="606"/>
        <v>1638.6</v>
      </c>
      <c r="AE129" s="568">
        <v>516.29999999999995</v>
      </c>
      <c r="AF129" s="569">
        <v>1122.3</v>
      </c>
      <c r="AG129" s="567">
        <v>3476.4119999999998</v>
      </c>
      <c r="AH129" s="570"/>
      <c r="AI129" s="567"/>
      <c r="AJ129" s="567"/>
      <c r="AK129" s="568"/>
      <c r="AL129" s="567"/>
      <c r="AM129" s="570"/>
      <c r="AN129" s="567"/>
      <c r="AO129" s="567"/>
      <c r="AP129" s="568"/>
      <c r="AQ129" s="567"/>
      <c r="AR129" s="570"/>
      <c r="AS129" s="567"/>
      <c r="AT129" s="567"/>
      <c r="AU129" s="568"/>
      <c r="AV129" s="567"/>
      <c r="AW129" s="570"/>
      <c r="AX129" s="409" t="s">
        <v>422</v>
      </c>
      <c r="AY129" s="567">
        <f t="shared" si="664"/>
        <v>5115.0119999999997</v>
      </c>
      <c r="AZ129" s="567"/>
      <c r="BA129" s="568">
        <f t="shared" si="665"/>
        <v>1638.6</v>
      </c>
      <c r="BB129" s="568">
        <v>516.29999999999995</v>
      </c>
      <c r="BC129" s="569">
        <v>1122.3</v>
      </c>
      <c r="BD129" s="567">
        <v>3476.4119999999998</v>
      </c>
      <c r="BE129" s="570"/>
      <c r="BF129" s="567">
        <f t="shared" si="370"/>
        <v>0</v>
      </c>
      <c r="BG129" s="567">
        <f t="shared" si="371"/>
        <v>0</v>
      </c>
      <c r="BH129" s="567">
        <f t="shared" si="372"/>
        <v>0</v>
      </c>
      <c r="BI129" s="567">
        <f t="shared" si="373"/>
        <v>0</v>
      </c>
      <c r="BJ129" s="567">
        <f t="shared" si="374"/>
        <v>0</v>
      </c>
      <c r="BK129" s="567">
        <f t="shared" si="375"/>
        <v>0</v>
      </c>
      <c r="BL129" s="567" t="e">
        <f>#REF!-BE129</f>
        <v>#REF!</v>
      </c>
      <c r="BM129" s="567">
        <f t="shared" si="666"/>
        <v>529</v>
      </c>
      <c r="BN129" s="567"/>
      <c r="BO129" s="568">
        <f>230+299</f>
        <v>529</v>
      </c>
      <c r="BP129" s="567"/>
      <c r="BQ129" s="570"/>
      <c r="BR129" s="567">
        <f t="shared" si="667"/>
        <v>0</v>
      </c>
      <c r="BS129" s="567"/>
      <c r="BT129" s="568"/>
      <c r="BU129" s="567"/>
      <c r="BV129" s="570"/>
      <c r="BW129" s="567">
        <f t="shared" si="668"/>
        <v>5059.3620599999995</v>
      </c>
      <c r="BX129" s="567"/>
      <c r="BY129" s="568">
        <f t="shared" si="376"/>
        <v>1617.7141799999999</v>
      </c>
      <c r="BZ129" s="571">
        <v>511.137</v>
      </c>
      <c r="CA129" s="571">
        <v>1106.57718</v>
      </c>
      <c r="CB129" s="567">
        <v>3441.64788</v>
      </c>
      <c r="CC129" s="577"/>
      <c r="CD129" s="567">
        <f t="shared" si="669"/>
        <v>5059.3620599999995</v>
      </c>
      <c r="CE129" s="567"/>
      <c r="CF129" s="568">
        <f t="shared" si="377"/>
        <v>1617.7141799999999</v>
      </c>
      <c r="CG129" s="571">
        <v>511.137</v>
      </c>
      <c r="CH129" s="571">
        <v>1106.57718</v>
      </c>
      <c r="CI129" s="567">
        <v>3441.64788</v>
      </c>
      <c r="CJ129" s="577"/>
      <c r="CK129" s="567">
        <f t="shared" si="670"/>
        <v>1017.3770500000001</v>
      </c>
      <c r="CL129" s="567"/>
      <c r="CM129" s="567">
        <v>503.10775000000001</v>
      </c>
      <c r="CN129" s="567"/>
      <c r="CO129" s="567"/>
      <c r="CP129" s="567">
        <v>514.26930000000004</v>
      </c>
      <c r="CQ129" s="567"/>
      <c r="CR129" s="573">
        <f t="shared" si="671"/>
        <v>6076.7391100000004</v>
      </c>
      <c r="CS129" s="567">
        <f t="shared" si="379"/>
        <v>6076.7391100000004</v>
      </c>
      <c r="CT129" s="567">
        <f t="shared" si="380"/>
        <v>0</v>
      </c>
      <c r="CU129" s="567">
        <f t="shared" si="381"/>
        <v>2120.8219300000001</v>
      </c>
      <c r="CV129" s="567">
        <f t="shared" si="382"/>
        <v>3955.9171799999999</v>
      </c>
      <c r="CW129" s="567">
        <f t="shared" si="672"/>
        <v>0</v>
      </c>
      <c r="CX129" s="567">
        <f t="shared" ca="1" si="477"/>
        <v>0</v>
      </c>
      <c r="CY129" s="567">
        <f t="shared" si="383"/>
        <v>0</v>
      </c>
      <c r="CZ129" s="567">
        <f t="shared" si="384"/>
        <v>0</v>
      </c>
      <c r="DA129" s="567">
        <f t="shared" si="385"/>
        <v>0</v>
      </c>
      <c r="DB129" s="2">
        <f t="shared" si="673"/>
        <v>0</v>
      </c>
      <c r="DC129" s="76"/>
      <c r="DD129" s="253"/>
      <c r="DE129" s="253"/>
      <c r="DF129" s="2">
        <f t="shared" si="674"/>
        <v>0</v>
      </c>
      <c r="DG129" s="2"/>
      <c r="DH129" s="198"/>
      <c r="DI129" s="2"/>
      <c r="DJ129" s="234"/>
      <c r="DK129" s="2">
        <f t="shared" si="675"/>
        <v>0</v>
      </c>
      <c r="DL129" s="2"/>
      <c r="DM129" s="198"/>
      <c r="DN129" s="2"/>
      <c r="DO129" s="234"/>
      <c r="DP129" s="2">
        <f t="shared" si="676"/>
        <v>0</v>
      </c>
      <c r="DQ129" s="2">
        <f t="shared" si="677"/>
        <v>0</v>
      </c>
      <c r="DR129" s="2">
        <f t="shared" si="677"/>
        <v>0</v>
      </c>
      <c r="DS129" s="2">
        <f t="shared" si="677"/>
        <v>0</v>
      </c>
      <c r="DT129" s="2">
        <f t="shared" si="677"/>
        <v>0</v>
      </c>
      <c r="DU129" s="2"/>
      <c r="DV129" s="2"/>
      <c r="DW129" s="2"/>
      <c r="DX129" s="2">
        <f t="shared" ca="1" si="678"/>
        <v>0</v>
      </c>
      <c r="DY129" s="46"/>
      <c r="DZ129" s="2">
        <f t="shared" si="679"/>
        <v>5059.3620599999995</v>
      </c>
      <c r="EA129" s="2">
        <f t="shared" si="680"/>
        <v>5059.3620599999995</v>
      </c>
      <c r="EB129" s="46"/>
      <c r="EC129" s="2"/>
      <c r="ED129" s="2"/>
      <c r="EE129" s="46"/>
      <c r="EF129" s="2"/>
      <c r="EG129" s="46"/>
      <c r="EH129" s="46"/>
      <c r="EI129" s="2">
        <f t="shared" si="357"/>
        <v>5059.3620599999995</v>
      </c>
      <c r="EJ129" s="2"/>
      <c r="EK129" s="198">
        <f t="shared" si="386"/>
        <v>1617.7141799999999</v>
      </c>
      <c r="EL129" s="446">
        <v>511.137</v>
      </c>
      <c r="EM129" s="446">
        <v>1106.57718</v>
      </c>
      <c r="EN129" s="2">
        <v>3441.64788</v>
      </c>
      <c r="EO129" s="236"/>
      <c r="EP129" s="2">
        <f t="shared" si="358"/>
        <v>1017.3770500000001</v>
      </c>
      <c r="EQ129" s="2"/>
      <c r="ER129" s="2">
        <v>503.10775000000001</v>
      </c>
      <c r="ES129" s="2">
        <v>128.8287</v>
      </c>
      <c r="ET129" s="2">
        <v>374.27904999999998</v>
      </c>
      <c r="EU129" s="2">
        <v>514.26930000000004</v>
      </c>
      <c r="EV129" s="141"/>
      <c r="EW129" s="310"/>
      <c r="EX129" s="310"/>
      <c r="EY129" s="310"/>
      <c r="EZ129" s="396"/>
      <c r="FA129" s="396"/>
      <c r="FB129" s="310"/>
      <c r="FC129" s="310"/>
      <c r="FD129" s="310"/>
      <c r="FE129" s="396"/>
      <c r="FF129" s="396"/>
      <c r="FG129" s="396"/>
      <c r="FH129" s="311"/>
      <c r="FI129" s="310"/>
      <c r="FJ129" s="296" t="e">
        <f t="shared" si="681"/>
        <v>#DIV/0!</v>
      </c>
      <c r="FK129" s="353">
        <f t="shared" si="389"/>
        <v>1638.6</v>
      </c>
      <c r="FL129" s="353">
        <f t="shared" si="704"/>
        <v>1638.6</v>
      </c>
      <c r="FM129" s="353"/>
      <c r="FN129" s="388">
        <f t="shared" si="682"/>
        <v>1</v>
      </c>
      <c r="FO129" s="388">
        <f t="shared" si="683"/>
        <v>0</v>
      </c>
      <c r="FP129" s="353">
        <f t="shared" si="390"/>
        <v>2120.8219300000001</v>
      </c>
      <c r="FQ129" s="353">
        <f t="shared" si="684"/>
        <v>1617.7141799999999</v>
      </c>
      <c r="FR129" s="353">
        <f t="shared" si="685"/>
        <v>503.10775000000001</v>
      </c>
      <c r="FS129" s="388">
        <f t="shared" si="686"/>
        <v>0.76277699561509149</v>
      </c>
      <c r="FT129" s="388">
        <f t="shared" si="687"/>
        <v>0.23722300438490845</v>
      </c>
      <c r="FU129" s="388"/>
      <c r="FV129" s="353">
        <f t="shared" si="688"/>
        <v>2120.8219300000001</v>
      </c>
      <c r="FW129" s="353">
        <f t="shared" si="391"/>
        <v>-503.10775000000012</v>
      </c>
      <c r="FX129" s="310">
        <f t="shared" si="689"/>
        <v>3476.4119999999998</v>
      </c>
      <c r="FY129" s="310">
        <f>BD129</f>
        <v>3476.4119999999998</v>
      </c>
      <c r="FZ129" s="310"/>
      <c r="GA129" s="396">
        <f t="shared" si="690"/>
        <v>1</v>
      </c>
      <c r="GB129" s="396">
        <f t="shared" si="691"/>
        <v>0</v>
      </c>
      <c r="GC129" s="310">
        <f t="shared" si="402"/>
        <v>3955.9171799999999</v>
      </c>
      <c r="GD129" s="310">
        <f t="shared" si="501"/>
        <v>3441.64788</v>
      </c>
      <c r="GE129" s="310">
        <f t="shared" si="502"/>
        <v>514.26930000000004</v>
      </c>
      <c r="GF129" s="396">
        <f t="shared" si="692"/>
        <v>0.86999998316446048</v>
      </c>
      <c r="GG129" s="396">
        <f t="shared" si="693"/>
        <v>0.13000001683553952</v>
      </c>
      <c r="GH129" s="396"/>
      <c r="GI129" s="311">
        <f t="shared" si="637"/>
        <v>3955.9171799999999</v>
      </c>
      <c r="GJ129" s="344">
        <f t="shared" si="403"/>
        <v>-514.26929999999993</v>
      </c>
      <c r="GK129" s="303">
        <f t="shared" si="368"/>
        <v>0.98912027185859974</v>
      </c>
    </row>
    <row r="130" spans="2:193" s="115" customFormat="1" ht="16.149999999999999" customHeight="1" x14ac:dyDescent="0.2">
      <c r="B130" s="109"/>
      <c r="C130" s="110"/>
      <c r="D130" s="110"/>
      <c r="E130" s="111"/>
      <c r="F130" s="109"/>
      <c r="G130" s="110"/>
      <c r="H130" s="110"/>
      <c r="I130" s="735" t="s">
        <v>4</v>
      </c>
      <c r="J130" s="736"/>
      <c r="K130" s="736"/>
      <c r="L130" s="736"/>
      <c r="M130" s="111"/>
      <c r="N130" s="114" t="s">
        <v>19</v>
      </c>
      <c r="O130" s="114"/>
      <c r="P130" s="114">
        <f t="shared" si="388"/>
        <v>0</v>
      </c>
      <c r="Q130" s="114"/>
      <c r="R130" s="114"/>
      <c r="S130" s="114"/>
      <c r="T130" s="158">
        <f>T131+T132+T133+T134+T135+T136+T137+T138</f>
        <v>7</v>
      </c>
      <c r="U130" s="158">
        <f>U131+U132+U133+U134+U135+U136+U137+U138</f>
        <v>4</v>
      </c>
      <c r="V130" s="57">
        <f t="shared" si="369"/>
        <v>16769.3</v>
      </c>
      <c r="W130" s="57">
        <f t="shared" ref="W130:AA130" si="734">SUM(W131:W138)-W132</f>
        <v>0</v>
      </c>
      <c r="X130" s="57">
        <f t="shared" si="734"/>
        <v>16769.3</v>
      </c>
      <c r="Y130" s="57">
        <f t="shared" si="734"/>
        <v>5283.5</v>
      </c>
      <c r="Z130" s="57">
        <f t="shared" si="734"/>
        <v>11485.800000000001</v>
      </c>
      <c r="AA130" s="57">
        <f t="shared" si="734"/>
        <v>0</v>
      </c>
      <c r="AB130" s="564">
        <f t="shared" ref="AB130:AH130" si="735">SUM(AB131:AB138)-AB132</f>
        <v>16769.3</v>
      </c>
      <c r="AC130" s="564">
        <f t="shared" si="735"/>
        <v>0</v>
      </c>
      <c r="AD130" s="564">
        <f t="shared" si="735"/>
        <v>16769.3</v>
      </c>
      <c r="AE130" s="564">
        <f t="shared" si="735"/>
        <v>5285.1803399999999</v>
      </c>
      <c r="AF130" s="564">
        <f t="shared" si="735"/>
        <v>11484.11966</v>
      </c>
      <c r="AG130" s="564">
        <f t="shared" si="735"/>
        <v>0</v>
      </c>
      <c r="AH130" s="564">
        <f t="shared" si="735"/>
        <v>0</v>
      </c>
      <c r="AI130" s="564">
        <f t="shared" ref="AI130:AM130" si="736">SUM(AI131:AI138)-AI132</f>
        <v>9125.5</v>
      </c>
      <c r="AJ130" s="564">
        <f t="shared" si="736"/>
        <v>0</v>
      </c>
      <c r="AK130" s="564">
        <f t="shared" si="736"/>
        <v>5025.5</v>
      </c>
      <c r="AL130" s="564">
        <f t="shared" si="736"/>
        <v>4100</v>
      </c>
      <c r="AM130" s="564">
        <f t="shared" si="736"/>
        <v>0</v>
      </c>
      <c r="AN130" s="564">
        <f t="shared" ref="AN130:AR130" si="737">SUM(AN131:AN138)-AN132</f>
        <v>9125.5</v>
      </c>
      <c r="AO130" s="564">
        <f t="shared" si="737"/>
        <v>0</v>
      </c>
      <c r="AP130" s="564">
        <f t="shared" si="737"/>
        <v>5025.5</v>
      </c>
      <c r="AQ130" s="564">
        <f t="shared" si="737"/>
        <v>4100</v>
      </c>
      <c r="AR130" s="564">
        <f t="shared" si="737"/>
        <v>0</v>
      </c>
      <c r="AS130" s="566">
        <f t="shared" ref="AS130:AW130" si="738">SUM(AS131:AS138)-AS132</f>
        <v>6285</v>
      </c>
      <c r="AT130" s="564">
        <f t="shared" si="738"/>
        <v>0</v>
      </c>
      <c r="AU130" s="564">
        <f t="shared" si="738"/>
        <v>2185</v>
      </c>
      <c r="AV130" s="564">
        <f t="shared" si="738"/>
        <v>4100</v>
      </c>
      <c r="AW130" s="564">
        <f t="shared" si="738"/>
        <v>0</v>
      </c>
      <c r="AX130" s="565"/>
      <c r="AY130" s="564">
        <f t="shared" ref="AY130:BD130" si="739">SUM(AY131:AY138)-AY132</f>
        <v>16688.342679999998</v>
      </c>
      <c r="AZ130" s="564">
        <f t="shared" si="739"/>
        <v>0</v>
      </c>
      <c r="BA130" s="564">
        <f t="shared" si="739"/>
        <v>16688.342679999998</v>
      </c>
      <c r="BB130" s="564">
        <f t="shared" ref="BB130:BC130" si="740">SUM(BB131:BB138)-BB132</f>
        <v>5204.2230199999995</v>
      </c>
      <c r="BC130" s="564">
        <f t="shared" si="740"/>
        <v>11484.11966</v>
      </c>
      <c r="BD130" s="564">
        <f t="shared" si="739"/>
        <v>0</v>
      </c>
      <c r="BE130" s="564">
        <f>SUM(BE131:BE138)-BE132</f>
        <v>0</v>
      </c>
      <c r="BF130" s="564">
        <f t="shared" si="370"/>
        <v>80.957320000000436</v>
      </c>
      <c r="BG130" s="564">
        <f t="shared" si="371"/>
        <v>0</v>
      </c>
      <c r="BH130" s="564">
        <f t="shared" si="372"/>
        <v>80.957320000000436</v>
      </c>
      <c r="BI130" s="564">
        <f t="shared" si="373"/>
        <v>80.957320000000436</v>
      </c>
      <c r="BJ130" s="564">
        <f t="shared" si="374"/>
        <v>0</v>
      </c>
      <c r="BK130" s="564">
        <f t="shared" si="375"/>
        <v>0</v>
      </c>
      <c r="BL130" s="564" t="e">
        <f t="shared" ref="BL130:BQ130" si="741">SUM(BL131:BL138)-BL132</f>
        <v>#REF!</v>
      </c>
      <c r="BM130" s="564">
        <f t="shared" si="741"/>
        <v>9125.5</v>
      </c>
      <c r="BN130" s="564">
        <f t="shared" si="741"/>
        <v>0</v>
      </c>
      <c r="BO130" s="564">
        <f t="shared" si="741"/>
        <v>5025.5</v>
      </c>
      <c r="BP130" s="564">
        <f t="shared" si="741"/>
        <v>4100</v>
      </c>
      <c r="BQ130" s="564">
        <f t="shared" si="741"/>
        <v>0</v>
      </c>
      <c r="BR130" s="564">
        <f t="shared" ref="BR130:DB130" si="742">SUM(BR131:BR138)-BR132</f>
        <v>0</v>
      </c>
      <c r="BS130" s="564">
        <f t="shared" si="742"/>
        <v>0</v>
      </c>
      <c r="BT130" s="564">
        <f t="shared" si="742"/>
        <v>0</v>
      </c>
      <c r="BU130" s="564">
        <f t="shared" si="742"/>
        <v>0</v>
      </c>
      <c r="BV130" s="564">
        <f t="shared" si="742"/>
        <v>0</v>
      </c>
      <c r="BW130" s="564">
        <f t="shared" si="742"/>
        <v>15034.22529</v>
      </c>
      <c r="BX130" s="564">
        <f t="shared" si="742"/>
        <v>0</v>
      </c>
      <c r="BY130" s="564">
        <f t="shared" si="376"/>
        <v>15034.225289999998</v>
      </c>
      <c r="BZ130" s="564">
        <f t="shared" si="742"/>
        <v>5081.2431299999998</v>
      </c>
      <c r="CA130" s="564">
        <f t="shared" si="742"/>
        <v>9952.9821599999996</v>
      </c>
      <c r="CB130" s="564">
        <f t="shared" si="742"/>
        <v>0</v>
      </c>
      <c r="CC130" s="564">
        <f t="shared" si="742"/>
        <v>0</v>
      </c>
      <c r="CD130" s="564">
        <f t="shared" si="742"/>
        <v>15034.22529</v>
      </c>
      <c r="CE130" s="564">
        <f t="shared" ref="CE130" si="743">SUM(CE131:CE138)-CE132</f>
        <v>0</v>
      </c>
      <c r="CF130" s="564">
        <f t="shared" si="377"/>
        <v>15034.225289999998</v>
      </c>
      <c r="CG130" s="564">
        <f t="shared" ref="CG130:CH130" si="744">SUM(CG131:CG138)-CG132</f>
        <v>5081.2431299999998</v>
      </c>
      <c r="CH130" s="564">
        <f t="shared" si="744"/>
        <v>9952.9821599999996</v>
      </c>
      <c r="CI130" s="564">
        <f t="shared" ref="CI130" si="745">SUM(CI131:CI138)-CI132</f>
        <v>0</v>
      </c>
      <c r="CJ130" s="564">
        <f t="shared" si="742"/>
        <v>0</v>
      </c>
      <c r="CK130" s="566">
        <f t="shared" si="742"/>
        <v>4215.7782299999999</v>
      </c>
      <c r="CL130" s="564">
        <f t="shared" si="742"/>
        <v>0</v>
      </c>
      <c r="CM130" s="564">
        <f>SUM(CM131:CM138)</f>
        <v>4215.7782299999999</v>
      </c>
      <c r="CN130" s="564">
        <f t="shared" si="742"/>
        <v>370.06373000000002</v>
      </c>
      <c r="CO130" s="564">
        <f t="shared" si="742"/>
        <v>2564.4873499999999</v>
      </c>
      <c r="CP130" s="564">
        <f t="shared" si="742"/>
        <v>0</v>
      </c>
      <c r="CQ130" s="564">
        <f t="shared" si="742"/>
        <v>0</v>
      </c>
      <c r="CR130" s="564">
        <f t="shared" si="742"/>
        <v>19250.003520000002</v>
      </c>
      <c r="CS130" s="564">
        <f t="shared" si="379"/>
        <v>19250.003519999998</v>
      </c>
      <c r="CT130" s="564">
        <f t="shared" si="380"/>
        <v>0</v>
      </c>
      <c r="CU130" s="564">
        <f t="shared" si="381"/>
        <v>19250.003519999998</v>
      </c>
      <c r="CV130" s="564">
        <f t="shared" si="382"/>
        <v>0</v>
      </c>
      <c r="CW130" s="564">
        <f t="shared" si="742"/>
        <v>0</v>
      </c>
      <c r="CX130" s="564">
        <f t="shared" ca="1" si="477"/>
        <v>0</v>
      </c>
      <c r="CY130" s="564">
        <f t="shared" si="383"/>
        <v>0</v>
      </c>
      <c r="CZ130" s="564">
        <f t="shared" si="384"/>
        <v>0</v>
      </c>
      <c r="DA130" s="564">
        <f t="shared" si="385"/>
        <v>0</v>
      </c>
      <c r="DB130" s="57">
        <f t="shared" si="742"/>
        <v>0</v>
      </c>
      <c r="DC130" s="225">
        <f>DD130+DF130-BR130</f>
        <v>9125.5</v>
      </c>
      <c r="DD130" s="226">
        <f t="shared" ref="DD130:DX130" si="746">SUM(DD131:DD138)-DD132</f>
        <v>9125.5</v>
      </c>
      <c r="DE130" s="226">
        <f t="shared" si="746"/>
        <v>9125.5</v>
      </c>
      <c r="DF130" s="57">
        <f t="shared" si="746"/>
        <v>0</v>
      </c>
      <c r="DG130" s="57">
        <f t="shared" si="746"/>
        <v>0</v>
      </c>
      <c r="DH130" s="57">
        <f t="shared" si="746"/>
        <v>0</v>
      </c>
      <c r="DI130" s="57">
        <f t="shared" si="746"/>
        <v>0</v>
      </c>
      <c r="DJ130" s="57">
        <f t="shared" si="746"/>
        <v>0</v>
      </c>
      <c r="DK130" s="57">
        <f t="shared" si="746"/>
        <v>0</v>
      </c>
      <c r="DL130" s="57">
        <f t="shared" si="746"/>
        <v>0</v>
      </c>
      <c r="DM130" s="57">
        <f t="shared" si="746"/>
        <v>0</v>
      </c>
      <c r="DN130" s="57">
        <f t="shared" si="746"/>
        <v>0</v>
      </c>
      <c r="DO130" s="57">
        <f t="shared" si="746"/>
        <v>0</v>
      </c>
      <c r="DP130" s="57">
        <f t="shared" si="746"/>
        <v>0</v>
      </c>
      <c r="DQ130" s="57">
        <f t="shared" si="746"/>
        <v>0</v>
      </c>
      <c r="DR130" s="57">
        <f t="shared" si="746"/>
        <v>0</v>
      </c>
      <c r="DS130" s="57">
        <f t="shared" si="746"/>
        <v>0</v>
      </c>
      <c r="DT130" s="57">
        <f t="shared" si="746"/>
        <v>0</v>
      </c>
      <c r="DU130" s="57">
        <f t="shared" si="746"/>
        <v>0</v>
      </c>
      <c r="DV130" s="57">
        <f t="shared" si="746"/>
        <v>0</v>
      </c>
      <c r="DW130" s="57">
        <f t="shared" si="746"/>
        <v>0</v>
      </c>
      <c r="DX130" s="57">
        <f t="shared" ca="1" si="746"/>
        <v>0</v>
      </c>
      <c r="DY130" s="124"/>
      <c r="DZ130" s="57">
        <f>SUM(DZ131:DZ138)-DZ132</f>
        <v>15034.22529</v>
      </c>
      <c r="EA130" s="57">
        <f>SUM(EA131:EA138)-EA132</f>
        <v>15034.22529</v>
      </c>
      <c r="EB130" s="124"/>
      <c r="EC130" s="57">
        <f>SUM(EC131:EC138)-EC132</f>
        <v>15034.225289999998</v>
      </c>
      <c r="ED130" s="57">
        <f ca="1">SUM(ED131:ED138)-ED132</f>
        <v>0</v>
      </c>
      <c r="EE130" s="124"/>
      <c r="EF130" s="57">
        <f>SUM(EF131:EF138)-EF132</f>
        <v>-5908.7252899999994</v>
      </c>
      <c r="EG130" s="124">
        <f ca="1">DX130-EF130</f>
        <v>5908.7252899999994</v>
      </c>
      <c r="EH130" s="124"/>
      <c r="EI130" s="57">
        <f t="shared" si="357"/>
        <v>15034.225289999998</v>
      </c>
      <c r="EJ130" s="57">
        <f t="shared" ref="EJ130:EN130" si="747">SUM(EJ131:EJ138)-EJ132</f>
        <v>0</v>
      </c>
      <c r="EK130" s="57">
        <f t="shared" si="386"/>
        <v>15034.225289999998</v>
      </c>
      <c r="EL130" s="57">
        <f t="shared" ref="EL130:EM130" si="748">SUM(EL131:EL138)-EL132</f>
        <v>5081.2431299999998</v>
      </c>
      <c r="EM130" s="57">
        <f t="shared" si="748"/>
        <v>9952.9821599999996</v>
      </c>
      <c r="EN130" s="57">
        <f t="shared" si="747"/>
        <v>0</v>
      </c>
      <c r="EO130" s="57">
        <f t="shared" ref="EO130" si="749">SUM(EO131:EO138)-EO132</f>
        <v>0</v>
      </c>
      <c r="EP130" s="57">
        <f t="shared" si="358"/>
        <v>4215.7782299999999</v>
      </c>
      <c r="EQ130" s="57">
        <f t="shared" ref="EQ130" si="750">SUM(EQ131:EQ138)-EQ132</f>
        <v>0</v>
      </c>
      <c r="ER130" s="57">
        <f>SUM(ER131:ER138)</f>
        <v>4215.7782299999999</v>
      </c>
      <c r="ES130" s="57">
        <f t="shared" ref="ES130:EU130" si="751">SUM(ES131:ES138)-ES132</f>
        <v>502.54052999999999</v>
      </c>
      <c r="ET130" s="57">
        <f t="shared" si="751"/>
        <v>3713.2376999999997</v>
      </c>
      <c r="EU130" s="57">
        <f t="shared" si="751"/>
        <v>0</v>
      </c>
      <c r="EV130" s="140">
        <f t="shared" ref="EV130" si="752">SUM(EV131:EV138)-EV132</f>
        <v>0</v>
      </c>
      <c r="EW130" s="57">
        <f t="shared" si="423"/>
        <v>0</v>
      </c>
      <c r="EX130" s="57">
        <f>AZ130</f>
        <v>0</v>
      </c>
      <c r="EY130" s="57">
        <f t="shared" ref="EY130" si="753">SUM(EY131:EY138)-EY132</f>
        <v>0</v>
      </c>
      <c r="EZ130" s="390"/>
      <c r="FA130" s="390"/>
      <c r="FB130" s="57">
        <f t="shared" si="425"/>
        <v>0</v>
      </c>
      <c r="FC130" s="57">
        <f>SUM(FC131:FC138)</f>
        <v>0</v>
      </c>
      <c r="FD130" s="57">
        <f>SUM(FD131:FD138)</f>
        <v>0</v>
      </c>
      <c r="FE130" s="390"/>
      <c r="FF130" s="390"/>
      <c r="FG130" s="390"/>
      <c r="FH130" s="304">
        <f t="shared" ref="FH130" si="754">SUM(FH131:FH138)</f>
        <v>0</v>
      </c>
      <c r="FI130" s="57">
        <f t="shared" si="427"/>
        <v>0</v>
      </c>
      <c r="FJ130" s="295"/>
      <c r="FK130" s="57">
        <f t="shared" si="389"/>
        <v>16688.342679999998</v>
      </c>
      <c r="FL130" s="57">
        <f t="shared" si="704"/>
        <v>16688.342679999998</v>
      </c>
      <c r="FM130" s="57">
        <f t="shared" ref="FM130" si="755">SUM(FM131:FM138)-FM132</f>
        <v>0</v>
      </c>
      <c r="FN130" s="390"/>
      <c r="FO130" s="390"/>
      <c r="FP130" s="57">
        <f t="shared" si="390"/>
        <v>19250.003519999998</v>
      </c>
      <c r="FQ130" s="57">
        <f>SUM(FQ131:FQ138)</f>
        <v>15034.22529</v>
      </c>
      <c r="FR130" s="57">
        <f>SUM(FR131:FR138)</f>
        <v>4215.7782299999999</v>
      </c>
      <c r="FS130" s="390"/>
      <c r="FT130" s="390"/>
      <c r="FU130" s="390"/>
      <c r="FV130" s="57">
        <f t="shared" ref="FV130" si="756">SUM(FV131:FV138)</f>
        <v>6017.7028100000007</v>
      </c>
      <c r="FW130" s="57">
        <f t="shared" si="391"/>
        <v>9016.5224799999996</v>
      </c>
      <c r="FX130" s="57">
        <f t="shared" ref="FX130" si="757">FY130+FZ130+GA130</f>
        <v>0</v>
      </c>
      <c r="FY130" s="57">
        <f>BD130</f>
        <v>0</v>
      </c>
      <c r="FZ130" s="57">
        <f t="shared" ref="FZ130" si="758">SUM(FZ131:FZ138)-FZ132</f>
        <v>0</v>
      </c>
      <c r="GA130" s="390"/>
      <c r="GB130" s="390"/>
      <c r="GC130" s="57">
        <f t="shared" si="402"/>
        <v>0</v>
      </c>
      <c r="GD130" s="57">
        <f t="shared" si="501"/>
        <v>0</v>
      </c>
      <c r="GE130" s="57">
        <f t="shared" si="502"/>
        <v>0</v>
      </c>
      <c r="GF130" s="390"/>
      <c r="GG130" s="390"/>
      <c r="GH130" s="390"/>
      <c r="GI130" s="304">
        <f t="shared" si="637"/>
        <v>0</v>
      </c>
      <c r="GJ130" s="77">
        <f t="shared" si="403"/>
        <v>0</v>
      </c>
      <c r="GK130" s="462">
        <f t="shared" si="368"/>
        <v>0.89653266922292529</v>
      </c>
    </row>
    <row r="131" spans="2:193" s="37" customFormat="1" ht="16.149999999999999" hidden="1" customHeight="1" x14ac:dyDescent="0.25">
      <c r="B131" s="29">
        <v>1</v>
      </c>
      <c r="C131" s="30"/>
      <c r="D131" s="30"/>
      <c r="E131" s="493">
        <v>108</v>
      </c>
      <c r="F131" s="29"/>
      <c r="G131" s="30"/>
      <c r="H131" s="30"/>
      <c r="I131" s="493">
        <v>8</v>
      </c>
      <c r="J131" s="493" t="s">
        <v>265</v>
      </c>
      <c r="K131" s="201" t="s">
        <v>276</v>
      </c>
      <c r="L131" s="53">
        <v>8075</v>
      </c>
      <c r="M131" s="493">
        <v>97</v>
      </c>
      <c r="N131" s="494" t="s">
        <v>223</v>
      </c>
      <c r="O131" s="127"/>
      <c r="P131" s="127">
        <f t="shared" si="388"/>
        <v>0</v>
      </c>
      <c r="Q131" s="127"/>
      <c r="R131" s="127"/>
      <c r="S131" s="127"/>
      <c r="T131" s="127"/>
      <c r="U131" s="476"/>
      <c r="V131" s="2">
        <f t="shared" si="369"/>
        <v>0</v>
      </c>
      <c r="W131" s="234"/>
      <c r="X131" s="23">
        <f t="shared" si="605"/>
        <v>0</v>
      </c>
      <c r="Y131" s="2"/>
      <c r="Z131" s="2"/>
      <c r="AA131" s="2"/>
      <c r="AB131" s="567">
        <f t="shared" ref="AB131:AB138" si="759">AC131+AD131+AG131+AH131</f>
        <v>0</v>
      </c>
      <c r="AC131" s="570"/>
      <c r="AD131" s="573">
        <f t="shared" si="606"/>
        <v>0</v>
      </c>
      <c r="AE131" s="567"/>
      <c r="AF131" s="567"/>
      <c r="AG131" s="567"/>
      <c r="AH131" s="573"/>
      <c r="AI131" s="567">
        <f t="shared" ref="AI131:AI138" si="760">AJ131+AK131+AL131+AM131</f>
        <v>0</v>
      </c>
      <c r="AJ131" s="570"/>
      <c r="AK131" s="573"/>
      <c r="AL131" s="567"/>
      <c r="AM131" s="573"/>
      <c r="AN131" s="567">
        <f t="shared" ref="AN131:AN138" si="761">AO131+AP131+AQ131+AR131</f>
        <v>0</v>
      </c>
      <c r="AO131" s="570"/>
      <c r="AP131" s="573"/>
      <c r="AQ131" s="567"/>
      <c r="AR131" s="573"/>
      <c r="AS131" s="567">
        <f t="shared" ref="AS131:AS138" si="762">AT131+AU131+AV131+AW131</f>
        <v>0</v>
      </c>
      <c r="AT131" s="570"/>
      <c r="AU131" s="573"/>
      <c r="AV131" s="567"/>
      <c r="AW131" s="567"/>
      <c r="AX131" s="409"/>
      <c r="AY131" s="567">
        <f t="shared" ref="AY131:AY138" si="763">AZ131+BA131+BD131+BE131</f>
        <v>0</v>
      </c>
      <c r="AZ131" s="570"/>
      <c r="BA131" s="567">
        <f t="shared" ref="BA131:BA138" si="764">BB131+BC131</f>
        <v>0</v>
      </c>
      <c r="BB131" s="567"/>
      <c r="BC131" s="567"/>
      <c r="BD131" s="567"/>
      <c r="BE131" s="567"/>
      <c r="BF131" s="567">
        <f t="shared" si="370"/>
        <v>0</v>
      </c>
      <c r="BG131" s="567">
        <f t="shared" si="371"/>
        <v>0</v>
      </c>
      <c r="BH131" s="567">
        <f t="shared" si="372"/>
        <v>0</v>
      </c>
      <c r="BI131" s="567">
        <f t="shared" si="373"/>
        <v>0</v>
      </c>
      <c r="BJ131" s="567">
        <f t="shared" si="374"/>
        <v>0</v>
      </c>
      <c r="BK131" s="567">
        <f t="shared" si="375"/>
        <v>0</v>
      </c>
      <c r="BL131" s="567" t="e">
        <f>#REF!-BE131</f>
        <v>#REF!</v>
      </c>
      <c r="BM131" s="567">
        <f t="shared" ref="BM131:BM138" si="765">BN131+BO131+BP131+BQ131</f>
        <v>0</v>
      </c>
      <c r="BN131" s="570"/>
      <c r="BO131" s="567"/>
      <c r="BP131" s="567"/>
      <c r="BQ131" s="567"/>
      <c r="BR131" s="567">
        <f t="shared" ref="BR131:BR138" si="766">BS131+BT131+BU131+BV131</f>
        <v>0</v>
      </c>
      <c r="BS131" s="570"/>
      <c r="BT131" s="567"/>
      <c r="BU131" s="567"/>
      <c r="BV131" s="567"/>
      <c r="BW131" s="567">
        <f t="shared" ref="BW131:BW138" si="767">BX131+BY131+CB131+CC131</f>
        <v>0</v>
      </c>
      <c r="BX131" s="570"/>
      <c r="BY131" s="567">
        <f t="shared" si="376"/>
        <v>0</v>
      </c>
      <c r="BZ131" s="567"/>
      <c r="CA131" s="567"/>
      <c r="CB131" s="567"/>
      <c r="CC131" s="567"/>
      <c r="CD131" s="567">
        <f t="shared" ref="CD131:CD138" si="768">CE131+CF131+CI131+CJ131</f>
        <v>0</v>
      </c>
      <c r="CE131" s="570"/>
      <c r="CF131" s="567">
        <f t="shared" si="377"/>
        <v>0</v>
      </c>
      <c r="CG131" s="567"/>
      <c r="CH131" s="567"/>
      <c r="CI131" s="567"/>
      <c r="CJ131" s="567"/>
      <c r="CK131" s="567">
        <f t="shared" ref="CK131:CK138" si="769">CL131+CM131+CP131+CQ131</f>
        <v>0</v>
      </c>
      <c r="CL131" s="567"/>
      <c r="CM131" s="567">
        <f t="shared" si="378"/>
        <v>0</v>
      </c>
      <c r="CN131" s="567"/>
      <c r="CO131" s="567"/>
      <c r="CP131" s="567"/>
      <c r="CQ131" s="567"/>
      <c r="CR131" s="573">
        <f t="shared" ref="CR131:CR138" si="770">CS131</f>
        <v>0</v>
      </c>
      <c r="CS131" s="567">
        <f t="shared" si="379"/>
        <v>0</v>
      </c>
      <c r="CT131" s="567">
        <f t="shared" si="380"/>
        <v>0</v>
      </c>
      <c r="CU131" s="567">
        <f t="shared" si="381"/>
        <v>0</v>
      </c>
      <c r="CV131" s="567">
        <f t="shared" si="382"/>
        <v>0</v>
      </c>
      <c r="CW131" s="567">
        <f t="shared" ref="CW131:CW138" si="771">CJ131+CQ131</f>
        <v>0</v>
      </c>
      <c r="CX131" s="567">
        <f t="shared" ca="1" si="477"/>
        <v>0</v>
      </c>
      <c r="CY131" s="567">
        <f t="shared" si="383"/>
        <v>0</v>
      </c>
      <c r="CZ131" s="567">
        <f t="shared" si="384"/>
        <v>0</v>
      </c>
      <c r="DA131" s="567">
        <f t="shared" si="385"/>
        <v>0</v>
      </c>
      <c r="DB131" s="2">
        <f t="shared" ref="DB131:DB138" si="772">CC131-CJ131</f>
        <v>0</v>
      </c>
      <c r="DC131" s="76"/>
      <c r="DD131" s="253">
        <f>BM131</f>
        <v>0</v>
      </c>
      <c r="DE131" s="253">
        <f>DD131</f>
        <v>0</v>
      </c>
      <c r="DF131" s="2">
        <f t="shared" ref="DF131:DF138" si="773">DG131+DH131+DI131+DJ131</f>
        <v>0</v>
      </c>
      <c r="DG131" s="234"/>
      <c r="DH131" s="2"/>
      <c r="DI131" s="2"/>
      <c r="DJ131" s="2"/>
      <c r="DK131" s="2">
        <f t="shared" ref="DK131:DK138" si="774">DL131+DM131+DN131+DO131</f>
        <v>0</v>
      </c>
      <c r="DL131" s="234"/>
      <c r="DM131" s="2"/>
      <c r="DN131" s="2"/>
      <c r="DO131" s="2"/>
      <c r="DP131" s="2">
        <f t="shared" ref="DP131:DP138" si="775">DQ131+DR131+DS131+DT131</f>
        <v>0</v>
      </c>
      <c r="DQ131" s="2">
        <f t="shared" ref="DQ131:DT138" si="776">DG131-DL131</f>
        <v>0</v>
      </c>
      <c r="DR131" s="2">
        <f t="shared" si="776"/>
        <v>0</v>
      </c>
      <c r="DS131" s="2">
        <f t="shared" si="776"/>
        <v>0</v>
      </c>
      <c r="DT131" s="2">
        <f t="shared" si="776"/>
        <v>0</v>
      </c>
      <c r="DU131" s="2"/>
      <c r="DV131" s="2"/>
      <c r="DW131" s="2"/>
      <c r="DX131" s="2">
        <f t="shared" ref="DX131:DX138" ca="1" si="777">CX131+DP131+DW131</f>
        <v>0</v>
      </c>
      <c r="DY131" s="46"/>
      <c r="DZ131" s="2">
        <f t="shared" ref="DZ131:DZ138" si="778">BW131+DF131+DU131</f>
        <v>0</v>
      </c>
      <c r="EA131" s="2">
        <f t="shared" ref="EA131:EA138" si="779">CD131+DK131+DV131</f>
        <v>0</v>
      </c>
      <c r="EB131" s="46"/>
      <c r="EC131" s="2">
        <f>EA131</f>
        <v>0</v>
      </c>
      <c r="ED131" s="2">
        <f ca="1">DX131</f>
        <v>0</v>
      </c>
      <c r="EE131" s="46"/>
      <c r="EF131" s="2">
        <f>DE131-EC131</f>
        <v>0</v>
      </c>
      <c r="EG131" s="46"/>
      <c r="EH131" s="46"/>
      <c r="EI131" s="2">
        <f t="shared" si="357"/>
        <v>0</v>
      </c>
      <c r="EJ131" s="236"/>
      <c r="EK131" s="2">
        <f t="shared" si="386"/>
        <v>0</v>
      </c>
      <c r="EL131" s="2"/>
      <c r="EM131" s="2"/>
      <c r="EN131" s="2"/>
      <c r="EO131" s="2"/>
      <c r="EP131" s="2">
        <f t="shared" si="358"/>
        <v>0</v>
      </c>
      <c r="EQ131" s="2"/>
      <c r="ER131" s="2">
        <f t="shared" si="387"/>
        <v>0</v>
      </c>
      <c r="ES131" s="2"/>
      <c r="ET131" s="2"/>
      <c r="EU131" s="2"/>
      <c r="EV131" s="141"/>
      <c r="EW131" s="310"/>
      <c r="EX131" s="310"/>
      <c r="EY131" s="310"/>
      <c r="EZ131" s="396"/>
      <c r="FA131" s="396"/>
      <c r="FB131" s="310"/>
      <c r="FC131" s="310"/>
      <c r="FD131" s="310"/>
      <c r="FE131" s="396"/>
      <c r="FF131" s="396"/>
      <c r="FG131" s="396"/>
      <c r="FH131" s="311"/>
      <c r="FI131" s="310"/>
      <c r="FJ131" s="296" t="e">
        <f t="shared" ref="FJ131:FJ138" si="780">FH131/FE131</f>
        <v>#DIV/0!</v>
      </c>
      <c r="FK131" s="353"/>
      <c r="FL131" s="353"/>
      <c r="FM131" s="353"/>
      <c r="FN131" s="388"/>
      <c r="FO131" s="388"/>
      <c r="FP131" s="353"/>
      <c r="FQ131" s="353"/>
      <c r="FR131" s="353"/>
      <c r="FS131" s="388"/>
      <c r="FT131" s="388"/>
      <c r="FU131" s="388"/>
      <c r="FV131" s="353"/>
      <c r="FW131" s="353">
        <f t="shared" si="391"/>
        <v>0</v>
      </c>
      <c r="FX131" s="310"/>
      <c r="FY131" s="310"/>
      <c r="FZ131" s="310"/>
      <c r="GA131" s="396"/>
      <c r="GB131" s="396"/>
      <c r="GC131" s="310"/>
      <c r="GD131" s="310"/>
      <c r="GE131" s="310"/>
      <c r="GF131" s="396"/>
      <c r="GG131" s="396"/>
      <c r="GH131" s="396"/>
      <c r="GI131" s="311"/>
      <c r="GJ131" s="344"/>
      <c r="GK131" s="303" t="e">
        <f t="shared" si="368"/>
        <v>#DIV/0!</v>
      </c>
    </row>
    <row r="132" spans="2:193" s="37" customFormat="1" ht="16.149999999999999" hidden="1" customHeight="1" x14ac:dyDescent="0.25">
      <c r="B132" s="29"/>
      <c r="C132" s="30"/>
      <c r="D132" s="30"/>
      <c r="E132" s="493"/>
      <c r="F132" s="29"/>
      <c r="G132" s="30"/>
      <c r="H132" s="30"/>
      <c r="I132" s="729" t="s">
        <v>266</v>
      </c>
      <c r="J132" s="730"/>
      <c r="K132" s="730"/>
      <c r="L132" s="154">
        <f>L131</f>
        <v>8075</v>
      </c>
      <c r="M132" s="493"/>
      <c r="N132" s="18" t="s">
        <v>246</v>
      </c>
      <c r="O132" s="128"/>
      <c r="P132" s="128">
        <f t="shared" si="388"/>
        <v>0</v>
      </c>
      <c r="Q132" s="128"/>
      <c r="R132" s="128"/>
      <c r="S132" s="128"/>
      <c r="T132" s="128"/>
      <c r="U132" s="128"/>
      <c r="V132" s="2">
        <f t="shared" si="369"/>
        <v>0</v>
      </c>
      <c r="W132" s="2"/>
      <c r="X132" s="23">
        <f t="shared" si="605"/>
        <v>0</v>
      </c>
      <c r="Y132" s="2"/>
      <c r="Z132" s="2"/>
      <c r="AA132" s="2"/>
      <c r="AB132" s="567">
        <f t="shared" si="759"/>
        <v>0</v>
      </c>
      <c r="AC132" s="567"/>
      <c r="AD132" s="573">
        <f t="shared" si="606"/>
        <v>0</v>
      </c>
      <c r="AE132" s="567"/>
      <c r="AF132" s="567"/>
      <c r="AG132" s="567"/>
      <c r="AH132" s="573"/>
      <c r="AI132" s="567">
        <f t="shared" si="760"/>
        <v>0</v>
      </c>
      <c r="AJ132" s="567"/>
      <c r="AK132" s="573"/>
      <c r="AL132" s="567"/>
      <c r="AM132" s="573"/>
      <c r="AN132" s="567">
        <f t="shared" si="761"/>
        <v>0</v>
      </c>
      <c r="AO132" s="567"/>
      <c r="AP132" s="573"/>
      <c r="AQ132" s="567"/>
      <c r="AR132" s="573"/>
      <c r="AS132" s="567">
        <f t="shared" si="762"/>
        <v>0</v>
      </c>
      <c r="AT132" s="567"/>
      <c r="AU132" s="573"/>
      <c r="AV132" s="567"/>
      <c r="AW132" s="567"/>
      <c r="AX132" s="425"/>
      <c r="AY132" s="567">
        <f t="shared" si="763"/>
        <v>0</v>
      </c>
      <c r="AZ132" s="567"/>
      <c r="BA132" s="567">
        <f t="shared" si="764"/>
        <v>0</v>
      </c>
      <c r="BB132" s="567"/>
      <c r="BC132" s="567"/>
      <c r="BD132" s="567"/>
      <c r="BE132" s="567"/>
      <c r="BF132" s="567">
        <f t="shared" si="370"/>
        <v>0</v>
      </c>
      <c r="BG132" s="567">
        <f t="shared" si="371"/>
        <v>0</v>
      </c>
      <c r="BH132" s="567">
        <f t="shared" si="372"/>
        <v>0</v>
      </c>
      <c r="BI132" s="567">
        <f t="shared" si="373"/>
        <v>0</v>
      </c>
      <c r="BJ132" s="567">
        <f t="shared" si="374"/>
        <v>0</v>
      </c>
      <c r="BK132" s="567">
        <f t="shared" si="375"/>
        <v>0</v>
      </c>
      <c r="BL132" s="567" t="e">
        <f>#REF!-BE132</f>
        <v>#REF!</v>
      </c>
      <c r="BM132" s="567">
        <f t="shared" si="765"/>
        <v>0</v>
      </c>
      <c r="BN132" s="567"/>
      <c r="BO132" s="567"/>
      <c r="BP132" s="567"/>
      <c r="BQ132" s="567"/>
      <c r="BR132" s="567">
        <f t="shared" si="766"/>
        <v>0</v>
      </c>
      <c r="BS132" s="567"/>
      <c r="BT132" s="567"/>
      <c r="BU132" s="567"/>
      <c r="BV132" s="567"/>
      <c r="BW132" s="567">
        <f t="shared" si="767"/>
        <v>0</v>
      </c>
      <c r="BX132" s="567"/>
      <c r="BY132" s="567">
        <f t="shared" si="376"/>
        <v>0</v>
      </c>
      <c r="BZ132" s="574"/>
      <c r="CA132" s="574"/>
      <c r="CB132" s="567"/>
      <c r="CC132" s="567"/>
      <c r="CD132" s="567">
        <f t="shared" si="768"/>
        <v>0</v>
      </c>
      <c r="CE132" s="567"/>
      <c r="CF132" s="567">
        <f t="shared" si="377"/>
        <v>0</v>
      </c>
      <c r="CG132" s="574"/>
      <c r="CH132" s="574"/>
      <c r="CI132" s="567"/>
      <c r="CJ132" s="567"/>
      <c r="CK132" s="567">
        <f t="shared" si="769"/>
        <v>0</v>
      </c>
      <c r="CL132" s="567"/>
      <c r="CM132" s="567">
        <f t="shared" si="378"/>
        <v>0</v>
      </c>
      <c r="CN132" s="567"/>
      <c r="CO132" s="567"/>
      <c r="CP132" s="567"/>
      <c r="CQ132" s="567"/>
      <c r="CR132" s="573">
        <f t="shared" si="770"/>
        <v>0</v>
      </c>
      <c r="CS132" s="567">
        <f t="shared" si="379"/>
        <v>0</v>
      </c>
      <c r="CT132" s="567">
        <f t="shared" si="380"/>
        <v>0</v>
      </c>
      <c r="CU132" s="567">
        <f t="shared" si="381"/>
        <v>0</v>
      </c>
      <c r="CV132" s="567">
        <f t="shared" si="382"/>
        <v>0</v>
      </c>
      <c r="CW132" s="567">
        <f t="shared" si="771"/>
        <v>0</v>
      </c>
      <c r="CX132" s="567">
        <f t="shared" ca="1" si="477"/>
        <v>0</v>
      </c>
      <c r="CY132" s="567">
        <f t="shared" si="383"/>
        <v>0</v>
      </c>
      <c r="CZ132" s="567">
        <f t="shared" si="384"/>
        <v>0</v>
      </c>
      <c r="DA132" s="567">
        <f t="shared" si="385"/>
        <v>0</v>
      </c>
      <c r="DB132" s="2">
        <f t="shared" si="772"/>
        <v>0</v>
      </c>
      <c r="DC132" s="76"/>
      <c r="DD132" s="253"/>
      <c r="DE132" s="253"/>
      <c r="DF132" s="2">
        <f t="shared" si="773"/>
        <v>0</v>
      </c>
      <c r="DG132" s="2"/>
      <c r="DH132" s="2"/>
      <c r="DI132" s="2"/>
      <c r="DJ132" s="2"/>
      <c r="DK132" s="2">
        <f t="shared" si="774"/>
        <v>0</v>
      </c>
      <c r="DL132" s="2"/>
      <c r="DM132" s="2"/>
      <c r="DN132" s="2"/>
      <c r="DO132" s="2"/>
      <c r="DP132" s="2">
        <f t="shared" si="775"/>
        <v>0</v>
      </c>
      <c r="DQ132" s="2">
        <f t="shared" si="776"/>
        <v>0</v>
      </c>
      <c r="DR132" s="2">
        <f t="shared" si="776"/>
        <v>0</v>
      </c>
      <c r="DS132" s="2">
        <f t="shared" si="776"/>
        <v>0</v>
      </c>
      <c r="DT132" s="2">
        <f t="shared" si="776"/>
        <v>0</v>
      </c>
      <c r="DU132" s="2"/>
      <c r="DV132" s="2"/>
      <c r="DW132" s="2"/>
      <c r="DX132" s="2">
        <f t="shared" ca="1" si="777"/>
        <v>0</v>
      </c>
      <c r="DY132" s="46"/>
      <c r="DZ132" s="2">
        <f t="shared" si="778"/>
        <v>0</v>
      </c>
      <c r="EA132" s="2">
        <f t="shared" si="779"/>
        <v>0</v>
      </c>
      <c r="EB132" s="46"/>
      <c r="EC132" s="2">
        <f>EA132</f>
        <v>0</v>
      </c>
      <c r="ED132" s="2">
        <f ca="1">DX132</f>
        <v>0</v>
      </c>
      <c r="EE132" s="46"/>
      <c r="EF132" s="2"/>
      <c r="EG132" s="46"/>
      <c r="EH132" s="46"/>
      <c r="EI132" s="2">
        <f t="shared" si="357"/>
        <v>0</v>
      </c>
      <c r="EJ132" s="2"/>
      <c r="EK132" s="2">
        <f t="shared" si="386"/>
        <v>0</v>
      </c>
      <c r="EL132" s="432"/>
      <c r="EM132" s="432"/>
      <c r="EN132" s="2"/>
      <c r="EO132" s="2"/>
      <c r="EP132" s="2">
        <f t="shared" si="358"/>
        <v>0</v>
      </c>
      <c r="EQ132" s="2"/>
      <c r="ER132" s="2">
        <f t="shared" si="387"/>
        <v>0</v>
      </c>
      <c r="ES132" s="2"/>
      <c r="ET132" s="2"/>
      <c r="EU132" s="2"/>
      <c r="EV132" s="141"/>
      <c r="EW132" s="310"/>
      <c r="EX132" s="310"/>
      <c r="EY132" s="310"/>
      <c r="EZ132" s="396"/>
      <c r="FA132" s="396"/>
      <c r="FB132" s="310"/>
      <c r="FC132" s="310"/>
      <c r="FD132" s="310"/>
      <c r="FE132" s="396"/>
      <c r="FF132" s="396"/>
      <c r="FG132" s="396"/>
      <c r="FH132" s="311"/>
      <c r="FI132" s="310"/>
      <c r="FJ132" s="296" t="e">
        <f t="shared" si="780"/>
        <v>#DIV/0!</v>
      </c>
      <c r="FK132" s="353"/>
      <c r="FL132" s="353"/>
      <c r="FM132" s="353"/>
      <c r="FN132" s="388"/>
      <c r="FO132" s="388"/>
      <c r="FP132" s="353"/>
      <c r="FQ132" s="353"/>
      <c r="FR132" s="353"/>
      <c r="FS132" s="388"/>
      <c r="FT132" s="388"/>
      <c r="FU132" s="388"/>
      <c r="FV132" s="353"/>
      <c r="FW132" s="353">
        <f t="shared" si="391"/>
        <v>0</v>
      </c>
      <c r="FX132" s="310"/>
      <c r="FY132" s="310"/>
      <c r="FZ132" s="310"/>
      <c r="GA132" s="396"/>
      <c r="GB132" s="396"/>
      <c r="GC132" s="310"/>
      <c r="GD132" s="310"/>
      <c r="GE132" s="310"/>
      <c r="GF132" s="396"/>
      <c r="GG132" s="396"/>
      <c r="GH132" s="396"/>
      <c r="GI132" s="311"/>
      <c r="GJ132" s="344"/>
      <c r="GK132" s="303" t="e">
        <f t="shared" si="368"/>
        <v>#DIV/0!</v>
      </c>
    </row>
    <row r="133" spans="2:193" s="37" customFormat="1" ht="16.149999999999999" customHeight="1" x14ac:dyDescent="0.25">
      <c r="B133" s="29"/>
      <c r="C133" s="30">
        <v>1</v>
      </c>
      <c r="D133" s="30"/>
      <c r="E133" s="493">
        <v>109</v>
      </c>
      <c r="F133" s="29"/>
      <c r="G133" s="30">
        <v>1</v>
      </c>
      <c r="H133" s="30">
        <v>1</v>
      </c>
      <c r="I133" s="737" t="s">
        <v>25</v>
      </c>
      <c r="J133" s="738"/>
      <c r="K133" s="738"/>
      <c r="L133" s="154">
        <f>L43+L46+L49+L119+L122+L125+L129+L132</f>
        <v>22909.91114</v>
      </c>
      <c r="M133" s="493">
        <v>89</v>
      </c>
      <c r="N133" s="494" t="s">
        <v>50</v>
      </c>
      <c r="O133" s="494"/>
      <c r="P133" s="494">
        <f t="shared" si="388"/>
        <v>0</v>
      </c>
      <c r="Q133" s="494" t="s">
        <v>701</v>
      </c>
      <c r="R133" s="494" t="s">
        <v>699</v>
      </c>
      <c r="S133" s="494">
        <v>285</v>
      </c>
      <c r="T133" s="156">
        <v>1</v>
      </c>
      <c r="U133" s="156"/>
      <c r="V133" s="2">
        <f t="shared" si="369"/>
        <v>3932.4</v>
      </c>
      <c r="W133" s="2"/>
      <c r="X133" s="198">
        <f t="shared" si="605"/>
        <v>3932.4</v>
      </c>
      <c r="Y133" s="42"/>
      <c r="Z133" s="42">
        <v>3932.4</v>
      </c>
      <c r="AA133" s="2"/>
      <c r="AB133" s="567">
        <f t="shared" si="759"/>
        <v>3932.4</v>
      </c>
      <c r="AC133" s="567"/>
      <c r="AD133" s="568">
        <f t="shared" si="606"/>
        <v>3932.4</v>
      </c>
      <c r="AE133" s="569"/>
      <c r="AF133" s="569">
        <v>3932.4</v>
      </c>
      <c r="AG133" s="567"/>
      <c r="AH133" s="570"/>
      <c r="AI133" s="567">
        <f t="shared" si="760"/>
        <v>1837.7</v>
      </c>
      <c r="AJ133" s="567"/>
      <c r="AK133" s="568">
        <v>1837.7</v>
      </c>
      <c r="AL133" s="567"/>
      <c r="AM133" s="570"/>
      <c r="AN133" s="567">
        <f t="shared" si="761"/>
        <v>1837.7</v>
      </c>
      <c r="AO133" s="567"/>
      <c r="AP133" s="568">
        <v>1837.7</v>
      </c>
      <c r="AQ133" s="567"/>
      <c r="AR133" s="570"/>
      <c r="AS133" s="567">
        <f t="shared" si="762"/>
        <v>799</v>
      </c>
      <c r="AT133" s="567"/>
      <c r="AU133" s="568">
        <v>799</v>
      </c>
      <c r="AV133" s="567"/>
      <c r="AW133" s="570"/>
      <c r="AX133" s="425" t="s">
        <v>564</v>
      </c>
      <c r="AY133" s="567">
        <f t="shared" si="763"/>
        <v>3932.4</v>
      </c>
      <c r="AZ133" s="567"/>
      <c r="BA133" s="568">
        <f t="shared" si="764"/>
        <v>3932.4</v>
      </c>
      <c r="BB133" s="569"/>
      <c r="BC133" s="569">
        <v>3932.4</v>
      </c>
      <c r="BD133" s="567"/>
      <c r="BE133" s="567"/>
      <c r="BF133" s="567">
        <f t="shared" si="370"/>
        <v>0</v>
      </c>
      <c r="BG133" s="567">
        <f t="shared" si="371"/>
        <v>0</v>
      </c>
      <c r="BH133" s="567">
        <f t="shared" si="372"/>
        <v>0</v>
      </c>
      <c r="BI133" s="567">
        <f t="shared" si="373"/>
        <v>0</v>
      </c>
      <c r="BJ133" s="567">
        <f t="shared" si="374"/>
        <v>0</v>
      </c>
      <c r="BK133" s="567">
        <f t="shared" si="375"/>
        <v>0</v>
      </c>
      <c r="BL133" s="567" t="e">
        <f>#REF!-BE133</f>
        <v>#REF!</v>
      </c>
      <c r="BM133" s="567">
        <f t="shared" si="765"/>
        <v>1837.7</v>
      </c>
      <c r="BN133" s="567"/>
      <c r="BO133" s="568">
        <v>1837.7</v>
      </c>
      <c r="BP133" s="567"/>
      <c r="BQ133" s="567"/>
      <c r="BR133" s="567">
        <f t="shared" si="766"/>
        <v>0</v>
      </c>
      <c r="BS133" s="567"/>
      <c r="BT133" s="567"/>
      <c r="BU133" s="567"/>
      <c r="BV133" s="567"/>
      <c r="BW133" s="567">
        <f>BX133+BY133+CB133+CC133</f>
        <v>2949.3</v>
      </c>
      <c r="BX133" s="567"/>
      <c r="BY133" s="568">
        <f t="shared" si="376"/>
        <v>2949.3</v>
      </c>
      <c r="BZ133" s="571"/>
      <c r="CA133" s="571">
        <v>2949.3</v>
      </c>
      <c r="CB133" s="567"/>
      <c r="CC133" s="567"/>
      <c r="CD133" s="567">
        <f t="shared" si="768"/>
        <v>2949.3</v>
      </c>
      <c r="CE133" s="567"/>
      <c r="CF133" s="568">
        <f t="shared" si="377"/>
        <v>2949.3</v>
      </c>
      <c r="CG133" s="571"/>
      <c r="CH133" s="571">
        <v>2949.3</v>
      </c>
      <c r="CI133" s="567"/>
      <c r="CJ133" s="567"/>
      <c r="CK133" s="567">
        <f t="shared" si="769"/>
        <v>440.70006000000001</v>
      </c>
      <c r="CL133" s="567"/>
      <c r="CM133" s="567">
        <f t="shared" si="378"/>
        <v>440.70006000000001</v>
      </c>
      <c r="CN133" s="567"/>
      <c r="CO133" s="567">
        <v>440.70006000000001</v>
      </c>
      <c r="CP133" s="567"/>
      <c r="CQ133" s="567"/>
      <c r="CR133" s="573">
        <f t="shared" si="770"/>
        <v>3390.0000600000003</v>
      </c>
      <c r="CS133" s="567">
        <f t="shared" si="379"/>
        <v>3390.0000600000003</v>
      </c>
      <c r="CT133" s="567">
        <f t="shared" si="380"/>
        <v>0</v>
      </c>
      <c r="CU133" s="567">
        <f t="shared" si="381"/>
        <v>3390.0000600000003</v>
      </c>
      <c r="CV133" s="567">
        <f t="shared" si="382"/>
        <v>0</v>
      </c>
      <c r="CW133" s="567">
        <f t="shared" si="771"/>
        <v>0</v>
      </c>
      <c r="CX133" s="567">
        <f t="shared" ca="1" si="477"/>
        <v>0</v>
      </c>
      <c r="CY133" s="567">
        <f t="shared" si="383"/>
        <v>0</v>
      </c>
      <c r="CZ133" s="567">
        <f t="shared" si="384"/>
        <v>0</v>
      </c>
      <c r="DA133" s="567">
        <f t="shared" si="385"/>
        <v>0</v>
      </c>
      <c r="DB133" s="2">
        <f t="shared" si="772"/>
        <v>0</v>
      </c>
      <c r="DC133" s="76"/>
      <c r="DD133" s="545">
        <f>BM133+BM135</f>
        <v>5937.7</v>
      </c>
      <c r="DE133" s="545">
        <f>DD133-BR135</f>
        <v>5937.7</v>
      </c>
      <c r="DF133" s="2">
        <f t="shared" si="773"/>
        <v>0</v>
      </c>
      <c r="DG133" s="2"/>
      <c r="DH133" s="2"/>
      <c r="DI133" s="2"/>
      <c r="DJ133" s="2"/>
      <c r="DK133" s="2">
        <f t="shared" si="774"/>
        <v>0</v>
      </c>
      <c r="DL133" s="2"/>
      <c r="DM133" s="2"/>
      <c r="DN133" s="2"/>
      <c r="DO133" s="2"/>
      <c r="DP133" s="2">
        <f t="shared" si="775"/>
        <v>0</v>
      </c>
      <c r="DQ133" s="2">
        <f t="shared" si="776"/>
        <v>0</v>
      </c>
      <c r="DR133" s="2">
        <f t="shared" si="776"/>
        <v>0</v>
      </c>
      <c r="DS133" s="2">
        <f t="shared" si="776"/>
        <v>0</v>
      </c>
      <c r="DT133" s="2">
        <f t="shared" si="776"/>
        <v>0</v>
      </c>
      <c r="DU133" s="2"/>
      <c r="DV133" s="2"/>
      <c r="DW133" s="2"/>
      <c r="DX133" s="2">
        <f t="shared" ca="1" si="777"/>
        <v>0</v>
      </c>
      <c r="DY133" s="46"/>
      <c r="DZ133" s="2">
        <f t="shared" si="778"/>
        <v>2949.3</v>
      </c>
      <c r="EA133" s="2">
        <f t="shared" si="779"/>
        <v>2949.3</v>
      </c>
      <c r="EB133" s="46"/>
      <c r="EC133" s="546">
        <f>EA133+EA135</f>
        <v>5421.8</v>
      </c>
      <c r="ED133" s="546">
        <f ca="1">DX133+DX135</f>
        <v>0</v>
      </c>
      <c r="EE133" s="46"/>
      <c r="EF133" s="2">
        <f>DE133-EC133</f>
        <v>515.89999999999964</v>
      </c>
      <c r="EG133" s="46"/>
      <c r="EH133" s="46"/>
      <c r="EI133" s="2">
        <f t="shared" si="357"/>
        <v>2949.3</v>
      </c>
      <c r="EJ133" s="2"/>
      <c r="EK133" s="198">
        <f t="shared" si="386"/>
        <v>2949.3</v>
      </c>
      <c r="EL133" s="446"/>
      <c r="EM133" s="446">
        <v>2949.3</v>
      </c>
      <c r="EN133" s="2"/>
      <c r="EO133" s="2"/>
      <c r="EP133" s="2">
        <f t="shared" si="358"/>
        <v>440.70006000000001</v>
      </c>
      <c r="EQ133" s="2"/>
      <c r="ER133" s="2">
        <f t="shared" si="387"/>
        <v>440.70006000000001</v>
      </c>
      <c r="ES133" s="2"/>
      <c r="ET133" s="2">
        <v>440.70006000000001</v>
      </c>
      <c r="EU133" s="2"/>
      <c r="EV133" s="141"/>
      <c r="EW133" s="310"/>
      <c r="EX133" s="310"/>
      <c r="EY133" s="310"/>
      <c r="EZ133" s="396"/>
      <c r="FA133" s="396"/>
      <c r="FB133" s="310"/>
      <c r="FC133" s="310"/>
      <c r="FD133" s="310"/>
      <c r="FE133" s="396"/>
      <c r="FF133" s="396"/>
      <c r="FG133" s="396"/>
      <c r="FH133" s="311"/>
      <c r="FI133" s="310"/>
      <c r="FJ133" s="296" t="e">
        <f t="shared" si="780"/>
        <v>#DIV/0!</v>
      </c>
      <c r="FK133" s="353">
        <f t="shared" si="389"/>
        <v>3193.1235999999999</v>
      </c>
      <c r="FL133" s="353">
        <v>3193.1235999999999</v>
      </c>
      <c r="FM133" s="353"/>
      <c r="FN133" s="388">
        <f t="shared" ref="FN133:FN138" si="781">FL133/FK133</f>
        <v>1</v>
      </c>
      <c r="FO133" s="388">
        <f t="shared" ref="FO133:FO138" si="782">FM133/FK133</f>
        <v>0</v>
      </c>
      <c r="FP133" s="353">
        <f t="shared" si="390"/>
        <v>3390.0000600000003</v>
      </c>
      <c r="FQ133" s="353">
        <f t="shared" ref="FQ133:FQ138" si="783">EK133</f>
        <v>2949.3</v>
      </c>
      <c r="FR133" s="353">
        <f t="shared" ref="FR133:FR138" si="784">ER133</f>
        <v>440.70006000000001</v>
      </c>
      <c r="FS133" s="388">
        <f t="shared" ref="FS133:FS138" si="785">FQ133/FP133</f>
        <v>0.86999998460177019</v>
      </c>
      <c r="FT133" s="388">
        <f t="shared" ref="FT133:FT138" si="786">FR133/FP133</f>
        <v>0.13000001539822981</v>
      </c>
      <c r="FU133" s="388"/>
      <c r="FV133" s="353">
        <f t="shared" ref="FV133:FV138" si="787">FP133*FN133</f>
        <v>3390.0000600000003</v>
      </c>
      <c r="FW133" s="353">
        <f t="shared" si="391"/>
        <v>-440.70006000000012</v>
      </c>
      <c r="FX133" s="310"/>
      <c r="FY133" s="310"/>
      <c r="FZ133" s="310"/>
      <c r="GA133" s="396"/>
      <c r="GB133" s="396"/>
      <c r="GC133" s="310"/>
      <c r="GD133" s="310"/>
      <c r="GE133" s="310"/>
      <c r="GF133" s="396"/>
      <c r="GG133" s="396"/>
      <c r="GH133" s="396"/>
      <c r="GI133" s="311"/>
      <c r="GJ133" s="344"/>
      <c r="GK133" s="303">
        <f t="shared" si="368"/>
        <v>0.75</v>
      </c>
    </row>
    <row r="134" spans="2:193" s="37" customFormat="1" ht="16.149999999999999" customHeight="1" x14ac:dyDescent="0.25">
      <c r="B134" s="29"/>
      <c r="C134" s="30"/>
      <c r="D134" s="30">
        <v>1</v>
      </c>
      <c r="E134" s="493">
        <v>110</v>
      </c>
      <c r="F134" s="29"/>
      <c r="G134" s="30"/>
      <c r="H134" s="30"/>
      <c r="I134" s="737" t="s">
        <v>277</v>
      </c>
      <c r="J134" s="738"/>
      <c r="K134" s="738"/>
      <c r="L134" s="738"/>
      <c r="M134" s="493">
        <v>90</v>
      </c>
      <c r="N134" s="494" t="s">
        <v>222</v>
      </c>
      <c r="O134" s="494"/>
      <c r="P134" s="494">
        <f t="shared" si="388"/>
        <v>0</v>
      </c>
      <c r="Q134" s="494" t="s">
        <v>701</v>
      </c>
      <c r="R134" s="494" t="s">
        <v>699</v>
      </c>
      <c r="S134" s="494" t="s">
        <v>577</v>
      </c>
      <c r="T134" s="156">
        <v>2</v>
      </c>
      <c r="U134" s="493">
        <v>1</v>
      </c>
      <c r="V134" s="2">
        <f t="shared" si="369"/>
        <v>7186.1</v>
      </c>
      <c r="W134" s="198"/>
      <c r="X134" s="2">
        <f t="shared" si="605"/>
        <v>7186.1</v>
      </c>
      <c r="Y134" s="2">
        <v>5283.5</v>
      </c>
      <c r="Z134" s="2">
        <v>1902.6</v>
      </c>
      <c r="AA134" s="234"/>
      <c r="AB134" s="567">
        <f t="shared" si="759"/>
        <v>7186.1</v>
      </c>
      <c r="AC134" s="568"/>
      <c r="AD134" s="567">
        <f t="shared" si="606"/>
        <v>7186.1</v>
      </c>
      <c r="AE134" s="567">
        <v>5283.5</v>
      </c>
      <c r="AF134" s="567">
        <v>1902.6</v>
      </c>
      <c r="AG134" s="570"/>
      <c r="AH134" s="570"/>
      <c r="AI134" s="567">
        <f t="shared" si="760"/>
        <v>770.5</v>
      </c>
      <c r="AJ134" s="568"/>
      <c r="AK134" s="567">
        <v>770.5</v>
      </c>
      <c r="AL134" s="570"/>
      <c r="AM134" s="570"/>
      <c r="AN134" s="567">
        <f t="shared" si="761"/>
        <v>770.5</v>
      </c>
      <c r="AO134" s="568"/>
      <c r="AP134" s="567">
        <v>770.5</v>
      </c>
      <c r="AQ134" s="570"/>
      <c r="AR134" s="570"/>
      <c r="AS134" s="567">
        <f t="shared" si="762"/>
        <v>335</v>
      </c>
      <c r="AT134" s="568"/>
      <c r="AU134" s="567">
        <v>335</v>
      </c>
      <c r="AV134" s="570"/>
      <c r="AW134" s="570"/>
      <c r="AX134" s="425" t="s">
        <v>667</v>
      </c>
      <c r="AY134" s="567">
        <f t="shared" si="763"/>
        <v>7106.8230199999998</v>
      </c>
      <c r="AZ134" s="567"/>
      <c r="BA134" s="567">
        <f t="shared" si="764"/>
        <v>7106.8230199999998</v>
      </c>
      <c r="BB134" s="567">
        <f>5218.7044-14.48138</f>
        <v>5204.2230199999995</v>
      </c>
      <c r="BC134" s="567">
        <v>1902.6</v>
      </c>
      <c r="BD134" s="567"/>
      <c r="BE134" s="567"/>
      <c r="BF134" s="567">
        <f t="shared" si="370"/>
        <v>79.276980000000549</v>
      </c>
      <c r="BG134" s="567">
        <f t="shared" si="371"/>
        <v>0</v>
      </c>
      <c r="BH134" s="567">
        <f t="shared" si="372"/>
        <v>79.276980000000549</v>
      </c>
      <c r="BI134" s="567">
        <f t="shared" si="373"/>
        <v>79.276980000000549</v>
      </c>
      <c r="BJ134" s="567">
        <f t="shared" si="374"/>
        <v>0</v>
      </c>
      <c r="BK134" s="567">
        <f t="shared" si="375"/>
        <v>0</v>
      </c>
      <c r="BL134" s="567" t="e">
        <f>#REF!-BE134</f>
        <v>#REF!</v>
      </c>
      <c r="BM134" s="567">
        <f t="shared" si="765"/>
        <v>770.5</v>
      </c>
      <c r="BN134" s="567"/>
      <c r="BO134" s="567">
        <f>335+435.5</f>
        <v>770.5</v>
      </c>
      <c r="BP134" s="567"/>
      <c r="BQ134" s="567"/>
      <c r="BR134" s="567">
        <f t="shared" si="766"/>
        <v>0</v>
      </c>
      <c r="BS134" s="567"/>
      <c r="BT134" s="567"/>
      <c r="BU134" s="567"/>
      <c r="BV134" s="567"/>
      <c r="BW134" s="567">
        <f t="shared" si="767"/>
        <v>6441.3291300000001</v>
      </c>
      <c r="BX134" s="567"/>
      <c r="BY134" s="567">
        <f t="shared" si="376"/>
        <v>6441.3291300000001</v>
      </c>
      <c r="BZ134" s="574">
        <f>3741.75547+1339.48766</f>
        <v>5081.2431299999998</v>
      </c>
      <c r="CA134" s="574">
        <v>1360.086</v>
      </c>
      <c r="CB134" s="567"/>
      <c r="CC134" s="567"/>
      <c r="CD134" s="567">
        <f t="shared" si="768"/>
        <v>6441.3291300000001</v>
      </c>
      <c r="CE134" s="567"/>
      <c r="CF134" s="567">
        <f t="shared" si="377"/>
        <v>6441.3291300000001</v>
      </c>
      <c r="CG134" s="574">
        <f>3741.75547+1339.48766</f>
        <v>5081.2431299999998</v>
      </c>
      <c r="CH134" s="574">
        <v>1360.086</v>
      </c>
      <c r="CI134" s="567"/>
      <c r="CJ134" s="567"/>
      <c r="CK134" s="567">
        <f t="shared" si="769"/>
        <v>637.05507999999998</v>
      </c>
      <c r="CL134" s="567"/>
      <c r="CM134" s="567">
        <v>637.05507999999998</v>
      </c>
      <c r="CN134" s="567">
        <v>370.06373000000002</v>
      </c>
      <c r="CO134" s="567">
        <v>134.51455000000001</v>
      </c>
      <c r="CP134" s="567"/>
      <c r="CQ134" s="567"/>
      <c r="CR134" s="573">
        <f t="shared" si="770"/>
        <v>7078.3842100000002</v>
      </c>
      <c r="CS134" s="567">
        <f t="shared" si="379"/>
        <v>7078.3842100000002</v>
      </c>
      <c r="CT134" s="567">
        <f t="shared" si="380"/>
        <v>0</v>
      </c>
      <c r="CU134" s="567">
        <f t="shared" si="381"/>
        <v>7078.3842100000002</v>
      </c>
      <c r="CV134" s="567">
        <f t="shared" si="382"/>
        <v>0</v>
      </c>
      <c r="CW134" s="567">
        <f t="shared" si="771"/>
        <v>0</v>
      </c>
      <c r="CX134" s="567">
        <f t="shared" ca="1" si="477"/>
        <v>0</v>
      </c>
      <c r="CY134" s="567">
        <f t="shared" si="383"/>
        <v>0</v>
      </c>
      <c r="CZ134" s="567">
        <f t="shared" si="384"/>
        <v>0</v>
      </c>
      <c r="DA134" s="567">
        <f t="shared" si="385"/>
        <v>0</v>
      </c>
      <c r="DB134" s="2">
        <f t="shared" si="772"/>
        <v>0</v>
      </c>
      <c r="DC134" s="76"/>
      <c r="DD134" s="253">
        <f>BM130-DD131-DD133</f>
        <v>3187.8</v>
      </c>
      <c r="DE134" s="253">
        <f>DD134-BR137</f>
        <v>3187.8</v>
      </c>
      <c r="DF134" s="2">
        <f t="shared" si="773"/>
        <v>0</v>
      </c>
      <c r="DG134" s="2"/>
      <c r="DH134" s="2"/>
      <c r="DI134" s="2"/>
      <c r="DJ134" s="2"/>
      <c r="DK134" s="2">
        <f t="shared" si="774"/>
        <v>0</v>
      </c>
      <c r="DL134" s="2"/>
      <c r="DM134" s="2"/>
      <c r="DN134" s="2"/>
      <c r="DO134" s="2"/>
      <c r="DP134" s="2">
        <f t="shared" si="775"/>
        <v>0</v>
      </c>
      <c r="DQ134" s="2">
        <f t="shared" si="776"/>
        <v>0</v>
      </c>
      <c r="DR134" s="2">
        <f t="shared" si="776"/>
        <v>0</v>
      </c>
      <c r="DS134" s="2">
        <f t="shared" si="776"/>
        <v>0</v>
      </c>
      <c r="DT134" s="2">
        <f t="shared" si="776"/>
        <v>0</v>
      </c>
      <c r="DU134" s="2"/>
      <c r="DV134" s="2"/>
      <c r="DW134" s="2"/>
      <c r="DX134" s="2">
        <f t="shared" ca="1" si="777"/>
        <v>0</v>
      </c>
      <c r="DY134" s="46"/>
      <c r="DZ134" s="2">
        <f t="shared" si="778"/>
        <v>6441.3291300000001</v>
      </c>
      <c r="EA134" s="2">
        <f t="shared" si="779"/>
        <v>6441.3291300000001</v>
      </c>
      <c r="EB134" s="46"/>
      <c r="EC134" s="2">
        <f>EA134+EA136+EA137+EA138</f>
        <v>9612.4252899999992</v>
      </c>
      <c r="ED134" s="2">
        <f ca="1">DX134+DX136+DX137+DX138</f>
        <v>0</v>
      </c>
      <c r="EE134" s="46"/>
      <c r="EF134" s="2">
        <f>DE134-EC134</f>
        <v>-6424.625289999999</v>
      </c>
      <c r="EG134" s="46"/>
      <c r="EH134" s="46"/>
      <c r="EI134" s="2">
        <f t="shared" si="357"/>
        <v>6441.3291300000001</v>
      </c>
      <c r="EJ134" s="2"/>
      <c r="EK134" s="2">
        <f t="shared" si="386"/>
        <v>6441.3291300000001</v>
      </c>
      <c r="EL134" s="432">
        <f>3741.75547+1339.48766</f>
        <v>5081.2431299999998</v>
      </c>
      <c r="EM134" s="432">
        <v>1360.086</v>
      </c>
      <c r="EN134" s="2"/>
      <c r="EO134" s="2"/>
      <c r="EP134" s="2">
        <f t="shared" si="358"/>
        <v>637.05507999999998</v>
      </c>
      <c r="EQ134" s="2"/>
      <c r="ER134" s="2">
        <v>637.05507999999998</v>
      </c>
      <c r="ES134" s="2">
        <f>370.06373+132.4768</f>
        <v>502.54052999999999</v>
      </c>
      <c r="ET134" s="2">
        <v>134.51455000000001</v>
      </c>
      <c r="EU134" s="2"/>
      <c r="EV134" s="141"/>
      <c r="EW134" s="310"/>
      <c r="EX134" s="310"/>
      <c r="EY134" s="310"/>
      <c r="EZ134" s="396"/>
      <c r="FA134" s="396"/>
      <c r="FB134" s="310"/>
      <c r="FC134" s="310"/>
      <c r="FD134" s="310"/>
      <c r="FE134" s="396"/>
      <c r="FF134" s="396"/>
      <c r="FG134" s="396"/>
      <c r="FH134" s="311"/>
      <c r="FI134" s="310"/>
      <c r="FJ134" s="296" t="e">
        <f t="shared" si="780"/>
        <v>#DIV/0!</v>
      </c>
      <c r="FK134" s="353">
        <f t="shared" si="389"/>
        <v>7106.8230199999998</v>
      </c>
      <c r="FL134" s="353">
        <f t="shared" ref="FL134:FL140" si="788">BA134</f>
        <v>7106.8230199999998</v>
      </c>
      <c r="FM134" s="353"/>
      <c r="FN134" s="388"/>
      <c r="FO134" s="388"/>
      <c r="FP134" s="353">
        <f t="shared" si="390"/>
        <v>7078.3842100000002</v>
      </c>
      <c r="FQ134" s="353">
        <f t="shared" si="783"/>
        <v>6441.3291300000001</v>
      </c>
      <c r="FR134" s="353">
        <f t="shared" si="784"/>
        <v>637.05507999999998</v>
      </c>
      <c r="FS134" s="388"/>
      <c r="FT134" s="388"/>
      <c r="FU134" s="388"/>
      <c r="FV134" s="353">
        <f t="shared" si="787"/>
        <v>0</v>
      </c>
      <c r="FW134" s="353">
        <f t="shared" si="391"/>
        <v>6441.3291300000001</v>
      </c>
      <c r="FX134" s="310"/>
      <c r="FY134" s="310"/>
      <c r="FZ134" s="310"/>
      <c r="GA134" s="396"/>
      <c r="GB134" s="396"/>
      <c r="GC134" s="310"/>
      <c r="GD134" s="310"/>
      <c r="GE134" s="310"/>
      <c r="GF134" s="396"/>
      <c r="GG134" s="396"/>
      <c r="GH134" s="396"/>
      <c r="GI134" s="311"/>
      <c r="GJ134" s="344"/>
      <c r="GK134" s="303">
        <f t="shared" si="368"/>
        <v>0.89635951767996547</v>
      </c>
    </row>
    <row r="135" spans="2:193" s="37" customFormat="1" ht="16.149999999999999" customHeight="1" x14ac:dyDescent="0.25">
      <c r="B135" s="29"/>
      <c r="C135" s="30">
        <v>1</v>
      </c>
      <c r="D135" s="30"/>
      <c r="E135" s="493">
        <v>111</v>
      </c>
      <c r="F135" s="29"/>
      <c r="G135" s="30"/>
      <c r="H135" s="30">
        <v>1</v>
      </c>
      <c r="I135" s="744" t="s">
        <v>278</v>
      </c>
      <c r="J135" s="744"/>
      <c r="K135" s="744"/>
      <c r="L135" s="154">
        <f>L129</f>
        <v>14834.91114</v>
      </c>
      <c r="M135" s="493">
        <v>91</v>
      </c>
      <c r="N135" s="494" t="s">
        <v>221</v>
      </c>
      <c r="O135" s="494"/>
      <c r="P135" s="494">
        <f t="shared" si="388"/>
        <v>0</v>
      </c>
      <c r="Q135" s="494"/>
      <c r="R135" s="494"/>
      <c r="S135" s="494">
        <v>331</v>
      </c>
      <c r="T135" s="156">
        <v>1</v>
      </c>
      <c r="U135" s="493">
        <v>1</v>
      </c>
      <c r="V135" s="2">
        <f t="shared" si="369"/>
        <v>2472.5</v>
      </c>
      <c r="W135" s="2"/>
      <c r="X135" s="198">
        <f t="shared" si="605"/>
        <v>2472.5</v>
      </c>
      <c r="Y135" s="42"/>
      <c r="Z135" s="42">
        <v>2472.5</v>
      </c>
      <c r="AA135" s="2"/>
      <c r="AB135" s="567">
        <f t="shared" si="759"/>
        <v>2472.5</v>
      </c>
      <c r="AC135" s="567"/>
      <c r="AD135" s="568">
        <f t="shared" si="606"/>
        <v>2472.5</v>
      </c>
      <c r="AE135" s="569"/>
      <c r="AF135" s="569">
        <v>2472.5</v>
      </c>
      <c r="AG135" s="567"/>
      <c r="AH135" s="573"/>
      <c r="AI135" s="567">
        <f t="shared" si="760"/>
        <v>4100</v>
      </c>
      <c r="AJ135" s="567"/>
      <c r="AK135" s="568">
        <v>0</v>
      </c>
      <c r="AL135" s="567">
        <v>4100</v>
      </c>
      <c r="AM135" s="573"/>
      <c r="AN135" s="567">
        <f t="shared" si="761"/>
        <v>4100</v>
      </c>
      <c r="AO135" s="567"/>
      <c r="AP135" s="568">
        <v>0</v>
      </c>
      <c r="AQ135" s="567">
        <v>4100</v>
      </c>
      <c r="AR135" s="573"/>
      <c r="AS135" s="567">
        <f t="shared" si="762"/>
        <v>4497</v>
      </c>
      <c r="AT135" s="567"/>
      <c r="AU135" s="568">
        <v>397</v>
      </c>
      <c r="AV135" s="567">
        <v>4100</v>
      </c>
      <c r="AW135" s="567"/>
      <c r="AX135" s="409" t="s">
        <v>679</v>
      </c>
      <c r="AY135" s="567">
        <f t="shared" si="763"/>
        <v>2472.5</v>
      </c>
      <c r="AZ135" s="567"/>
      <c r="BA135" s="568">
        <f t="shared" si="764"/>
        <v>2472.5</v>
      </c>
      <c r="BB135" s="568"/>
      <c r="BC135" s="569">
        <v>2472.5</v>
      </c>
      <c r="BD135" s="567"/>
      <c r="BE135" s="567"/>
      <c r="BF135" s="567">
        <f t="shared" si="370"/>
        <v>0</v>
      </c>
      <c r="BG135" s="567">
        <f t="shared" si="371"/>
        <v>0</v>
      </c>
      <c r="BH135" s="567">
        <f t="shared" si="372"/>
        <v>0</v>
      </c>
      <c r="BI135" s="567">
        <f t="shared" si="373"/>
        <v>0</v>
      </c>
      <c r="BJ135" s="567">
        <f t="shared" si="374"/>
        <v>0</v>
      </c>
      <c r="BK135" s="567">
        <f t="shared" si="375"/>
        <v>0</v>
      </c>
      <c r="BL135" s="567" t="e">
        <f>#REF!-BE135</f>
        <v>#REF!</v>
      </c>
      <c r="BM135" s="567">
        <f t="shared" si="765"/>
        <v>4100</v>
      </c>
      <c r="BN135" s="567"/>
      <c r="BO135" s="568"/>
      <c r="BP135" s="567">
        <v>4100</v>
      </c>
      <c r="BQ135" s="567"/>
      <c r="BR135" s="567">
        <f t="shared" si="766"/>
        <v>0</v>
      </c>
      <c r="BS135" s="567"/>
      <c r="BT135" s="567"/>
      <c r="BU135" s="567"/>
      <c r="BV135" s="567"/>
      <c r="BW135" s="567">
        <f t="shared" si="767"/>
        <v>2472.5</v>
      </c>
      <c r="BX135" s="567"/>
      <c r="BY135" s="577">
        <f t="shared" si="376"/>
        <v>2472.5</v>
      </c>
      <c r="BZ135" s="601"/>
      <c r="CA135" s="601">
        <f>1650.36553+205.13123+203.67016+204.82096+208.51212</f>
        <v>2472.5</v>
      </c>
      <c r="CB135" s="567"/>
      <c r="CC135" s="567"/>
      <c r="CD135" s="567">
        <f t="shared" si="768"/>
        <v>2472.5</v>
      </c>
      <c r="CE135" s="567"/>
      <c r="CF135" s="577">
        <f t="shared" si="377"/>
        <v>2472.5</v>
      </c>
      <c r="CG135" s="601"/>
      <c r="CH135" s="601">
        <f>1650.36553+205.13123+203.67016+204.82096+208.51212</f>
        <v>2472.5</v>
      </c>
      <c r="CI135" s="567"/>
      <c r="CJ135" s="567"/>
      <c r="CK135" s="567">
        <f t="shared" si="769"/>
        <v>2724.9904000000001</v>
      </c>
      <c r="CL135" s="567"/>
      <c r="CM135" s="567">
        <v>2724.9904000000001</v>
      </c>
      <c r="CN135" s="567"/>
      <c r="CO135" s="567">
        <v>1818.8999899999999</v>
      </c>
      <c r="CP135" s="567"/>
      <c r="CQ135" s="567"/>
      <c r="CR135" s="573">
        <f t="shared" si="770"/>
        <v>5197.4904000000006</v>
      </c>
      <c r="CS135" s="567">
        <f t="shared" si="379"/>
        <v>5197.4904000000006</v>
      </c>
      <c r="CT135" s="567">
        <f t="shared" si="380"/>
        <v>0</v>
      </c>
      <c r="CU135" s="567">
        <f t="shared" si="381"/>
        <v>5197.4904000000006</v>
      </c>
      <c r="CV135" s="567">
        <f t="shared" si="382"/>
        <v>0</v>
      </c>
      <c r="CW135" s="567">
        <f t="shared" si="771"/>
        <v>0</v>
      </c>
      <c r="CX135" s="567">
        <f t="shared" ca="1" si="477"/>
        <v>0</v>
      </c>
      <c r="CY135" s="567">
        <f t="shared" si="383"/>
        <v>0</v>
      </c>
      <c r="CZ135" s="567">
        <f t="shared" si="384"/>
        <v>0</v>
      </c>
      <c r="DA135" s="567">
        <f t="shared" si="385"/>
        <v>0</v>
      </c>
      <c r="DB135" s="2">
        <f t="shared" si="772"/>
        <v>0</v>
      </c>
      <c r="DC135" s="76"/>
      <c r="DD135" s="253"/>
      <c r="DE135" s="253"/>
      <c r="DF135" s="2">
        <f t="shared" si="773"/>
        <v>0</v>
      </c>
      <c r="DG135" s="2"/>
      <c r="DH135" s="2"/>
      <c r="DI135" s="2"/>
      <c r="DJ135" s="2"/>
      <c r="DK135" s="2">
        <f t="shared" si="774"/>
        <v>0</v>
      </c>
      <c r="DL135" s="2"/>
      <c r="DM135" s="2"/>
      <c r="DN135" s="2"/>
      <c r="DO135" s="2"/>
      <c r="DP135" s="2">
        <f t="shared" si="775"/>
        <v>0</v>
      </c>
      <c r="DQ135" s="2">
        <f t="shared" si="776"/>
        <v>0</v>
      </c>
      <c r="DR135" s="2">
        <f t="shared" si="776"/>
        <v>0</v>
      </c>
      <c r="DS135" s="2">
        <f t="shared" si="776"/>
        <v>0</v>
      </c>
      <c r="DT135" s="2">
        <f t="shared" si="776"/>
        <v>0</v>
      </c>
      <c r="DU135" s="2"/>
      <c r="DV135" s="2"/>
      <c r="DW135" s="2"/>
      <c r="DX135" s="2">
        <f t="shared" ca="1" si="777"/>
        <v>0</v>
      </c>
      <c r="DY135" s="46"/>
      <c r="DZ135" s="2">
        <f t="shared" si="778"/>
        <v>2472.5</v>
      </c>
      <c r="EA135" s="2">
        <f t="shared" si="779"/>
        <v>2472.5</v>
      </c>
      <c r="EB135" s="46"/>
      <c r="EC135" s="2"/>
      <c r="ED135" s="2"/>
      <c r="EE135" s="46"/>
      <c r="EF135" s="2"/>
      <c r="EG135" s="46"/>
      <c r="EH135" s="46"/>
      <c r="EI135" s="2">
        <f t="shared" si="357"/>
        <v>2472.5</v>
      </c>
      <c r="EJ135" s="2"/>
      <c r="EK135" s="236">
        <f t="shared" si="386"/>
        <v>2472.5</v>
      </c>
      <c r="EL135" s="499"/>
      <c r="EM135" s="499">
        <f>1650.36553+205.13123+203.67016+204.82096+208.51212</f>
        <v>2472.5</v>
      </c>
      <c r="EN135" s="2"/>
      <c r="EO135" s="2"/>
      <c r="EP135" s="2">
        <f t="shared" si="358"/>
        <v>2724.9904000000001</v>
      </c>
      <c r="EQ135" s="2"/>
      <c r="ER135" s="2">
        <v>2724.9904000000001</v>
      </c>
      <c r="ES135" s="2"/>
      <c r="ET135" s="2">
        <f>1818.89999+226.07913+224.46884+225.73717+229.80527</f>
        <v>2724.9903999999997</v>
      </c>
      <c r="EU135" s="2"/>
      <c r="EV135" s="141"/>
      <c r="EW135" s="310"/>
      <c r="EX135" s="310"/>
      <c r="EY135" s="310"/>
      <c r="EZ135" s="396"/>
      <c r="FA135" s="396"/>
      <c r="FB135" s="310"/>
      <c r="FC135" s="310"/>
      <c r="FD135" s="310"/>
      <c r="FE135" s="396"/>
      <c r="FF135" s="396"/>
      <c r="FG135" s="396"/>
      <c r="FH135" s="311"/>
      <c r="FI135" s="310"/>
      <c r="FJ135" s="296" t="e">
        <f t="shared" si="780"/>
        <v>#DIV/0!</v>
      </c>
      <c r="FK135" s="353">
        <f t="shared" si="389"/>
        <v>2472.5</v>
      </c>
      <c r="FL135" s="353">
        <f t="shared" si="788"/>
        <v>2472.5</v>
      </c>
      <c r="FM135" s="353"/>
      <c r="FN135" s="388"/>
      <c r="FO135" s="388"/>
      <c r="FP135" s="353">
        <f t="shared" si="390"/>
        <v>5197.4904000000006</v>
      </c>
      <c r="FQ135" s="353">
        <f t="shared" si="783"/>
        <v>2472.5</v>
      </c>
      <c r="FR135" s="353">
        <f t="shared" si="784"/>
        <v>2724.9904000000001</v>
      </c>
      <c r="FS135" s="388"/>
      <c r="FT135" s="388"/>
      <c r="FU135" s="388"/>
      <c r="FV135" s="353">
        <f t="shared" si="787"/>
        <v>0</v>
      </c>
      <c r="FW135" s="353">
        <f t="shared" si="391"/>
        <v>2472.5</v>
      </c>
      <c r="FX135" s="310">
        <f t="shared" ref="FX135" si="789">FY135+FZ135</f>
        <v>0</v>
      </c>
      <c r="FY135" s="310">
        <f>BD135</f>
        <v>0</v>
      </c>
      <c r="FZ135" s="310"/>
      <c r="GA135" s="396" t="e">
        <f t="shared" ref="GA135" si="790">FY135/FX135</f>
        <v>#DIV/0!</v>
      </c>
      <c r="GB135" s="396" t="e">
        <f t="shared" ref="GB135" si="791">FZ135/FX135</f>
        <v>#DIV/0!</v>
      </c>
      <c r="GC135" s="310">
        <f t="shared" si="402"/>
        <v>0</v>
      </c>
      <c r="GD135" s="310">
        <f t="shared" si="501"/>
        <v>0</v>
      </c>
      <c r="GE135" s="310">
        <f t="shared" si="502"/>
        <v>0</v>
      </c>
      <c r="GF135" s="396" t="e">
        <f t="shared" ref="GF135" si="792">GD135/GC135</f>
        <v>#DIV/0!</v>
      </c>
      <c r="GG135" s="396" t="e">
        <f t="shared" ref="GG135" si="793">GE135/GC135</f>
        <v>#DIV/0!</v>
      </c>
      <c r="GH135" s="396"/>
      <c r="GI135" s="311" t="e">
        <f t="shared" si="637"/>
        <v>#DIV/0!</v>
      </c>
      <c r="GJ135" s="344" t="e">
        <f t="shared" si="403"/>
        <v>#DIV/0!</v>
      </c>
      <c r="GK135" s="303">
        <f t="shared" si="368"/>
        <v>1</v>
      </c>
    </row>
    <row r="136" spans="2:193" s="37" customFormat="1" ht="16.149999999999999" customHeight="1" x14ac:dyDescent="0.25">
      <c r="B136" s="29"/>
      <c r="C136" s="30"/>
      <c r="D136" s="30">
        <v>1</v>
      </c>
      <c r="E136" s="493">
        <v>112</v>
      </c>
      <c r="F136" s="29"/>
      <c r="G136" s="30"/>
      <c r="H136" s="30">
        <v>1</v>
      </c>
      <c r="I136" s="744" t="s">
        <v>279</v>
      </c>
      <c r="J136" s="744"/>
      <c r="K136" s="744"/>
      <c r="L136" s="154">
        <f>L43+L46+L49+L119+L122+L125+L132</f>
        <v>8075</v>
      </c>
      <c r="M136" s="493">
        <v>92</v>
      </c>
      <c r="N136" s="494" t="s">
        <v>165</v>
      </c>
      <c r="O136" s="494"/>
      <c r="P136" s="494">
        <f t="shared" si="388"/>
        <v>0</v>
      </c>
      <c r="Q136" s="494"/>
      <c r="R136" s="494"/>
      <c r="S136" s="494">
        <v>256</v>
      </c>
      <c r="T136" s="156">
        <v>1</v>
      </c>
      <c r="U136" s="493">
        <v>1</v>
      </c>
      <c r="V136" s="2">
        <f t="shared" si="369"/>
        <v>824.2</v>
      </c>
      <c r="W136" s="2"/>
      <c r="X136" s="198">
        <f t="shared" si="605"/>
        <v>824.2</v>
      </c>
      <c r="Y136" s="42"/>
      <c r="Z136" s="42">
        <v>824.2</v>
      </c>
      <c r="AA136" s="2"/>
      <c r="AB136" s="567">
        <f t="shared" si="759"/>
        <v>824.2</v>
      </c>
      <c r="AC136" s="567"/>
      <c r="AD136" s="568">
        <f t="shared" si="606"/>
        <v>824.2</v>
      </c>
      <c r="AE136" s="569">
        <v>1.6803399999999999</v>
      </c>
      <c r="AF136" s="569">
        <f>824.2-1.68034</f>
        <v>822.51966000000004</v>
      </c>
      <c r="AG136" s="567"/>
      <c r="AH136" s="573"/>
      <c r="AI136" s="567">
        <f t="shared" si="760"/>
        <v>792.6</v>
      </c>
      <c r="AJ136" s="567"/>
      <c r="AK136" s="568">
        <v>792.6</v>
      </c>
      <c r="AL136" s="567"/>
      <c r="AM136" s="573"/>
      <c r="AN136" s="567">
        <f t="shared" si="761"/>
        <v>792.6</v>
      </c>
      <c r="AO136" s="567"/>
      <c r="AP136" s="568">
        <v>792.6</v>
      </c>
      <c r="AQ136" s="567"/>
      <c r="AR136" s="573"/>
      <c r="AS136" s="567">
        <f t="shared" si="762"/>
        <v>172</v>
      </c>
      <c r="AT136" s="567"/>
      <c r="AU136" s="568">
        <v>172</v>
      </c>
      <c r="AV136" s="567"/>
      <c r="AW136" s="567"/>
      <c r="AX136" s="409" t="s">
        <v>684</v>
      </c>
      <c r="AY136" s="567">
        <f t="shared" si="763"/>
        <v>822.51966000000004</v>
      </c>
      <c r="AZ136" s="567"/>
      <c r="BA136" s="568">
        <f t="shared" si="764"/>
        <v>822.51966000000004</v>
      </c>
      <c r="BB136" s="568"/>
      <c r="BC136" s="569">
        <f>824.2-1.68034</f>
        <v>822.51966000000004</v>
      </c>
      <c r="BD136" s="567"/>
      <c r="BE136" s="567"/>
      <c r="BF136" s="567">
        <f t="shared" si="370"/>
        <v>1.6803399999999999</v>
      </c>
      <c r="BG136" s="567">
        <f t="shared" si="371"/>
        <v>0</v>
      </c>
      <c r="BH136" s="567">
        <f t="shared" si="372"/>
        <v>1.6803399999999999</v>
      </c>
      <c r="BI136" s="567">
        <f t="shared" si="373"/>
        <v>1.6803399999999999</v>
      </c>
      <c r="BJ136" s="567">
        <f t="shared" si="374"/>
        <v>0</v>
      </c>
      <c r="BK136" s="567">
        <f t="shared" si="375"/>
        <v>0</v>
      </c>
      <c r="BL136" s="567" t="e">
        <f>#REF!-BE136</f>
        <v>#REF!</v>
      </c>
      <c r="BM136" s="567">
        <f t="shared" si="765"/>
        <v>792.6</v>
      </c>
      <c r="BN136" s="567"/>
      <c r="BO136" s="568">
        <f>172+620.6</f>
        <v>792.6</v>
      </c>
      <c r="BP136" s="567"/>
      <c r="BQ136" s="567"/>
      <c r="BR136" s="567">
        <f t="shared" si="766"/>
        <v>0</v>
      </c>
      <c r="BS136" s="567"/>
      <c r="BT136" s="570"/>
      <c r="BU136" s="567"/>
      <c r="BV136" s="567"/>
      <c r="BW136" s="567">
        <f t="shared" si="767"/>
        <v>822.51965999999993</v>
      </c>
      <c r="BX136" s="567"/>
      <c r="BY136" s="568">
        <f t="shared" si="376"/>
        <v>822.51965999999993</v>
      </c>
      <c r="BZ136" s="571"/>
      <c r="CA136" s="571">
        <f>584.25347+238.26619</f>
        <v>822.51965999999993</v>
      </c>
      <c r="CB136" s="567"/>
      <c r="CC136" s="567"/>
      <c r="CD136" s="567">
        <f t="shared" si="768"/>
        <v>822.51965999999993</v>
      </c>
      <c r="CE136" s="567"/>
      <c r="CF136" s="568">
        <f t="shared" si="377"/>
        <v>822.51965999999993</v>
      </c>
      <c r="CG136" s="571"/>
      <c r="CH136" s="571">
        <f>584.25347+238.26619</f>
        <v>822.51965999999993</v>
      </c>
      <c r="CI136" s="567"/>
      <c r="CJ136" s="567"/>
      <c r="CK136" s="567">
        <f t="shared" si="769"/>
        <v>133.90644</v>
      </c>
      <c r="CL136" s="567"/>
      <c r="CM136" s="567">
        <v>133.90644</v>
      </c>
      <c r="CN136" s="567"/>
      <c r="CO136" s="567"/>
      <c r="CP136" s="567"/>
      <c r="CQ136" s="567"/>
      <c r="CR136" s="573">
        <f t="shared" si="770"/>
        <v>956.42609999999991</v>
      </c>
      <c r="CS136" s="567">
        <f t="shared" si="379"/>
        <v>956.42609999999991</v>
      </c>
      <c r="CT136" s="567">
        <f t="shared" si="380"/>
        <v>0</v>
      </c>
      <c r="CU136" s="567">
        <f t="shared" si="381"/>
        <v>956.42609999999991</v>
      </c>
      <c r="CV136" s="567">
        <f t="shared" si="382"/>
        <v>0</v>
      </c>
      <c r="CW136" s="567">
        <f t="shared" si="771"/>
        <v>0</v>
      </c>
      <c r="CX136" s="567">
        <f t="shared" ca="1" si="477"/>
        <v>0</v>
      </c>
      <c r="CY136" s="567">
        <f t="shared" si="383"/>
        <v>0</v>
      </c>
      <c r="CZ136" s="567">
        <f t="shared" si="384"/>
        <v>0</v>
      </c>
      <c r="DA136" s="567">
        <f t="shared" si="385"/>
        <v>0</v>
      </c>
      <c r="DB136" s="2">
        <f t="shared" si="772"/>
        <v>0</v>
      </c>
      <c r="DC136" s="76"/>
      <c r="DD136" s="253"/>
      <c r="DE136" s="253"/>
      <c r="DF136" s="2">
        <f t="shared" si="773"/>
        <v>0</v>
      </c>
      <c r="DG136" s="2"/>
      <c r="DH136" s="234"/>
      <c r="DI136" s="2"/>
      <c r="DJ136" s="2"/>
      <c r="DK136" s="2">
        <f t="shared" si="774"/>
        <v>0</v>
      </c>
      <c r="DL136" s="2"/>
      <c r="DM136" s="234"/>
      <c r="DN136" s="2"/>
      <c r="DO136" s="2"/>
      <c r="DP136" s="2">
        <f t="shared" si="775"/>
        <v>0</v>
      </c>
      <c r="DQ136" s="2">
        <f t="shared" si="776"/>
        <v>0</v>
      </c>
      <c r="DR136" s="2">
        <f t="shared" si="776"/>
        <v>0</v>
      </c>
      <c r="DS136" s="2">
        <f t="shared" si="776"/>
        <v>0</v>
      </c>
      <c r="DT136" s="2">
        <f t="shared" si="776"/>
        <v>0</v>
      </c>
      <c r="DU136" s="2"/>
      <c r="DV136" s="2"/>
      <c r="DW136" s="2"/>
      <c r="DX136" s="2">
        <f t="shared" ca="1" si="777"/>
        <v>0</v>
      </c>
      <c r="DY136" s="46"/>
      <c r="DZ136" s="2">
        <f t="shared" si="778"/>
        <v>822.51965999999993</v>
      </c>
      <c r="EA136" s="2">
        <f t="shared" si="779"/>
        <v>822.51965999999993</v>
      </c>
      <c r="EB136" s="46"/>
      <c r="EC136" s="2"/>
      <c r="ED136" s="2"/>
      <c r="EE136" s="46"/>
      <c r="EF136" s="2"/>
      <c r="EG136" s="46"/>
      <c r="EH136" s="46"/>
      <c r="EI136" s="2">
        <f t="shared" ref="EI136:EI199" si="794">EJ136+EK136+EN136</f>
        <v>822.51965999999993</v>
      </c>
      <c r="EJ136" s="2"/>
      <c r="EK136" s="198">
        <f t="shared" si="386"/>
        <v>822.51965999999993</v>
      </c>
      <c r="EL136" s="446"/>
      <c r="EM136" s="446">
        <f>584.25347+238.26619</f>
        <v>822.51965999999993</v>
      </c>
      <c r="EN136" s="2"/>
      <c r="EO136" s="2"/>
      <c r="EP136" s="2">
        <f t="shared" ref="EP136:EP199" si="795">EQ136+ER136+EU136</f>
        <v>133.90644</v>
      </c>
      <c r="EQ136" s="2"/>
      <c r="ER136" s="2">
        <v>133.90644</v>
      </c>
      <c r="ES136" s="2"/>
      <c r="ET136" s="2">
        <f>95.11663+38.78981</f>
        <v>133.90644</v>
      </c>
      <c r="EU136" s="2"/>
      <c r="EV136" s="141"/>
      <c r="EW136" s="310"/>
      <c r="EX136" s="310"/>
      <c r="EY136" s="310"/>
      <c r="EZ136" s="396"/>
      <c r="FA136" s="396"/>
      <c r="FB136" s="310"/>
      <c r="FC136" s="310"/>
      <c r="FD136" s="310"/>
      <c r="FE136" s="396"/>
      <c r="FF136" s="396"/>
      <c r="FG136" s="396"/>
      <c r="FH136" s="311"/>
      <c r="FI136" s="310"/>
      <c r="FJ136" s="296" t="e">
        <f t="shared" si="780"/>
        <v>#DIV/0!</v>
      </c>
      <c r="FK136" s="353">
        <f t="shared" si="389"/>
        <v>822.51966000000004</v>
      </c>
      <c r="FL136" s="353">
        <f t="shared" si="788"/>
        <v>822.51966000000004</v>
      </c>
      <c r="FM136" s="353"/>
      <c r="FN136" s="388"/>
      <c r="FO136" s="388"/>
      <c r="FP136" s="353">
        <f t="shared" si="390"/>
        <v>956.42609999999991</v>
      </c>
      <c r="FQ136" s="353">
        <f t="shared" si="783"/>
        <v>822.51965999999993</v>
      </c>
      <c r="FR136" s="353">
        <f t="shared" si="784"/>
        <v>133.90644</v>
      </c>
      <c r="FS136" s="388"/>
      <c r="FT136" s="388"/>
      <c r="FU136" s="388"/>
      <c r="FV136" s="353">
        <f t="shared" si="787"/>
        <v>0</v>
      </c>
      <c r="FW136" s="353">
        <f t="shared" si="391"/>
        <v>822.51965999999993</v>
      </c>
      <c r="FX136" s="310"/>
      <c r="FY136" s="310"/>
      <c r="FZ136" s="310"/>
      <c r="GA136" s="396"/>
      <c r="GB136" s="396"/>
      <c r="GC136" s="310"/>
      <c r="GD136" s="310"/>
      <c r="GE136" s="310"/>
      <c r="GF136" s="396"/>
      <c r="GG136" s="396"/>
      <c r="GH136" s="396"/>
      <c r="GI136" s="311"/>
      <c r="GJ136" s="344"/>
      <c r="GK136" s="303">
        <f t="shared" ref="GK136:GK199" si="796">BW136/AB136</f>
        <v>0.99796124727007995</v>
      </c>
    </row>
    <row r="137" spans="2:193" s="37" customFormat="1" ht="16.149999999999999" customHeight="1" x14ac:dyDescent="0.25">
      <c r="B137" s="29"/>
      <c r="C137" s="30"/>
      <c r="D137" s="30">
        <v>1</v>
      </c>
      <c r="E137" s="493">
        <v>113</v>
      </c>
      <c r="F137" s="29"/>
      <c r="G137" s="30"/>
      <c r="H137" s="30">
        <v>1</v>
      </c>
      <c r="M137" s="493">
        <v>93</v>
      </c>
      <c r="N137" s="494" t="s">
        <v>111</v>
      </c>
      <c r="O137" s="494"/>
      <c r="P137" s="494">
        <f t="shared" si="388"/>
        <v>0</v>
      </c>
      <c r="Q137" s="494" t="s">
        <v>701</v>
      </c>
      <c r="R137" s="494" t="s">
        <v>699</v>
      </c>
      <c r="S137" s="494">
        <v>293</v>
      </c>
      <c r="T137" s="156">
        <v>1</v>
      </c>
      <c r="U137" s="493">
        <v>1</v>
      </c>
      <c r="V137" s="2">
        <f t="shared" ref="V137:V200" si="797">W137+X137+AA137</f>
        <v>1249.4000000000001</v>
      </c>
      <c r="W137" s="2"/>
      <c r="X137" s="198">
        <f t="shared" si="605"/>
        <v>1249.4000000000001</v>
      </c>
      <c r="Y137" s="42"/>
      <c r="Z137" s="42">
        <v>1249.4000000000001</v>
      </c>
      <c r="AA137" s="2"/>
      <c r="AB137" s="567">
        <f t="shared" si="759"/>
        <v>1249.4000000000001</v>
      </c>
      <c r="AC137" s="567"/>
      <c r="AD137" s="568">
        <f t="shared" si="606"/>
        <v>1249.4000000000001</v>
      </c>
      <c r="AE137" s="569"/>
      <c r="AF137" s="569">
        <v>1249.4000000000001</v>
      </c>
      <c r="AG137" s="567"/>
      <c r="AH137" s="573"/>
      <c r="AI137" s="567">
        <f t="shared" si="760"/>
        <v>1104.9000000000001</v>
      </c>
      <c r="AJ137" s="567"/>
      <c r="AK137" s="568">
        <v>1104.9000000000001</v>
      </c>
      <c r="AL137" s="567"/>
      <c r="AM137" s="573"/>
      <c r="AN137" s="567">
        <f t="shared" si="761"/>
        <v>1104.9000000000001</v>
      </c>
      <c r="AO137" s="567"/>
      <c r="AP137" s="568">
        <v>1104.9000000000001</v>
      </c>
      <c r="AQ137" s="567"/>
      <c r="AR137" s="573"/>
      <c r="AS137" s="567">
        <f t="shared" si="762"/>
        <v>256</v>
      </c>
      <c r="AT137" s="567"/>
      <c r="AU137" s="568">
        <v>256</v>
      </c>
      <c r="AV137" s="567"/>
      <c r="AW137" s="567"/>
      <c r="AX137" s="409" t="s">
        <v>680</v>
      </c>
      <c r="AY137" s="567">
        <f t="shared" si="763"/>
        <v>1249.4000000000001</v>
      </c>
      <c r="AZ137" s="567"/>
      <c r="BA137" s="568">
        <f t="shared" si="764"/>
        <v>1249.4000000000001</v>
      </c>
      <c r="BB137" s="568"/>
      <c r="BC137" s="569">
        <v>1249.4000000000001</v>
      </c>
      <c r="BD137" s="567"/>
      <c r="BE137" s="567"/>
      <c r="BF137" s="567">
        <f t="shared" ref="BF137:BF200" si="798">BG137+BH137+BK137</f>
        <v>0</v>
      </c>
      <c r="BG137" s="567">
        <f t="shared" ref="BG137:BG200" si="799">AC137-AZ137</f>
        <v>0</v>
      </c>
      <c r="BH137" s="567">
        <f t="shared" ref="BH137:BH200" si="800">BI137+BJ137</f>
        <v>0</v>
      </c>
      <c r="BI137" s="567">
        <f t="shared" ref="BI137:BI200" si="801">AE137-BB137</f>
        <v>0</v>
      </c>
      <c r="BJ137" s="567">
        <f t="shared" ref="BJ137:BJ200" si="802">AF137-BC137</f>
        <v>0</v>
      </c>
      <c r="BK137" s="567">
        <f t="shared" ref="BK137:BK200" si="803">AG137-BD137</f>
        <v>0</v>
      </c>
      <c r="BL137" s="567" t="e">
        <f>#REF!-BE137</f>
        <v>#REF!</v>
      </c>
      <c r="BM137" s="567">
        <f t="shared" si="765"/>
        <v>1104.9000000000001</v>
      </c>
      <c r="BN137" s="567"/>
      <c r="BO137" s="568">
        <f>256+848.9</f>
        <v>1104.9000000000001</v>
      </c>
      <c r="BP137" s="567"/>
      <c r="BQ137" s="567"/>
      <c r="BR137" s="567">
        <f t="shared" si="766"/>
        <v>0</v>
      </c>
      <c r="BS137" s="567"/>
      <c r="BT137" s="567"/>
      <c r="BU137" s="567"/>
      <c r="BV137" s="567"/>
      <c r="BW137" s="567">
        <f t="shared" si="767"/>
        <v>1249.4000000000001</v>
      </c>
      <c r="BX137" s="567"/>
      <c r="BY137" s="568">
        <f t="shared" ref="BY137:BY200" si="804">BZ137+CA137</f>
        <v>1249.4000000000001</v>
      </c>
      <c r="BZ137" s="571"/>
      <c r="CA137" s="571">
        <f>264.53743+397.27982+301.28208+286.30067</f>
        <v>1249.4000000000001</v>
      </c>
      <c r="CB137" s="567"/>
      <c r="CC137" s="567"/>
      <c r="CD137" s="567">
        <f t="shared" si="768"/>
        <v>1249.4000000000001</v>
      </c>
      <c r="CE137" s="567"/>
      <c r="CF137" s="568">
        <f t="shared" ref="CF137:CF200" si="805">CG137+CH137</f>
        <v>1249.4000000000001</v>
      </c>
      <c r="CG137" s="571"/>
      <c r="CH137" s="571">
        <f>264.53743+397.27982+301.28208+286.30067</f>
        <v>1249.4000000000001</v>
      </c>
      <c r="CI137" s="567"/>
      <c r="CJ137" s="567"/>
      <c r="CK137" s="567">
        <f t="shared" si="769"/>
        <v>170.37275</v>
      </c>
      <c r="CL137" s="567"/>
      <c r="CM137" s="567">
        <f t="shared" ref="CM137:CM199" si="806">CN137+CO137</f>
        <v>170.37275</v>
      </c>
      <c r="CN137" s="567"/>
      <c r="CO137" s="567">
        <f>36.07329+54.17453+41.08392+39.04101</f>
        <v>170.37275</v>
      </c>
      <c r="CP137" s="567"/>
      <c r="CQ137" s="567"/>
      <c r="CR137" s="573">
        <f t="shared" si="770"/>
        <v>1419.7727500000001</v>
      </c>
      <c r="CS137" s="567">
        <f t="shared" ref="CS137:CS200" si="807">CT137+CU137+CV137</f>
        <v>1419.7727500000001</v>
      </c>
      <c r="CT137" s="567">
        <f t="shared" ref="CT137:CT200" si="808">CE137+CL137</f>
        <v>0</v>
      </c>
      <c r="CU137" s="567">
        <f t="shared" ref="CU137:CU200" si="809">CF137+CM137</f>
        <v>1419.7727500000001</v>
      </c>
      <c r="CV137" s="567">
        <f t="shared" ref="CV137:CV200" si="810">CI137+CP137</f>
        <v>0</v>
      </c>
      <c r="CW137" s="567">
        <f t="shared" si="771"/>
        <v>0</v>
      </c>
      <c r="CX137" s="567">
        <f t="shared" ca="1" si="477"/>
        <v>0</v>
      </c>
      <c r="CY137" s="567">
        <f t="shared" ref="CY137:CY200" si="811">BX137-CE137</f>
        <v>0</v>
      </c>
      <c r="CZ137" s="567">
        <f t="shared" ref="CZ137:CZ200" si="812">BY137-CF137</f>
        <v>0</v>
      </c>
      <c r="DA137" s="567">
        <f t="shared" ref="DA137:DA200" si="813">CB137-CI137</f>
        <v>0</v>
      </c>
      <c r="DB137" s="2">
        <f t="shared" si="772"/>
        <v>0</v>
      </c>
      <c r="DC137" s="76"/>
      <c r="DD137" s="253"/>
      <c r="DE137" s="253"/>
      <c r="DF137" s="2">
        <f t="shared" si="773"/>
        <v>0</v>
      </c>
      <c r="DG137" s="2"/>
      <c r="DH137" s="2"/>
      <c r="DI137" s="2"/>
      <c r="DJ137" s="2"/>
      <c r="DK137" s="2">
        <f t="shared" si="774"/>
        <v>0</v>
      </c>
      <c r="DL137" s="2"/>
      <c r="DM137" s="2"/>
      <c r="DN137" s="2"/>
      <c r="DO137" s="2"/>
      <c r="DP137" s="2">
        <f t="shared" si="775"/>
        <v>0</v>
      </c>
      <c r="DQ137" s="2">
        <f t="shared" si="776"/>
        <v>0</v>
      </c>
      <c r="DR137" s="2">
        <f t="shared" si="776"/>
        <v>0</v>
      </c>
      <c r="DS137" s="2">
        <f t="shared" si="776"/>
        <v>0</v>
      </c>
      <c r="DT137" s="2">
        <f t="shared" si="776"/>
        <v>0</v>
      </c>
      <c r="DU137" s="2"/>
      <c r="DV137" s="2"/>
      <c r="DW137" s="2"/>
      <c r="DX137" s="2">
        <f t="shared" ca="1" si="777"/>
        <v>0</v>
      </c>
      <c r="DY137" s="46"/>
      <c r="DZ137" s="2">
        <f t="shared" si="778"/>
        <v>1249.4000000000001</v>
      </c>
      <c r="EA137" s="2">
        <f t="shared" si="779"/>
        <v>1249.4000000000001</v>
      </c>
      <c r="EB137" s="46"/>
      <c r="EC137" s="2"/>
      <c r="ED137" s="2"/>
      <c r="EE137" s="46"/>
      <c r="EF137" s="2"/>
      <c r="EG137" s="46"/>
      <c r="EH137" s="46"/>
      <c r="EI137" s="2">
        <f t="shared" si="794"/>
        <v>1249.4000000000001</v>
      </c>
      <c r="EJ137" s="2"/>
      <c r="EK137" s="198">
        <f t="shared" ref="EK137:EK200" si="814">EL137+EM137</f>
        <v>1249.4000000000001</v>
      </c>
      <c r="EL137" s="446"/>
      <c r="EM137" s="446">
        <f>264.53743+397.27982+301.28208+286.30067</f>
        <v>1249.4000000000001</v>
      </c>
      <c r="EN137" s="2"/>
      <c r="EO137" s="2"/>
      <c r="EP137" s="2">
        <f t="shared" si="795"/>
        <v>170.37275</v>
      </c>
      <c r="EQ137" s="2"/>
      <c r="ER137" s="2">
        <f t="shared" ref="ER137:ER199" si="815">ES137+ET137</f>
        <v>170.37275</v>
      </c>
      <c r="ES137" s="2"/>
      <c r="ET137" s="2">
        <f>36.07329+54.17453+41.08392+39.04101</f>
        <v>170.37275</v>
      </c>
      <c r="EU137" s="2"/>
      <c r="EV137" s="141"/>
      <c r="EW137" s="310"/>
      <c r="EX137" s="310"/>
      <c r="EY137" s="310"/>
      <c r="EZ137" s="396"/>
      <c r="FA137" s="396"/>
      <c r="FB137" s="310"/>
      <c r="FC137" s="310"/>
      <c r="FD137" s="310"/>
      <c r="FE137" s="396"/>
      <c r="FF137" s="396"/>
      <c r="FG137" s="396"/>
      <c r="FH137" s="311"/>
      <c r="FI137" s="310"/>
      <c r="FJ137" s="296" t="e">
        <f t="shared" si="780"/>
        <v>#DIV/0!</v>
      </c>
      <c r="FK137" s="353">
        <f t="shared" si="389"/>
        <v>1249.4000000000001</v>
      </c>
      <c r="FL137" s="353">
        <f t="shared" si="788"/>
        <v>1249.4000000000001</v>
      </c>
      <c r="FM137" s="353"/>
      <c r="FN137" s="388">
        <f t="shared" si="781"/>
        <v>1</v>
      </c>
      <c r="FO137" s="388">
        <f t="shared" si="782"/>
        <v>0</v>
      </c>
      <c r="FP137" s="353">
        <f t="shared" si="390"/>
        <v>1419.7727500000001</v>
      </c>
      <c r="FQ137" s="353">
        <f t="shared" si="783"/>
        <v>1249.4000000000001</v>
      </c>
      <c r="FR137" s="353">
        <f t="shared" si="784"/>
        <v>170.37275</v>
      </c>
      <c r="FS137" s="388">
        <f t="shared" si="785"/>
        <v>0.87999998591323858</v>
      </c>
      <c r="FT137" s="388">
        <f t="shared" si="786"/>
        <v>0.12000001408676141</v>
      </c>
      <c r="FU137" s="388"/>
      <c r="FV137" s="353">
        <f t="shared" si="787"/>
        <v>1419.7727500000001</v>
      </c>
      <c r="FW137" s="353">
        <f t="shared" si="391"/>
        <v>-170.37275</v>
      </c>
      <c r="FX137" s="310"/>
      <c r="FY137" s="310"/>
      <c r="FZ137" s="310"/>
      <c r="GA137" s="396"/>
      <c r="GB137" s="396"/>
      <c r="GC137" s="310"/>
      <c r="GD137" s="310"/>
      <c r="GE137" s="310"/>
      <c r="GF137" s="396"/>
      <c r="GG137" s="396"/>
      <c r="GH137" s="396"/>
      <c r="GI137" s="311"/>
      <c r="GJ137" s="344"/>
      <c r="GK137" s="303">
        <f t="shared" si="796"/>
        <v>1</v>
      </c>
    </row>
    <row r="138" spans="2:193" s="37" customFormat="1" ht="16.149999999999999" customHeight="1" x14ac:dyDescent="0.25">
      <c r="B138" s="29"/>
      <c r="C138" s="30"/>
      <c r="D138" s="30">
        <v>1</v>
      </c>
      <c r="E138" s="493">
        <v>114</v>
      </c>
      <c r="F138" s="29"/>
      <c r="G138" s="30"/>
      <c r="H138" s="30"/>
      <c r="M138" s="493">
        <v>94</v>
      </c>
      <c r="N138" s="494" t="s">
        <v>220</v>
      </c>
      <c r="O138" s="494"/>
      <c r="P138" s="494">
        <f t="shared" ref="P138:P201" si="816">BW138-CD138</f>
        <v>0</v>
      </c>
      <c r="Q138" s="494"/>
      <c r="R138" s="494"/>
      <c r="S138" s="494">
        <v>273</v>
      </c>
      <c r="T138" s="156">
        <v>1</v>
      </c>
      <c r="U138" s="493"/>
      <c r="V138" s="2">
        <f t="shared" si="797"/>
        <v>1104.7</v>
      </c>
      <c r="W138" s="2"/>
      <c r="X138" s="198">
        <f t="shared" si="605"/>
        <v>1104.7</v>
      </c>
      <c r="Y138" s="42"/>
      <c r="Z138" s="42">
        <v>1104.7</v>
      </c>
      <c r="AA138" s="2"/>
      <c r="AB138" s="567">
        <f t="shared" si="759"/>
        <v>1104.7</v>
      </c>
      <c r="AC138" s="567"/>
      <c r="AD138" s="568">
        <f t="shared" si="606"/>
        <v>1104.7</v>
      </c>
      <c r="AE138" s="569"/>
      <c r="AF138" s="569">
        <v>1104.7</v>
      </c>
      <c r="AG138" s="567"/>
      <c r="AH138" s="573"/>
      <c r="AI138" s="567">
        <f t="shared" si="760"/>
        <v>519.79999999999995</v>
      </c>
      <c r="AJ138" s="567"/>
      <c r="AK138" s="568">
        <v>519.79999999999995</v>
      </c>
      <c r="AL138" s="567"/>
      <c r="AM138" s="573"/>
      <c r="AN138" s="567">
        <f t="shared" si="761"/>
        <v>519.79999999999995</v>
      </c>
      <c r="AO138" s="567"/>
      <c r="AP138" s="568">
        <v>519.79999999999995</v>
      </c>
      <c r="AQ138" s="567"/>
      <c r="AR138" s="573"/>
      <c r="AS138" s="567">
        <f t="shared" si="762"/>
        <v>226</v>
      </c>
      <c r="AT138" s="567"/>
      <c r="AU138" s="568">
        <v>226</v>
      </c>
      <c r="AV138" s="567"/>
      <c r="AW138" s="567"/>
      <c r="AX138" s="409" t="s">
        <v>419</v>
      </c>
      <c r="AY138" s="567">
        <f t="shared" si="763"/>
        <v>1104.7</v>
      </c>
      <c r="AZ138" s="567"/>
      <c r="BA138" s="568">
        <f t="shared" si="764"/>
        <v>1104.7</v>
      </c>
      <c r="BB138" s="568"/>
      <c r="BC138" s="569">
        <v>1104.7</v>
      </c>
      <c r="BD138" s="567"/>
      <c r="BE138" s="567"/>
      <c r="BF138" s="567">
        <f t="shared" si="798"/>
        <v>0</v>
      </c>
      <c r="BG138" s="567">
        <f t="shared" si="799"/>
        <v>0</v>
      </c>
      <c r="BH138" s="567">
        <f t="shared" si="800"/>
        <v>0</v>
      </c>
      <c r="BI138" s="567">
        <f t="shared" si="801"/>
        <v>0</v>
      </c>
      <c r="BJ138" s="567">
        <f t="shared" si="802"/>
        <v>0</v>
      </c>
      <c r="BK138" s="567">
        <f t="shared" si="803"/>
        <v>0</v>
      </c>
      <c r="BL138" s="567" t="e">
        <f>#REF!-BE138</f>
        <v>#REF!</v>
      </c>
      <c r="BM138" s="567">
        <f t="shared" si="765"/>
        <v>519.79999999999995</v>
      </c>
      <c r="BN138" s="567"/>
      <c r="BO138" s="568">
        <f>226+293.8</f>
        <v>519.79999999999995</v>
      </c>
      <c r="BP138" s="567"/>
      <c r="BQ138" s="567"/>
      <c r="BR138" s="567">
        <f t="shared" si="766"/>
        <v>0</v>
      </c>
      <c r="BS138" s="567"/>
      <c r="BT138" s="567"/>
      <c r="BU138" s="567"/>
      <c r="BV138" s="567"/>
      <c r="BW138" s="567">
        <f t="shared" si="767"/>
        <v>1099.1765</v>
      </c>
      <c r="BX138" s="567"/>
      <c r="BY138" s="578">
        <f t="shared" si="804"/>
        <v>1099.1765</v>
      </c>
      <c r="BZ138" s="571"/>
      <c r="CA138" s="571">
        <v>1099.1765</v>
      </c>
      <c r="CB138" s="567"/>
      <c r="CC138" s="567"/>
      <c r="CD138" s="567">
        <f t="shared" si="768"/>
        <v>1099.1765</v>
      </c>
      <c r="CE138" s="567"/>
      <c r="CF138" s="578">
        <f t="shared" si="805"/>
        <v>1099.1765</v>
      </c>
      <c r="CG138" s="571"/>
      <c r="CH138" s="571">
        <v>1099.1765</v>
      </c>
      <c r="CI138" s="567"/>
      <c r="CJ138" s="567"/>
      <c r="CK138" s="567">
        <f t="shared" si="769"/>
        <v>108.7535</v>
      </c>
      <c r="CL138" s="567"/>
      <c r="CM138" s="567">
        <v>108.7535</v>
      </c>
      <c r="CN138" s="567"/>
      <c r="CO138" s="567"/>
      <c r="CP138" s="567"/>
      <c r="CQ138" s="567"/>
      <c r="CR138" s="573">
        <f t="shared" si="770"/>
        <v>1207.93</v>
      </c>
      <c r="CS138" s="567">
        <f t="shared" si="807"/>
        <v>1207.93</v>
      </c>
      <c r="CT138" s="567">
        <f t="shared" si="808"/>
        <v>0</v>
      </c>
      <c r="CU138" s="567">
        <f t="shared" si="809"/>
        <v>1207.93</v>
      </c>
      <c r="CV138" s="567">
        <f t="shared" si="810"/>
        <v>0</v>
      </c>
      <c r="CW138" s="567">
        <f t="shared" si="771"/>
        <v>0</v>
      </c>
      <c r="CX138" s="567">
        <f t="shared" ca="1" si="477"/>
        <v>0</v>
      </c>
      <c r="CY138" s="567">
        <f t="shared" si="811"/>
        <v>0</v>
      </c>
      <c r="CZ138" s="567">
        <f t="shared" si="812"/>
        <v>0</v>
      </c>
      <c r="DA138" s="567">
        <f t="shared" si="813"/>
        <v>0</v>
      </c>
      <c r="DB138" s="2">
        <f t="shared" si="772"/>
        <v>0</v>
      </c>
      <c r="DC138" s="76"/>
      <c r="DD138" s="253"/>
      <c r="DE138" s="253"/>
      <c r="DF138" s="2">
        <f t="shared" si="773"/>
        <v>0</v>
      </c>
      <c r="DG138" s="2"/>
      <c r="DH138" s="2"/>
      <c r="DI138" s="2"/>
      <c r="DJ138" s="2"/>
      <c r="DK138" s="2">
        <f t="shared" si="774"/>
        <v>0</v>
      </c>
      <c r="DL138" s="2"/>
      <c r="DM138" s="2"/>
      <c r="DN138" s="2"/>
      <c r="DO138" s="2"/>
      <c r="DP138" s="2">
        <f t="shared" si="775"/>
        <v>0</v>
      </c>
      <c r="DQ138" s="2">
        <f t="shared" si="776"/>
        <v>0</v>
      </c>
      <c r="DR138" s="2">
        <f t="shared" si="776"/>
        <v>0</v>
      </c>
      <c r="DS138" s="2">
        <f t="shared" si="776"/>
        <v>0</v>
      </c>
      <c r="DT138" s="2">
        <f t="shared" si="776"/>
        <v>0</v>
      </c>
      <c r="DU138" s="2"/>
      <c r="DV138" s="2"/>
      <c r="DW138" s="2"/>
      <c r="DX138" s="2">
        <f t="shared" ca="1" si="777"/>
        <v>0</v>
      </c>
      <c r="DY138" s="46"/>
      <c r="DZ138" s="2">
        <f t="shared" si="778"/>
        <v>1099.1765</v>
      </c>
      <c r="EA138" s="2">
        <f t="shared" si="779"/>
        <v>1099.1765</v>
      </c>
      <c r="EB138" s="46"/>
      <c r="EC138" s="2"/>
      <c r="ED138" s="2"/>
      <c r="EE138" s="46"/>
      <c r="EF138" s="2"/>
      <c r="EG138" s="46"/>
      <c r="EH138" s="46"/>
      <c r="EI138" s="2">
        <f t="shared" si="794"/>
        <v>1099.1765</v>
      </c>
      <c r="EJ138" s="2"/>
      <c r="EK138" s="433">
        <f t="shared" si="814"/>
        <v>1099.1765</v>
      </c>
      <c r="EL138" s="446"/>
      <c r="EM138" s="446">
        <v>1099.1765</v>
      </c>
      <c r="EN138" s="2"/>
      <c r="EO138" s="2"/>
      <c r="EP138" s="2">
        <f t="shared" si="795"/>
        <v>108.7535</v>
      </c>
      <c r="EQ138" s="2"/>
      <c r="ER138" s="2">
        <v>108.7535</v>
      </c>
      <c r="ES138" s="2"/>
      <c r="ET138" s="2">
        <v>108.7535</v>
      </c>
      <c r="EU138" s="2"/>
      <c r="EV138" s="141"/>
      <c r="EW138" s="310"/>
      <c r="EX138" s="310"/>
      <c r="EY138" s="310"/>
      <c r="EZ138" s="396"/>
      <c r="FA138" s="396"/>
      <c r="FB138" s="310"/>
      <c r="FC138" s="310"/>
      <c r="FD138" s="310"/>
      <c r="FE138" s="396"/>
      <c r="FF138" s="396"/>
      <c r="FG138" s="396"/>
      <c r="FH138" s="311"/>
      <c r="FI138" s="310"/>
      <c r="FJ138" s="296" t="e">
        <f t="shared" si="780"/>
        <v>#DIV/0!</v>
      </c>
      <c r="FK138" s="353">
        <f t="shared" ref="FK138:FK201" si="817">FL138+FM138</f>
        <v>1104.7</v>
      </c>
      <c r="FL138" s="353">
        <f t="shared" si="788"/>
        <v>1104.7</v>
      </c>
      <c r="FM138" s="353"/>
      <c r="FN138" s="388">
        <f t="shared" si="781"/>
        <v>1</v>
      </c>
      <c r="FO138" s="388">
        <f t="shared" si="782"/>
        <v>0</v>
      </c>
      <c r="FP138" s="353">
        <f t="shared" ref="FP138:FP201" si="818">FQ138+FR138</f>
        <v>1207.93</v>
      </c>
      <c r="FQ138" s="353">
        <f t="shared" si="783"/>
        <v>1099.1765</v>
      </c>
      <c r="FR138" s="353">
        <f t="shared" si="784"/>
        <v>108.7535</v>
      </c>
      <c r="FS138" s="388">
        <f t="shared" si="785"/>
        <v>0.90996705107084019</v>
      </c>
      <c r="FT138" s="388">
        <f t="shared" si="786"/>
        <v>9.0032948929159806E-2</v>
      </c>
      <c r="FU138" s="388"/>
      <c r="FV138" s="353">
        <f t="shared" si="787"/>
        <v>1207.93</v>
      </c>
      <c r="FW138" s="353">
        <f t="shared" ref="FW138:FW201" si="819">FQ138-FV138</f>
        <v>-108.75350000000003</v>
      </c>
      <c r="FX138" s="310"/>
      <c r="FY138" s="310"/>
      <c r="FZ138" s="310"/>
      <c r="GA138" s="396"/>
      <c r="GB138" s="396"/>
      <c r="GC138" s="310"/>
      <c r="GD138" s="310"/>
      <c r="GE138" s="310"/>
      <c r="GF138" s="396"/>
      <c r="GG138" s="396"/>
      <c r="GH138" s="396"/>
      <c r="GI138" s="311"/>
      <c r="GJ138" s="344"/>
      <c r="GK138" s="303">
        <f t="shared" si="796"/>
        <v>0.995</v>
      </c>
    </row>
    <row r="139" spans="2:193" s="115" customFormat="1" ht="15.75" customHeight="1" x14ac:dyDescent="0.2">
      <c r="B139" s="109"/>
      <c r="C139" s="110"/>
      <c r="D139" s="110"/>
      <c r="E139" s="111"/>
      <c r="F139" s="109"/>
      <c r="G139" s="110"/>
      <c r="H139" s="110"/>
      <c r="M139" s="111"/>
      <c r="N139" s="114" t="s">
        <v>5</v>
      </c>
      <c r="O139" s="114"/>
      <c r="P139" s="114">
        <f t="shared" si="816"/>
        <v>0</v>
      </c>
      <c r="Q139" s="114"/>
      <c r="R139" s="114"/>
      <c r="S139" s="114"/>
      <c r="T139" s="158">
        <f t="shared" ref="T139:AH139" si="820">SUM(T140:T152)-T141</f>
        <v>29</v>
      </c>
      <c r="U139" s="158">
        <f>U140+U141+U142+U143+U144+U145+U146+U147+U148+U149+U150+U151+U152</f>
        <v>5</v>
      </c>
      <c r="V139" s="57">
        <f t="shared" si="797"/>
        <v>62060.346999999994</v>
      </c>
      <c r="W139" s="57">
        <f t="shared" ref="W139:AA139" si="821">SUM(W140:W152)-W141</f>
        <v>0</v>
      </c>
      <c r="X139" s="57">
        <f t="shared" si="821"/>
        <v>34441.299999999996</v>
      </c>
      <c r="Y139" s="57">
        <f t="shared" si="821"/>
        <v>10851.3</v>
      </c>
      <c r="Z139" s="57">
        <f t="shared" si="821"/>
        <v>23590.000000000007</v>
      </c>
      <c r="AA139" s="57">
        <f t="shared" si="821"/>
        <v>27619.047000000002</v>
      </c>
      <c r="AB139" s="564">
        <f t="shared" si="820"/>
        <v>62060.346999999994</v>
      </c>
      <c r="AC139" s="564">
        <f t="shared" si="820"/>
        <v>0</v>
      </c>
      <c r="AD139" s="564">
        <f t="shared" si="820"/>
        <v>34441.299999999996</v>
      </c>
      <c r="AE139" s="564">
        <f t="shared" si="820"/>
        <v>10851.3</v>
      </c>
      <c r="AF139" s="564">
        <f t="shared" si="820"/>
        <v>23590.000000000007</v>
      </c>
      <c r="AG139" s="564">
        <f t="shared" si="820"/>
        <v>27619.047000000002</v>
      </c>
      <c r="AH139" s="564">
        <f t="shared" si="820"/>
        <v>0</v>
      </c>
      <c r="AI139" s="564">
        <f t="shared" ref="AI139:AM139" si="822">SUM(AI140:AI152)-AI141</f>
        <v>0</v>
      </c>
      <c r="AJ139" s="564">
        <f t="shared" si="822"/>
        <v>0</v>
      </c>
      <c r="AK139" s="564">
        <f t="shared" si="822"/>
        <v>0</v>
      </c>
      <c r="AL139" s="564">
        <f t="shared" si="822"/>
        <v>0</v>
      </c>
      <c r="AM139" s="564">
        <f t="shared" si="822"/>
        <v>0</v>
      </c>
      <c r="AN139" s="564">
        <f t="shared" ref="AN139:AR139" si="823">SUM(AN140:AN152)-AN141</f>
        <v>0</v>
      </c>
      <c r="AO139" s="564">
        <f t="shared" si="823"/>
        <v>0</v>
      </c>
      <c r="AP139" s="564">
        <f t="shared" si="823"/>
        <v>0</v>
      </c>
      <c r="AQ139" s="564">
        <f t="shared" si="823"/>
        <v>0</v>
      </c>
      <c r="AR139" s="564">
        <f t="shared" si="823"/>
        <v>0</v>
      </c>
      <c r="AS139" s="566">
        <f t="shared" ref="AS139:AW139" si="824">SUM(AS140:AS152)-AS141</f>
        <v>0</v>
      </c>
      <c r="AT139" s="564">
        <f t="shared" si="824"/>
        <v>0</v>
      </c>
      <c r="AU139" s="564">
        <f t="shared" si="824"/>
        <v>0</v>
      </c>
      <c r="AV139" s="564">
        <f t="shared" si="824"/>
        <v>0</v>
      </c>
      <c r="AW139" s="564">
        <f t="shared" si="824"/>
        <v>0</v>
      </c>
      <c r="AX139" s="565"/>
      <c r="AY139" s="564">
        <f t="shared" ref="AY139:BD139" si="825">SUM(AY140:AY152)-AY141</f>
        <v>62060.345830000006</v>
      </c>
      <c r="AZ139" s="564">
        <f t="shared" si="825"/>
        <v>0</v>
      </c>
      <c r="BA139" s="564">
        <f t="shared" si="825"/>
        <v>34441.299349999994</v>
      </c>
      <c r="BB139" s="564">
        <f t="shared" ref="BB139:BC139" si="826">SUM(BB140:BB152)-BB141</f>
        <v>10851.299349999999</v>
      </c>
      <c r="BC139" s="564">
        <f t="shared" si="826"/>
        <v>23590.000000000004</v>
      </c>
      <c r="BD139" s="564">
        <f t="shared" si="825"/>
        <v>27619.046480000001</v>
      </c>
      <c r="BE139" s="564">
        <f>SUM(BE140:BE152)-BE141</f>
        <v>0</v>
      </c>
      <c r="BF139" s="564">
        <f t="shared" si="798"/>
        <v>1.1700000013661338E-3</v>
      </c>
      <c r="BG139" s="564">
        <f t="shared" si="799"/>
        <v>0</v>
      </c>
      <c r="BH139" s="564">
        <f t="shared" si="800"/>
        <v>6.4999999995052349E-4</v>
      </c>
      <c r="BI139" s="564">
        <f t="shared" si="801"/>
        <v>6.4999999995052349E-4</v>
      </c>
      <c r="BJ139" s="564">
        <f t="shared" si="802"/>
        <v>0</v>
      </c>
      <c r="BK139" s="564">
        <f t="shared" si="803"/>
        <v>5.2000000141561031E-4</v>
      </c>
      <c r="BL139" s="564" t="e">
        <f t="shared" ref="BL139:BQ139" si="827">SUM(BL140:BL152)-BL141</f>
        <v>#REF!</v>
      </c>
      <c r="BM139" s="564">
        <f t="shared" si="827"/>
        <v>20626.600000000002</v>
      </c>
      <c r="BN139" s="564">
        <f t="shared" si="827"/>
        <v>0</v>
      </c>
      <c r="BO139" s="564">
        <f t="shared" si="827"/>
        <v>12585.6</v>
      </c>
      <c r="BP139" s="564">
        <f t="shared" si="827"/>
        <v>8041</v>
      </c>
      <c r="BQ139" s="564">
        <f t="shared" si="827"/>
        <v>0</v>
      </c>
      <c r="BR139" s="564">
        <f t="shared" ref="BR139:DB139" si="828">SUM(BR140:BR152)-BR141</f>
        <v>0</v>
      </c>
      <c r="BS139" s="564">
        <f t="shared" si="828"/>
        <v>0</v>
      </c>
      <c r="BT139" s="564">
        <f t="shared" si="828"/>
        <v>0</v>
      </c>
      <c r="BU139" s="564">
        <f t="shared" si="828"/>
        <v>0</v>
      </c>
      <c r="BV139" s="564">
        <f t="shared" si="828"/>
        <v>0</v>
      </c>
      <c r="BW139" s="564">
        <f t="shared" si="828"/>
        <v>60768.496420000003</v>
      </c>
      <c r="BX139" s="564">
        <f t="shared" si="828"/>
        <v>0</v>
      </c>
      <c r="BY139" s="564">
        <f t="shared" si="804"/>
        <v>33341.604980000004</v>
      </c>
      <c r="BZ139" s="564">
        <f t="shared" si="828"/>
        <v>10150.130989999998</v>
      </c>
      <c r="CA139" s="564">
        <f t="shared" si="828"/>
        <v>23191.473990000002</v>
      </c>
      <c r="CB139" s="564">
        <f t="shared" si="828"/>
        <v>27426.891439999999</v>
      </c>
      <c r="CC139" s="564">
        <f t="shared" si="828"/>
        <v>0</v>
      </c>
      <c r="CD139" s="564">
        <f t="shared" si="828"/>
        <v>60768.496420000003</v>
      </c>
      <c r="CE139" s="564">
        <f t="shared" ref="CE139" si="829">SUM(CE140:CE152)-CE141</f>
        <v>0</v>
      </c>
      <c r="CF139" s="564">
        <f t="shared" si="805"/>
        <v>33341.604980000004</v>
      </c>
      <c r="CG139" s="564">
        <f t="shared" ref="CG139:CH139" si="830">SUM(CG140:CG152)-CG141</f>
        <v>10150.130989999998</v>
      </c>
      <c r="CH139" s="564">
        <f t="shared" si="830"/>
        <v>23191.473990000002</v>
      </c>
      <c r="CI139" s="564">
        <f t="shared" ref="CI139" si="831">SUM(CI140:CI152)-CI141</f>
        <v>27426.891439999999</v>
      </c>
      <c r="CJ139" s="564">
        <f t="shared" si="828"/>
        <v>0</v>
      </c>
      <c r="CK139" s="566">
        <f t="shared" si="828"/>
        <v>10497.201059999999</v>
      </c>
      <c r="CL139" s="564">
        <f t="shared" si="828"/>
        <v>0</v>
      </c>
      <c r="CM139" s="564">
        <f>SUM(CM140:CM152)</f>
        <v>7116.2126499999986</v>
      </c>
      <c r="CN139" s="564">
        <f t="shared" si="828"/>
        <v>1575.8355700000002</v>
      </c>
      <c r="CO139" s="564">
        <f t="shared" si="828"/>
        <v>1892.5860399999997</v>
      </c>
      <c r="CP139" s="564">
        <f t="shared" si="828"/>
        <v>3380.9884100000004</v>
      </c>
      <c r="CQ139" s="564">
        <f t="shared" si="828"/>
        <v>0</v>
      </c>
      <c r="CR139" s="564">
        <f t="shared" si="828"/>
        <v>71265.697480000003</v>
      </c>
      <c r="CS139" s="564">
        <f t="shared" si="807"/>
        <v>71265.697480000003</v>
      </c>
      <c r="CT139" s="564">
        <f t="shared" si="808"/>
        <v>0</v>
      </c>
      <c r="CU139" s="564">
        <f t="shared" si="809"/>
        <v>40457.817630000005</v>
      </c>
      <c r="CV139" s="564">
        <f t="shared" si="810"/>
        <v>30807.879850000001</v>
      </c>
      <c r="CW139" s="564">
        <f t="shared" si="828"/>
        <v>0</v>
      </c>
      <c r="CX139" s="564">
        <f t="shared" ca="1" si="477"/>
        <v>0</v>
      </c>
      <c r="CY139" s="564">
        <f t="shared" si="811"/>
        <v>0</v>
      </c>
      <c r="CZ139" s="564">
        <f t="shared" si="812"/>
        <v>0</v>
      </c>
      <c r="DA139" s="564">
        <f t="shared" si="813"/>
        <v>0</v>
      </c>
      <c r="DB139" s="57">
        <f t="shared" si="828"/>
        <v>0</v>
      </c>
      <c r="DC139" s="225">
        <f>DD139+DF139-BR139</f>
        <v>20626.600000000006</v>
      </c>
      <c r="DD139" s="226">
        <f t="shared" ref="DD139:DX139" si="832">SUM(DD140:DD152)-DD141</f>
        <v>20626.600000000006</v>
      </c>
      <c r="DE139" s="226">
        <f t="shared" si="832"/>
        <v>20626.600000000006</v>
      </c>
      <c r="DF139" s="57">
        <f t="shared" si="832"/>
        <v>0</v>
      </c>
      <c r="DG139" s="57">
        <f t="shared" si="832"/>
        <v>0</v>
      </c>
      <c r="DH139" s="57">
        <f t="shared" si="832"/>
        <v>0</v>
      </c>
      <c r="DI139" s="57">
        <f t="shared" si="832"/>
        <v>0</v>
      </c>
      <c r="DJ139" s="57">
        <f t="shared" si="832"/>
        <v>0</v>
      </c>
      <c r="DK139" s="57">
        <f t="shared" si="832"/>
        <v>0</v>
      </c>
      <c r="DL139" s="57">
        <f t="shared" si="832"/>
        <v>0</v>
      </c>
      <c r="DM139" s="57">
        <f t="shared" si="832"/>
        <v>0</v>
      </c>
      <c r="DN139" s="57">
        <f t="shared" si="832"/>
        <v>0</v>
      </c>
      <c r="DO139" s="57">
        <f t="shared" si="832"/>
        <v>0</v>
      </c>
      <c r="DP139" s="57">
        <f t="shared" si="832"/>
        <v>0</v>
      </c>
      <c r="DQ139" s="57">
        <f t="shared" si="832"/>
        <v>0</v>
      </c>
      <c r="DR139" s="57">
        <f t="shared" si="832"/>
        <v>0</v>
      </c>
      <c r="DS139" s="57">
        <f t="shared" si="832"/>
        <v>0</v>
      </c>
      <c r="DT139" s="57">
        <f t="shared" si="832"/>
        <v>0</v>
      </c>
      <c r="DU139" s="57">
        <f t="shared" si="832"/>
        <v>0</v>
      </c>
      <c r="DV139" s="57">
        <f t="shared" si="832"/>
        <v>0</v>
      </c>
      <c r="DW139" s="57">
        <f t="shared" si="832"/>
        <v>0</v>
      </c>
      <c r="DX139" s="57">
        <f t="shared" ca="1" si="832"/>
        <v>0</v>
      </c>
      <c r="DY139" s="124"/>
      <c r="DZ139" s="57">
        <f>SUM(DZ140:DZ152)-DZ141</f>
        <v>60768.496420000003</v>
      </c>
      <c r="EA139" s="57">
        <f>SUM(EA140:EA152)-EA141</f>
        <v>60768.496420000003</v>
      </c>
      <c r="EB139" s="124"/>
      <c r="EC139" s="57">
        <f>SUM(EC140:EC152)-EC141</f>
        <v>60768.496419999996</v>
      </c>
      <c r="ED139" s="57">
        <f ca="1">SUM(ED140:ED152)-ED141</f>
        <v>0</v>
      </c>
      <c r="EE139" s="124"/>
      <c r="EF139" s="57">
        <f>SUM(EF140:EF152)-EF141</f>
        <v>-40141.896419999997</v>
      </c>
      <c r="EG139" s="124">
        <f ca="1">DX139-EF139</f>
        <v>40141.896419999997</v>
      </c>
      <c r="EH139" s="124"/>
      <c r="EI139" s="57">
        <f t="shared" si="794"/>
        <v>60768.496420000003</v>
      </c>
      <c r="EJ139" s="57">
        <f t="shared" ref="EJ139:EN139" si="833">SUM(EJ140:EJ152)-EJ141</f>
        <v>0</v>
      </c>
      <c r="EK139" s="57">
        <f t="shared" si="814"/>
        <v>33341.604980000004</v>
      </c>
      <c r="EL139" s="57">
        <f t="shared" ref="EL139:EM139" si="834">SUM(EL140:EL152)-EL141</f>
        <v>10150.130989999998</v>
      </c>
      <c r="EM139" s="57">
        <f t="shared" si="834"/>
        <v>23191.473990000002</v>
      </c>
      <c r="EN139" s="57">
        <f t="shared" si="833"/>
        <v>27426.891439999999</v>
      </c>
      <c r="EO139" s="57">
        <f t="shared" ref="EO139" si="835">SUM(EO140:EO152)-EO141</f>
        <v>0</v>
      </c>
      <c r="EP139" s="57">
        <f t="shared" si="795"/>
        <v>10497.201059999999</v>
      </c>
      <c r="EQ139" s="57">
        <f t="shared" ref="EQ139" si="836">SUM(EQ140:EQ152)-EQ141</f>
        <v>0</v>
      </c>
      <c r="ER139" s="57">
        <f>SUM(ER140:ER152)</f>
        <v>7116.2126499999986</v>
      </c>
      <c r="ES139" s="57">
        <f t="shared" ref="ES139:EU139" si="837">SUM(ES140:ES152)-ES141</f>
        <v>2527.7616099999996</v>
      </c>
      <c r="ET139" s="57">
        <f t="shared" si="837"/>
        <v>4588.4510399999999</v>
      </c>
      <c r="EU139" s="57">
        <f t="shared" si="837"/>
        <v>3380.9884100000004</v>
      </c>
      <c r="EV139" s="140">
        <f t="shared" ref="EV139" si="838">SUM(EV140:EV152)-EV141</f>
        <v>0</v>
      </c>
      <c r="EW139" s="57">
        <f t="shared" ref="EW139:EW153" si="839">EX139+EY139+EZ139</f>
        <v>0</v>
      </c>
      <c r="EX139" s="57">
        <f>AZ139</f>
        <v>0</v>
      </c>
      <c r="EY139" s="57">
        <f t="shared" ref="EY139" si="840">SUM(EY140:EY152)-EY141</f>
        <v>0</v>
      </c>
      <c r="EZ139" s="390"/>
      <c r="FA139" s="390"/>
      <c r="FB139" s="57">
        <f t="shared" ref="FB139:FB197" si="841">FC139+FD139</f>
        <v>0</v>
      </c>
      <c r="FC139" s="57">
        <f>SUM(FC140:FC152)</f>
        <v>0</v>
      </c>
      <c r="FD139" s="57">
        <f>SUM(FD140:FD152)</f>
        <v>0</v>
      </c>
      <c r="FE139" s="390"/>
      <c r="FF139" s="390"/>
      <c r="FG139" s="390"/>
      <c r="FH139" s="304" t="e">
        <f t="shared" ref="FH139" si="842">SUM(FH140:FH152)</f>
        <v>#DIV/0!</v>
      </c>
      <c r="FI139" s="57" t="e">
        <f t="shared" ref="FI139:FI197" si="843">FH139-FE139</f>
        <v>#DIV/0!</v>
      </c>
      <c r="FJ139" s="295"/>
      <c r="FK139" s="57">
        <f t="shared" si="817"/>
        <v>34441.299349999994</v>
      </c>
      <c r="FL139" s="57">
        <f t="shared" si="788"/>
        <v>34441.299349999994</v>
      </c>
      <c r="FM139" s="57">
        <f>SUM(FM140:FM152)-FM141</f>
        <v>0</v>
      </c>
      <c r="FN139" s="390"/>
      <c r="FO139" s="390"/>
      <c r="FP139" s="57">
        <f t="shared" si="818"/>
        <v>39972.432630000003</v>
      </c>
      <c r="FQ139" s="57">
        <f>SUM(FQ140:FQ152)</f>
        <v>32899.905010000002</v>
      </c>
      <c r="FR139" s="57">
        <f>SUM(FR140:FR152)</f>
        <v>7072.5276199999989</v>
      </c>
      <c r="FS139" s="390"/>
      <c r="FT139" s="390"/>
      <c r="FU139" s="390"/>
      <c r="FV139" s="57">
        <f t="shared" ref="FV139" si="844">SUM(FV140:FV152)</f>
        <v>39972.432629999996</v>
      </c>
      <c r="FW139" s="57">
        <f t="shared" si="819"/>
        <v>-7072.5276199999935</v>
      </c>
      <c r="FX139" s="57">
        <f t="shared" ref="FX139" si="845">FY139+FZ139+GA139</f>
        <v>27619.046480000001</v>
      </c>
      <c r="FY139" s="57">
        <f>BD139</f>
        <v>27619.046480000001</v>
      </c>
      <c r="FZ139" s="57">
        <f t="shared" ref="FZ139" si="846">SUM(FZ140:FZ152)-FZ141</f>
        <v>0</v>
      </c>
      <c r="GA139" s="390"/>
      <c r="GB139" s="390"/>
      <c r="GC139" s="57">
        <f t="shared" ref="GC139:GC197" si="847">GD139+GE139</f>
        <v>30807.879850000001</v>
      </c>
      <c r="GD139" s="57">
        <f t="shared" si="501"/>
        <v>27426.891439999999</v>
      </c>
      <c r="GE139" s="57">
        <f t="shared" si="502"/>
        <v>3380.9884100000004</v>
      </c>
      <c r="GF139" s="390"/>
      <c r="GG139" s="390"/>
      <c r="GH139" s="390"/>
      <c r="GI139" s="304">
        <f t="shared" si="637"/>
        <v>0</v>
      </c>
      <c r="GJ139" s="77">
        <f t="shared" ref="GJ139:GJ197" si="848">GD139-GI139</f>
        <v>27426.891439999999</v>
      </c>
      <c r="GK139" s="462">
        <f t="shared" si="796"/>
        <v>0.97918396137875297</v>
      </c>
    </row>
    <row r="140" spans="2:193" s="38" customFormat="1" ht="15" customHeight="1" x14ac:dyDescent="0.25">
      <c r="B140" s="31">
        <v>1</v>
      </c>
      <c r="C140" s="30"/>
      <c r="D140" s="30"/>
      <c r="E140" s="493">
        <v>115</v>
      </c>
      <c r="F140" s="31">
        <v>1</v>
      </c>
      <c r="G140" s="30"/>
      <c r="H140" s="30"/>
      <c r="M140" s="493">
        <v>95</v>
      </c>
      <c r="N140" s="478" t="s">
        <v>224</v>
      </c>
      <c r="O140" s="4"/>
      <c r="P140" s="4">
        <f t="shared" si="816"/>
        <v>0</v>
      </c>
      <c r="Q140" s="4" t="s">
        <v>701</v>
      </c>
      <c r="R140" s="4" t="s">
        <v>699</v>
      </c>
      <c r="S140" s="443" t="s">
        <v>608</v>
      </c>
      <c r="T140" s="156">
        <v>2</v>
      </c>
      <c r="U140" s="493"/>
      <c r="V140" s="2">
        <f t="shared" si="797"/>
        <v>2406.6000000000004</v>
      </c>
      <c r="W140" s="44"/>
      <c r="X140" s="198">
        <f t="shared" si="605"/>
        <v>2406.6000000000004</v>
      </c>
      <c r="Y140" s="198">
        <v>758.2</v>
      </c>
      <c r="Z140" s="42">
        <v>1648.4</v>
      </c>
      <c r="AA140" s="44"/>
      <c r="AB140" s="567">
        <f t="shared" ref="AB140:AB152" si="849">AC140+AD140+AG140+AH140</f>
        <v>2406.6000000000004</v>
      </c>
      <c r="AC140" s="593"/>
      <c r="AD140" s="568">
        <f t="shared" si="606"/>
        <v>2406.6000000000004</v>
      </c>
      <c r="AE140" s="568">
        <v>758.2</v>
      </c>
      <c r="AF140" s="569">
        <v>1648.4</v>
      </c>
      <c r="AG140" s="593"/>
      <c r="AH140" s="594"/>
      <c r="AI140" s="567"/>
      <c r="AJ140" s="593"/>
      <c r="AK140" s="568"/>
      <c r="AL140" s="593"/>
      <c r="AM140" s="594"/>
      <c r="AN140" s="567"/>
      <c r="AO140" s="593"/>
      <c r="AP140" s="568"/>
      <c r="AQ140" s="593"/>
      <c r="AR140" s="594"/>
      <c r="AS140" s="567"/>
      <c r="AT140" s="593"/>
      <c r="AU140" s="568"/>
      <c r="AV140" s="593"/>
      <c r="AW140" s="593"/>
      <c r="AX140" s="409" t="s">
        <v>463</v>
      </c>
      <c r="AY140" s="567">
        <f t="shared" ref="AY140:AY152" si="850">AZ140+BA140+BD140+BE140</f>
        <v>2406.6000000000004</v>
      </c>
      <c r="AZ140" s="593"/>
      <c r="BA140" s="568">
        <f t="shared" ref="BA140:BA152" si="851">BB140+BC140</f>
        <v>2406.6000000000004</v>
      </c>
      <c r="BB140" s="568">
        <v>758.2</v>
      </c>
      <c r="BC140" s="569">
        <v>1648.4</v>
      </c>
      <c r="BD140" s="593"/>
      <c r="BE140" s="593"/>
      <c r="BF140" s="567">
        <f t="shared" si="798"/>
        <v>0</v>
      </c>
      <c r="BG140" s="567">
        <f t="shared" si="799"/>
        <v>0</v>
      </c>
      <c r="BH140" s="567">
        <f t="shared" si="800"/>
        <v>0</v>
      </c>
      <c r="BI140" s="567">
        <f t="shared" si="801"/>
        <v>0</v>
      </c>
      <c r="BJ140" s="567">
        <f t="shared" si="802"/>
        <v>0</v>
      </c>
      <c r="BK140" s="567">
        <f t="shared" si="803"/>
        <v>0</v>
      </c>
      <c r="BL140" s="567" t="e">
        <f>#REF!-BE140</f>
        <v>#REF!</v>
      </c>
      <c r="BM140" s="567">
        <f t="shared" ref="BM140:BM152" si="852">BN140+BO140+BP140+BQ140</f>
        <v>2150.5</v>
      </c>
      <c r="BN140" s="593"/>
      <c r="BO140" s="568">
        <v>2150.5</v>
      </c>
      <c r="BP140" s="593"/>
      <c r="BQ140" s="593"/>
      <c r="BR140" s="567">
        <f t="shared" ref="BR140:BR152" si="853">BS140+BT140+BU140+BV140</f>
        <v>0</v>
      </c>
      <c r="BS140" s="593"/>
      <c r="BT140" s="593"/>
      <c r="BU140" s="593"/>
      <c r="BV140" s="593"/>
      <c r="BW140" s="567">
        <f t="shared" ref="BW140:BW152" si="854">BX140+BY140+CB140+CC140</f>
        <v>2406.6000000000004</v>
      </c>
      <c r="BX140" s="593"/>
      <c r="BY140" s="568">
        <f t="shared" si="804"/>
        <v>2406.6000000000004</v>
      </c>
      <c r="BZ140" s="578">
        <v>758.2</v>
      </c>
      <c r="CA140" s="571">
        <v>1648.4</v>
      </c>
      <c r="CB140" s="593"/>
      <c r="CC140" s="593"/>
      <c r="CD140" s="567">
        <f t="shared" ref="CD140:CD152" si="855">CE140+CF140+CI140+CJ140</f>
        <v>2406.6000000000004</v>
      </c>
      <c r="CE140" s="593"/>
      <c r="CF140" s="568">
        <f t="shared" si="805"/>
        <v>2406.6000000000004</v>
      </c>
      <c r="CG140" s="578">
        <v>758.2</v>
      </c>
      <c r="CH140" s="571">
        <v>1648.4</v>
      </c>
      <c r="CI140" s="593"/>
      <c r="CJ140" s="593"/>
      <c r="CK140" s="567">
        <f t="shared" ref="CK140:CK152" si="856">CL140+CM140+CP140+CQ140</f>
        <v>268.02109999999999</v>
      </c>
      <c r="CL140" s="593"/>
      <c r="CM140" s="567">
        <v>268.02109999999999</v>
      </c>
      <c r="CN140" s="567"/>
      <c r="CO140" s="567"/>
      <c r="CP140" s="593"/>
      <c r="CQ140" s="593"/>
      <c r="CR140" s="573">
        <f t="shared" ref="CR140:CR152" si="857">CS140</f>
        <v>2674.6211000000003</v>
      </c>
      <c r="CS140" s="567">
        <f t="shared" si="807"/>
        <v>2674.6211000000003</v>
      </c>
      <c r="CT140" s="567">
        <f t="shared" si="808"/>
        <v>0</v>
      </c>
      <c r="CU140" s="567">
        <f t="shared" si="809"/>
        <v>2674.6211000000003</v>
      </c>
      <c r="CV140" s="567">
        <f t="shared" si="810"/>
        <v>0</v>
      </c>
      <c r="CW140" s="567">
        <f t="shared" ref="CW140:CW152" si="858">CJ140+CQ140</f>
        <v>0</v>
      </c>
      <c r="CX140" s="567">
        <f t="shared" ca="1" si="477"/>
        <v>0</v>
      </c>
      <c r="CY140" s="567">
        <f t="shared" si="811"/>
        <v>0</v>
      </c>
      <c r="CZ140" s="567">
        <f t="shared" si="812"/>
        <v>0</v>
      </c>
      <c r="DA140" s="567">
        <f t="shared" si="813"/>
        <v>0</v>
      </c>
      <c r="DB140" s="2">
        <f t="shared" ref="DB140:DB152" si="859">CC140-CJ140</f>
        <v>0</v>
      </c>
      <c r="DC140" s="257"/>
      <c r="DD140" s="261">
        <f>BM140</f>
        <v>2150.5</v>
      </c>
      <c r="DE140" s="261">
        <f>DD140</f>
        <v>2150.5</v>
      </c>
      <c r="DF140" s="2">
        <f t="shared" ref="DF140:DF152" si="860">DG140+DH140+DI140+DJ140</f>
        <v>0</v>
      </c>
      <c r="DG140" s="44"/>
      <c r="DH140" s="44"/>
      <c r="DI140" s="44"/>
      <c r="DJ140" s="44"/>
      <c r="DK140" s="2">
        <f t="shared" ref="DK140:DK152" si="861">DL140+DM140+DN140+DO140</f>
        <v>0</v>
      </c>
      <c r="DL140" s="44"/>
      <c r="DM140" s="44"/>
      <c r="DN140" s="44"/>
      <c r="DO140" s="44"/>
      <c r="DP140" s="2">
        <f t="shared" ref="DP140:DP152" si="862">DQ140+DR140+DS140+DT140</f>
        <v>0</v>
      </c>
      <c r="DQ140" s="2">
        <f t="shared" ref="DQ140:DT152" si="863">DG140-DL140</f>
        <v>0</v>
      </c>
      <c r="DR140" s="2">
        <f t="shared" si="863"/>
        <v>0</v>
      </c>
      <c r="DS140" s="2">
        <f t="shared" si="863"/>
        <v>0</v>
      </c>
      <c r="DT140" s="2">
        <f t="shared" si="863"/>
        <v>0</v>
      </c>
      <c r="DU140" s="44"/>
      <c r="DV140" s="44"/>
      <c r="DW140" s="44"/>
      <c r="DX140" s="2">
        <f t="shared" ref="DX140:DX152" ca="1" si="864">CX140+DP140+DW140</f>
        <v>0</v>
      </c>
      <c r="DY140" s="46"/>
      <c r="DZ140" s="2">
        <f t="shared" ref="DZ140:DZ152" si="865">BW140+DF140+DU140</f>
        <v>2406.6000000000004</v>
      </c>
      <c r="EA140" s="2">
        <f t="shared" ref="EA140:EA152" si="866">CD140+DK140+DV140</f>
        <v>2406.6000000000004</v>
      </c>
      <c r="EB140" s="259"/>
      <c r="EC140" s="2">
        <f t="shared" ref="EC140:EC141" si="867">EA140</f>
        <v>2406.6000000000004</v>
      </c>
      <c r="ED140" s="2">
        <f t="shared" ref="ED140:ED141" ca="1" si="868">DX140</f>
        <v>0</v>
      </c>
      <c r="EE140" s="259"/>
      <c r="EF140" s="2">
        <f>DE140-EC140</f>
        <v>-256.10000000000036</v>
      </c>
      <c r="EG140" s="259"/>
      <c r="EH140" s="259"/>
      <c r="EI140" s="2">
        <f t="shared" si="794"/>
        <v>2406.6000000000004</v>
      </c>
      <c r="EJ140" s="44"/>
      <c r="EK140" s="198">
        <f t="shared" si="814"/>
        <v>2406.6000000000004</v>
      </c>
      <c r="EL140" s="433">
        <v>758.2</v>
      </c>
      <c r="EM140" s="446">
        <v>1648.4</v>
      </c>
      <c r="EN140" s="44"/>
      <c r="EO140" s="44"/>
      <c r="EP140" s="2">
        <f t="shared" si="795"/>
        <v>268.02109999999999</v>
      </c>
      <c r="EQ140" s="44"/>
      <c r="ER140" s="2">
        <v>268.02109999999999</v>
      </c>
      <c r="ES140" s="2">
        <v>84.501980000000003</v>
      </c>
      <c r="ET140" s="2">
        <v>183.51911999999999</v>
      </c>
      <c r="EU140" s="44"/>
      <c r="EV140" s="148"/>
      <c r="EW140" s="310"/>
      <c r="EX140" s="319"/>
      <c r="EY140" s="310"/>
      <c r="EZ140" s="399"/>
      <c r="FA140" s="399"/>
      <c r="FB140" s="310"/>
      <c r="FC140" s="319"/>
      <c r="FD140" s="310"/>
      <c r="FE140" s="399"/>
      <c r="FF140" s="399"/>
      <c r="FG140" s="396"/>
      <c r="FH140" s="318"/>
      <c r="FI140" s="319"/>
      <c r="FJ140" s="300" t="e">
        <f t="shared" ref="FJ140:FJ152" si="869">FH140/FE140</f>
        <v>#DIV/0!</v>
      </c>
      <c r="FK140" s="353">
        <f t="shared" si="817"/>
        <v>2406.6000000000004</v>
      </c>
      <c r="FL140" s="353">
        <f t="shared" si="788"/>
        <v>2406.6000000000004</v>
      </c>
      <c r="FM140" s="353"/>
      <c r="FN140" s="388">
        <f t="shared" ref="FN140:FN152" si="870">FL140/FK140</f>
        <v>1</v>
      </c>
      <c r="FO140" s="388">
        <f t="shared" ref="FO140:FO152" si="871">FM140/FK140</f>
        <v>0</v>
      </c>
      <c r="FP140" s="353">
        <f t="shared" si="818"/>
        <v>2674.6211000000003</v>
      </c>
      <c r="FQ140" s="353">
        <f t="shared" ref="FQ140:FQ152" si="872">EK140</f>
        <v>2406.6000000000004</v>
      </c>
      <c r="FR140" s="353">
        <f t="shared" ref="FR140:FR152" si="873">ER140</f>
        <v>268.02109999999999</v>
      </c>
      <c r="FS140" s="388">
        <f t="shared" ref="FS140:FS152" si="874">FQ140/FP140</f>
        <v>0.89979100217223296</v>
      </c>
      <c r="FT140" s="388">
        <f t="shared" ref="FT140:FT152" si="875">FR140/FP140</f>
        <v>0.10020899782776707</v>
      </c>
      <c r="FU140" s="388"/>
      <c r="FV140" s="353">
        <f t="shared" ref="FV140:FV152" si="876">FP140*FN140</f>
        <v>2674.6211000000003</v>
      </c>
      <c r="FW140" s="353">
        <f t="shared" si="819"/>
        <v>-268.02109999999993</v>
      </c>
      <c r="FX140" s="310"/>
      <c r="FY140" s="310"/>
      <c r="FZ140" s="310"/>
      <c r="GA140" s="396"/>
      <c r="GB140" s="396"/>
      <c r="GC140" s="310"/>
      <c r="GD140" s="310"/>
      <c r="GE140" s="310"/>
      <c r="GF140" s="396"/>
      <c r="GG140" s="396"/>
      <c r="GH140" s="396"/>
      <c r="GI140" s="310"/>
      <c r="GJ140" s="344"/>
      <c r="GK140" s="463">
        <f t="shared" si="796"/>
        <v>1</v>
      </c>
    </row>
    <row r="141" spans="2:193" s="37" customFormat="1" ht="15.75" hidden="1" customHeight="1" x14ac:dyDescent="0.25">
      <c r="B141" s="29"/>
      <c r="C141" s="30"/>
      <c r="D141" s="30"/>
      <c r="E141" s="493"/>
      <c r="F141" s="29"/>
      <c r="G141" s="30"/>
      <c r="H141" s="30"/>
      <c r="M141" s="493"/>
      <c r="N141" s="18" t="s">
        <v>246</v>
      </c>
      <c r="O141" s="128"/>
      <c r="P141" s="128">
        <f t="shared" si="816"/>
        <v>0</v>
      </c>
      <c r="Q141" s="128"/>
      <c r="R141" s="128"/>
      <c r="S141" s="128"/>
      <c r="T141" s="128"/>
      <c r="U141" s="128"/>
      <c r="V141" s="2">
        <f t="shared" si="797"/>
        <v>0</v>
      </c>
      <c r="W141" s="2"/>
      <c r="X141" s="198">
        <f t="shared" si="605"/>
        <v>0</v>
      </c>
      <c r="Y141" s="233"/>
      <c r="Z141" s="43"/>
      <c r="AA141" s="2"/>
      <c r="AB141" s="567">
        <f t="shared" si="849"/>
        <v>0</v>
      </c>
      <c r="AC141" s="567"/>
      <c r="AD141" s="568">
        <f t="shared" si="606"/>
        <v>0</v>
      </c>
      <c r="AE141" s="575"/>
      <c r="AF141" s="576"/>
      <c r="AG141" s="567"/>
      <c r="AH141" s="573"/>
      <c r="AI141" s="567"/>
      <c r="AJ141" s="567"/>
      <c r="AK141" s="575"/>
      <c r="AL141" s="567"/>
      <c r="AM141" s="573"/>
      <c r="AN141" s="567"/>
      <c r="AO141" s="567"/>
      <c r="AP141" s="575"/>
      <c r="AQ141" s="567"/>
      <c r="AR141" s="573"/>
      <c r="AS141" s="567"/>
      <c r="AT141" s="567"/>
      <c r="AU141" s="575"/>
      <c r="AV141" s="567"/>
      <c r="AW141" s="567"/>
      <c r="AX141" s="409"/>
      <c r="AY141" s="567">
        <f t="shared" si="850"/>
        <v>0</v>
      </c>
      <c r="AZ141" s="567"/>
      <c r="BA141" s="574">
        <f t="shared" si="851"/>
        <v>0</v>
      </c>
      <c r="BB141" s="567"/>
      <c r="BC141" s="567"/>
      <c r="BD141" s="574"/>
      <c r="BE141" s="567"/>
      <c r="BF141" s="567">
        <f t="shared" si="798"/>
        <v>0</v>
      </c>
      <c r="BG141" s="567">
        <f t="shared" si="799"/>
        <v>0</v>
      </c>
      <c r="BH141" s="567">
        <f t="shared" si="800"/>
        <v>0</v>
      </c>
      <c r="BI141" s="567">
        <f t="shared" si="801"/>
        <v>0</v>
      </c>
      <c r="BJ141" s="567">
        <f t="shared" si="802"/>
        <v>0</v>
      </c>
      <c r="BK141" s="567">
        <f t="shared" si="803"/>
        <v>0</v>
      </c>
      <c r="BL141" s="567" t="e">
        <f>#REF!-BE141</f>
        <v>#REF!</v>
      </c>
      <c r="BM141" s="567">
        <f t="shared" si="852"/>
        <v>0</v>
      </c>
      <c r="BN141" s="567"/>
      <c r="BO141" s="567"/>
      <c r="BP141" s="567"/>
      <c r="BQ141" s="567"/>
      <c r="BR141" s="567">
        <f t="shared" si="853"/>
        <v>0</v>
      </c>
      <c r="BS141" s="567"/>
      <c r="BT141" s="567"/>
      <c r="BU141" s="567"/>
      <c r="BV141" s="567"/>
      <c r="BW141" s="567">
        <f t="shared" si="854"/>
        <v>0</v>
      </c>
      <c r="BX141" s="567"/>
      <c r="BY141" s="567">
        <f t="shared" si="804"/>
        <v>0</v>
      </c>
      <c r="BZ141" s="574"/>
      <c r="CA141" s="574"/>
      <c r="CB141" s="567"/>
      <c r="CC141" s="567"/>
      <c r="CD141" s="567">
        <f t="shared" si="855"/>
        <v>0</v>
      </c>
      <c r="CE141" s="567"/>
      <c r="CF141" s="567">
        <f t="shared" si="805"/>
        <v>0</v>
      </c>
      <c r="CG141" s="574"/>
      <c r="CH141" s="574"/>
      <c r="CI141" s="567"/>
      <c r="CJ141" s="567"/>
      <c r="CK141" s="567">
        <f t="shared" si="856"/>
        <v>0</v>
      </c>
      <c r="CL141" s="567"/>
      <c r="CM141" s="567">
        <f t="shared" si="806"/>
        <v>0</v>
      </c>
      <c r="CN141" s="567"/>
      <c r="CO141" s="567"/>
      <c r="CP141" s="567"/>
      <c r="CQ141" s="567"/>
      <c r="CR141" s="573">
        <f t="shared" si="857"/>
        <v>0</v>
      </c>
      <c r="CS141" s="567">
        <f t="shared" si="807"/>
        <v>0</v>
      </c>
      <c r="CT141" s="567">
        <f t="shared" si="808"/>
        <v>0</v>
      </c>
      <c r="CU141" s="567">
        <f t="shared" si="809"/>
        <v>0</v>
      </c>
      <c r="CV141" s="567">
        <f t="shared" si="810"/>
        <v>0</v>
      </c>
      <c r="CW141" s="567">
        <f t="shared" si="858"/>
        <v>0</v>
      </c>
      <c r="CX141" s="567">
        <f t="shared" ca="1" si="477"/>
        <v>0</v>
      </c>
      <c r="CY141" s="567">
        <f t="shared" si="811"/>
        <v>0</v>
      </c>
      <c r="CZ141" s="567">
        <f t="shared" si="812"/>
        <v>0</v>
      </c>
      <c r="DA141" s="567">
        <f t="shared" si="813"/>
        <v>0</v>
      </c>
      <c r="DB141" s="2">
        <f t="shared" si="859"/>
        <v>0</v>
      </c>
      <c r="DC141" s="76"/>
      <c r="DD141" s="253"/>
      <c r="DE141" s="253"/>
      <c r="DF141" s="2">
        <f t="shared" si="860"/>
        <v>0</v>
      </c>
      <c r="DG141" s="2"/>
      <c r="DH141" s="2"/>
      <c r="DI141" s="2"/>
      <c r="DJ141" s="2"/>
      <c r="DK141" s="2">
        <f t="shared" si="861"/>
        <v>0</v>
      </c>
      <c r="DL141" s="2"/>
      <c r="DM141" s="2"/>
      <c r="DN141" s="2"/>
      <c r="DO141" s="2"/>
      <c r="DP141" s="2">
        <f t="shared" si="862"/>
        <v>0</v>
      </c>
      <c r="DQ141" s="2">
        <f t="shared" si="863"/>
        <v>0</v>
      </c>
      <c r="DR141" s="2">
        <f t="shared" si="863"/>
        <v>0</v>
      </c>
      <c r="DS141" s="2">
        <f t="shared" si="863"/>
        <v>0</v>
      </c>
      <c r="DT141" s="2">
        <f t="shared" si="863"/>
        <v>0</v>
      </c>
      <c r="DU141" s="2"/>
      <c r="DV141" s="2"/>
      <c r="DW141" s="2"/>
      <c r="DX141" s="2">
        <f t="shared" ca="1" si="864"/>
        <v>0</v>
      </c>
      <c r="DY141" s="46"/>
      <c r="DZ141" s="2">
        <f t="shared" si="865"/>
        <v>0</v>
      </c>
      <c r="EA141" s="2">
        <f t="shared" si="866"/>
        <v>0</v>
      </c>
      <c r="EB141" s="46"/>
      <c r="EC141" s="2">
        <f t="shared" si="867"/>
        <v>0</v>
      </c>
      <c r="ED141" s="2">
        <f t="shared" ca="1" si="868"/>
        <v>0</v>
      </c>
      <c r="EE141" s="46"/>
      <c r="EF141" s="2"/>
      <c r="EG141" s="46"/>
      <c r="EH141" s="46"/>
      <c r="EI141" s="2">
        <f t="shared" si="794"/>
        <v>0</v>
      </c>
      <c r="EJ141" s="2"/>
      <c r="EK141" s="2">
        <f t="shared" si="814"/>
        <v>0</v>
      </c>
      <c r="EL141" s="432"/>
      <c r="EM141" s="432"/>
      <c r="EN141" s="2"/>
      <c r="EO141" s="2"/>
      <c r="EP141" s="2">
        <f t="shared" si="795"/>
        <v>0</v>
      </c>
      <c r="EQ141" s="2"/>
      <c r="ER141" s="2">
        <f t="shared" si="815"/>
        <v>0</v>
      </c>
      <c r="ES141" s="2"/>
      <c r="ET141" s="2"/>
      <c r="EU141" s="2"/>
      <c r="EV141" s="141"/>
      <c r="EW141" s="310"/>
      <c r="EX141" s="310"/>
      <c r="EY141" s="310"/>
      <c r="EZ141" s="396"/>
      <c r="FA141" s="396"/>
      <c r="FB141" s="310"/>
      <c r="FC141" s="310"/>
      <c r="FD141" s="310"/>
      <c r="FE141" s="396"/>
      <c r="FF141" s="396"/>
      <c r="FG141" s="396"/>
      <c r="FH141" s="311"/>
      <c r="FI141" s="310"/>
      <c r="FJ141" s="296" t="e">
        <f t="shared" si="869"/>
        <v>#DIV/0!</v>
      </c>
      <c r="FK141" s="353"/>
      <c r="FL141" s="353"/>
      <c r="FM141" s="353"/>
      <c r="FN141" s="388"/>
      <c r="FO141" s="388"/>
      <c r="FP141" s="353"/>
      <c r="FQ141" s="353"/>
      <c r="FR141" s="353"/>
      <c r="FS141" s="388"/>
      <c r="FT141" s="388"/>
      <c r="FU141" s="388"/>
      <c r="FV141" s="353"/>
      <c r="FW141" s="353">
        <f t="shared" si="819"/>
        <v>0</v>
      </c>
      <c r="FX141" s="310"/>
      <c r="FY141" s="310"/>
      <c r="FZ141" s="310"/>
      <c r="GA141" s="396"/>
      <c r="GB141" s="396"/>
      <c r="GC141" s="310"/>
      <c r="GD141" s="310"/>
      <c r="GE141" s="310"/>
      <c r="GF141" s="396"/>
      <c r="GG141" s="396"/>
      <c r="GH141" s="396"/>
      <c r="GI141" s="310"/>
      <c r="GJ141" s="344"/>
      <c r="GK141" s="303" t="e">
        <f t="shared" si="796"/>
        <v>#DIV/0!</v>
      </c>
    </row>
    <row r="142" spans="2:193" s="37" customFormat="1" ht="15.6" customHeight="1" x14ac:dyDescent="0.25">
      <c r="B142" s="29"/>
      <c r="C142" s="30">
        <v>1</v>
      </c>
      <c r="D142" s="30"/>
      <c r="E142" s="493">
        <v>116</v>
      </c>
      <c r="F142" s="29"/>
      <c r="G142" s="30">
        <v>1</v>
      </c>
      <c r="H142" s="30">
        <v>1</v>
      </c>
      <c r="M142" s="493">
        <v>96</v>
      </c>
      <c r="N142" s="478" t="s">
        <v>225</v>
      </c>
      <c r="O142" s="478"/>
      <c r="P142" s="478">
        <f t="shared" si="816"/>
        <v>0</v>
      </c>
      <c r="Q142" s="478" t="s">
        <v>701</v>
      </c>
      <c r="R142" s="478" t="s">
        <v>699</v>
      </c>
      <c r="S142" s="494" t="s">
        <v>531</v>
      </c>
      <c r="T142" s="156">
        <v>3</v>
      </c>
      <c r="U142" s="493"/>
      <c r="V142" s="2">
        <f t="shared" si="797"/>
        <v>10370.346</v>
      </c>
      <c r="W142" s="2"/>
      <c r="X142" s="198">
        <f t="shared" si="605"/>
        <v>4896.3999999999996</v>
      </c>
      <c r="Y142" s="198">
        <v>1542.7</v>
      </c>
      <c r="Z142" s="42">
        <v>3353.7</v>
      </c>
      <c r="AA142" s="2">
        <v>5473.9459999999999</v>
      </c>
      <c r="AB142" s="567">
        <f t="shared" si="849"/>
        <v>10370.346</v>
      </c>
      <c r="AC142" s="567"/>
      <c r="AD142" s="568">
        <f t="shared" si="606"/>
        <v>4896.3999999999996</v>
      </c>
      <c r="AE142" s="568">
        <v>1542.7</v>
      </c>
      <c r="AF142" s="569">
        <v>3353.7</v>
      </c>
      <c r="AG142" s="567">
        <v>5473.9459999999999</v>
      </c>
      <c r="AH142" s="570"/>
      <c r="AI142" s="567"/>
      <c r="AJ142" s="567"/>
      <c r="AK142" s="568"/>
      <c r="AL142" s="567"/>
      <c r="AM142" s="570"/>
      <c r="AN142" s="567"/>
      <c r="AO142" s="567"/>
      <c r="AP142" s="568"/>
      <c r="AQ142" s="567"/>
      <c r="AR142" s="570"/>
      <c r="AS142" s="567"/>
      <c r="AT142" s="567"/>
      <c r="AU142" s="568"/>
      <c r="AV142" s="567"/>
      <c r="AW142" s="570"/>
      <c r="AX142" s="409" t="s">
        <v>403</v>
      </c>
      <c r="AY142" s="567">
        <f t="shared" si="850"/>
        <v>10370.345719999999</v>
      </c>
      <c r="AZ142" s="567"/>
      <c r="BA142" s="568">
        <f t="shared" si="851"/>
        <v>4896.3999999999996</v>
      </c>
      <c r="BB142" s="568">
        <v>1542.7</v>
      </c>
      <c r="BC142" s="569">
        <v>3353.7</v>
      </c>
      <c r="BD142" s="574">
        <v>5473.9457199999997</v>
      </c>
      <c r="BE142" s="570"/>
      <c r="BF142" s="567">
        <f t="shared" si="798"/>
        <v>2.8000000020256266E-4</v>
      </c>
      <c r="BG142" s="567">
        <f t="shared" si="799"/>
        <v>0</v>
      </c>
      <c r="BH142" s="567">
        <f t="shared" si="800"/>
        <v>0</v>
      </c>
      <c r="BI142" s="567">
        <f t="shared" si="801"/>
        <v>0</v>
      </c>
      <c r="BJ142" s="567">
        <f t="shared" si="802"/>
        <v>0</v>
      </c>
      <c r="BK142" s="567">
        <f t="shared" si="803"/>
        <v>2.8000000020256266E-4</v>
      </c>
      <c r="BL142" s="567" t="e">
        <f>#REF!-BE142</f>
        <v>#REF!</v>
      </c>
      <c r="BM142" s="567">
        <f t="shared" si="852"/>
        <v>3880.1</v>
      </c>
      <c r="BN142" s="567"/>
      <c r="BO142" s="568">
        <f>687+893.1</f>
        <v>1580.1</v>
      </c>
      <c r="BP142" s="567">
        <v>2300</v>
      </c>
      <c r="BQ142" s="570"/>
      <c r="BR142" s="567">
        <f t="shared" si="853"/>
        <v>0</v>
      </c>
      <c r="BS142" s="567"/>
      <c r="BT142" s="568"/>
      <c r="BU142" s="567"/>
      <c r="BV142" s="570"/>
      <c r="BW142" s="567">
        <f t="shared" si="854"/>
        <v>10370.345719999999</v>
      </c>
      <c r="BX142" s="567"/>
      <c r="BY142" s="568">
        <f t="shared" si="804"/>
        <v>4896.3999999999996</v>
      </c>
      <c r="BZ142" s="578">
        <v>1542.7</v>
      </c>
      <c r="CA142" s="571">
        <v>3353.7</v>
      </c>
      <c r="CB142" s="567">
        <v>5473.9457199999997</v>
      </c>
      <c r="CC142" s="577"/>
      <c r="CD142" s="567">
        <f t="shared" si="855"/>
        <v>10370.345719999999</v>
      </c>
      <c r="CE142" s="567"/>
      <c r="CF142" s="568">
        <f t="shared" si="805"/>
        <v>4896.3999999999996</v>
      </c>
      <c r="CG142" s="578">
        <v>1542.7</v>
      </c>
      <c r="CH142" s="571">
        <v>3353.7</v>
      </c>
      <c r="CI142" s="567">
        <v>5473.9457199999997</v>
      </c>
      <c r="CJ142" s="570"/>
      <c r="CK142" s="567">
        <f t="shared" si="856"/>
        <v>2200.5612799999999</v>
      </c>
      <c r="CL142" s="567"/>
      <c r="CM142" s="567">
        <v>1724.566</v>
      </c>
      <c r="CN142" s="567"/>
      <c r="CO142" s="567"/>
      <c r="CP142" s="567">
        <v>475.99527999999998</v>
      </c>
      <c r="CQ142" s="567"/>
      <c r="CR142" s="573">
        <f t="shared" si="857"/>
        <v>12570.906999999999</v>
      </c>
      <c r="CS142" s="567">
        <f t="shared" si="807"/>
        <v>12570.906999999999</v>
      </c>
      <c r="CT142" s="567">
        <f t="shared" si="808"/>
        <v>0</v>
      </c>
      <c r="CU142" s="567">
        <f t="shared" si="809"/>
        <v>6620.9659999999994</v>
      </c>
      <c r="CV142" s="567">
        <f t="shared" si="810"/>
        <v>5949.9409999999998</v>
      </c>
      <c r="CW142" s="567">
        <f t="shared" si="858"/>
        <v>0</v>
      </c>
      <c r="CX142" s="567">
        <f t="shared" ca="1" si="477"/>
        <v>0</v>
      </c>
      <c r="CY142" s="567">
        <f t="shared" si="811"/>
        <v>0</v>
      </c>
      <c r="CZ142" s="567">
        <f t="shared" si="812"/>
        <v>0</v>
      </c>
      <c r="DA142" s="567">
        <f t="shared" si="813"/>
        <v>0</v>
      </c>
      <c r="DB142" s="2">
        <f t="shared" si="859"/>
        <v>0</v>
      </c>
      <c r="DC142" s="76"/>
      <c r="DD142" s="545">
        <f>BM142+BM143+BM144+BM145+BM146+BM147+BM149+BM151</f>
        <v>15943.800000000001</v>
      </c>
      <c r="DE142" s="545">
        <f>DD142-BR139</f>
        <v>15943.800000000001</v>
      </c>
      <c r="DF142" s="2">
        <f t="shared" si="860"/>
        <v>0</v>
      </c>
      <c r="DG142" s="2"/>
      <c r="DH142" s="198"/>
      <c r="DI142" s="2"/>
      <c r="DJ142" s="234"/>
      <c r="DK142" s="2">
        <f t="shared" si="861"/>
        <v>0</v>
      </c>
      <c r="DL142" s="2"/>
      <c r="DM142" s="198"/>
      <c r="DN142" s="2"/>
      <c r="DO142" s="234"/>
      <c r="DP142" s="2">
        <f t="shared" si="862"/>
        <v>0</v>
      </c>
      <c r="DQ142" s="2">
        <f t="shared" si="863"/>
        <v>0</v>
      </c>
      <c r="DR142" s="2">
        <f t="shared" si="863"/>
        <v>0</v>
      </c>
      <c r="DS142" s="2">
        <f t="shared" si="863"/>
        <v>0</v>
      </c>
      <c r="DT142" s="2">
        <f t="shared" si="863"/>
        <v>0</v>
      </c>
      <c r="DU142" s="2"/>
      <c r="DV142" s="2"/>
      <c r="DW142" s="2"/>
      <c r="DX142" s="2">
        <f t="shared" ca="1" si="864"/>
        <v>0</v>
      </c>
      <c r="DY142" s="46"/>
      <c r="DZ142" s="2">
        <f t="shared" si="865"/>
        <v>10370.345719999999</v>
      </c>
      <c r="EA142" s="2">
        <f t="shared" si="866"/>
        <v>10370.345719999999</v>
      </c>
      <c r="EB142" s="46"/>
      <c r="EC142" s="546">
        <f>EA142+EA143+EA144+EA145+EA146+EA147+EA149+EA151</f>
        <v>50064.244050000001</v>
      </c>
      <c r="ED142" s="546">
        <f ca="1">DX142+DX143+DX144+DX145+DX146+DX147+DX149+DX151</f>
        <v>0</v>
      </c>
      <c r="EE142" s="46"/>
      <c r="EF142" s="2">
        <f>DE142-EC142</f>
        <v>-34120.444049999998</v>
      </c>
      <c r="EG142" s="46"/>
      <c r="EH142" s="46"/>
      <c r="EI142" s="2">
        <f t="shared" si="794"/>
        <v>10370.345719999999</v>
      </c>
      <c r="EJ142" s="2"/>
      <c r="EK142" s="198">
        <f t="shared" si="814"/>
        <v>4896.3999999999996</v>
      </c>
      <c r="EL142" s="433">
        <v>1542.7</v>
      </c>
      <c r="EM142" s="446">
        <v>3353.7</v>
      </c>
      <c r="EN142" s="2">
        <v>5473.9457199999997</v>
      </c>
      <c r="EO142" s="234"/>
      <c r="EP142" s="2">
        <f t="shared" si="795"/>
        <v>2200.5612799999999</v>
      </c>
      <c r="EQ142" s="2"/>
      <c r="ER142" s="2">
        <v>1724.566</v>
      </c>
      <c r="ES142" s="2">
        <v>543.35599999999999</v>
      </c>
      <c r="ET142" s="2">
        <v>1181.21</v>
      </c>
      <c r="EU142" s="2">
        <v>475.99527999999998</v>
      </c>
      <c r="EV142" s="141"/>
      <c r="EW142" s="310"/>
      <c r="EX142" s="310"/>
      <c r="EY142" s="310"/>
      <c r="EZ142" s="396"/>
      <c r="FA142" s="396"/>
      <c r="FB142" s="310"/>
      <c r="FC142" s="310"/>
      <c r="FD142" s="310"/>
      <c r="FE142" s="396"/>
      <c r="FF142" s="396"/>
      <c r="FG142" s="396"/>
      <c r="FH142" s="311"/>
      <c r="FI142" s="310"/>
      <c r="FJ142" s="296" t="e">
        <f t="shared" si="869"/>
        <v>#DIV/0!</v>
      </c>
      <c r="FK142" s="353">
        <f>FL142+FM142</f>
        <v>4896.3999999999996</v>
      </c>
      <c r="FL142" s="353">
        <f>BA142</f>
        <v>4896.3999999999996</v>
      </c>
      <c r="FM142" s="353"/>
      <c r="FN142" s="388">
        <f t="shared" si="870"/>
        <v>1</v>
      </c>
      <c r="FO142" s="388">
        <f>FM142/FK142</f>
        <v>0</v>
      </c>
      <c r="FP142" s="353">
        <f t="shared" si="818"/>
        <v>6620.9659999999994</v>
      </c>
      <c r="FQ142" s="353">
        <f t="shared" si="872"/>
        <v>4896.3999999999996</v>
      </c>
      <c r="FR142" s="353">
        <f t="shared" si="873"/>
        <v>1724.566</v>
      </c>
      <c r="FS142" s="388">
        <f t="shared" si="874"/>
        <v>0.7395295490114282</v>
      </c>
      <c r="FT142" s="388">
        <f t="shared" si="875"/>
        <v>0.2604704509885718</v>
      </c>
      <c r="FU142" s="388"/>
      <c r="FV142" s="353">
        <f t="shared" si="876"/>
        <v>6620.9659999999994</v>
      </c>
      <c r="FW142" s="353">
        <f t="shared" si="819"/>
        <v>-1724.5659999999998</v>
      </c>
      <c r="FX142" s="310">
        <f t="shared" ref="FX142:FX152" si="877">FY142+FZ142</f>
        <v>5473.9457199999997</v>
      </c>
      <c r="FY142" s="310">
        <f>BD142</f>
        <v>5473.9457199999997</v>
      </c>
      <c r="FZ142" s="310"/>
      <c r="GA142" s="396">
        <f t="shared" ref="GA142:GA152" si="878">FY142/FX142</f>
        <v>1</v>
      </c>
      <c r="GB142" s="396">
        <f t="shared" ref="GB142:GB152" si="879">FZ142/FX142</f>
        <v>0</v>
      </c>
      <c r="GC142" s="310">
        <f t="shared" si="847"/>
        <v>5949.9409999999998</v>
      </c>
      <c r="GD142" s="310">
        <f t="shared" si="501"/>
        <v>5473.9457199999997</v>
      </c>
      <c r="GE142" s="310">
        <f t="shared" si="502"/>
        <v>475.99527999999998</v>
      </c>
      <c r="GF142" s="396">
        <f t="shared" ref="GF142:GF152" si="880">GD142/GC142</f>
        <v>0.91999999999999993</v>
      </c>
      <c r="GG142" s="396">
        <f t="shared" ref="GG142:GG152" si="881">GE142/GC142</f>
        <v>0.08</v>
      </c>
      <c r="GH142" s="396"/>
      <c r="GI142" s="310">
        <f t="shared" si="637"/>
        <v>5949.9409999999998</v>
      </c>
      <c r="GJ142" s="344">
        <f t="shared" si="848"/>
        <v>-475.99528000000009</v>
      </c>
      <c r="GK142" s="303">
        <f t="shared" si="796"/>
        <v>0.99999997299993648</v>
      </c>
    </row>
    <row r="143" spans="2:193" s="37" customFormat="1" ht="15.6" customHeight="1" x14ac:dyDescent="0.25">
      <c r="B143" s="29"/>
      <c r="C143" s="30">
        <v>1</v>
      </c>
      <c r="D143" s="30"/>
      <c r="E143" s="493">
        <v>117</v>
      </c>
      <c r="F143" s="29"/>
      <c r="G143" s="30">
        <v>1</v>
      </c>
      <c r="H143" s="30">
        <v>1</v>
      </c>
      <c r="M143" s="493">
        <v>97</v>
      </c>
      <c r="N143" s="494" t="s">
        <v>51</v>
      </c>
      <c r="O143" s="494"/>
      <c r="P143" s="494">
        <f t="shared" si="816"/>
        <v>0</v>
      </c>
      <c r="Q143" s="494" t="s">
        <v>701</v>
      </c>
      <c r="R143" s="494" t="s">
        <v>699</v>
      </c>
      <c r="S143" s="494" t="s">
        <v>568</v>
      </c>
      <c r="T143" s="156">
        <v>3</v>
      </c>
      <c r="U143" s="493"/>
      <c r="V143" s="2">
        <f t="shared" si="797"/>
        <v>8403.2240000000002</v>
      </c>
      <c r="W143" s="2"/>
      <c r="X143" s="198">
        <f t="shared" si="605"/>
        <v>4864.3999999999996</v>
      </c>
      <c r="Y143" s="198">
        <v>1532.6</v>
      </c>
      <c r="Z143" s="42">
        <v>3331.8</v>
      </c>
      <c r="AA143" s="2">
        <v>3538.8240000000001</v>
      </c>
      <c r="AB143" s="567">
        <f t="shared" si="849"/>
        <v>8403.2240000000002</v>
      </c>
      <c r="AC143" s="567"/>
      <c r="AD143" s="568">
        <f t="shared" si="606"/>
        <v>4864.3999999999996</v>
      </c>
      <c r="AE143" s="568">
        <v>1532.6</v>
      </c>
      <c r="AF143" s="569">
        <v>3331.8</v>
      </c>
      <c r="AG143" s="567">
        <v>3538.8240000000001</v>
      </c>
      <c r="AH143" s="570"/>
      <c r="AI143" s="567"/>
      <c r="AJ143" s="567"/>
      <c r="AK143" s="568"/>
      <c r="AL143" s="567"/>
      <c r="AM143" s="570"/>
      <c r="AN143" s="567"/>
      <c r="AO143" s="567"/>
      <c r="AP143" s="568"/>
      <c r="AQ143" s="567"/>
      <c r="AR143" s="570"/>
      <c r="AS143" s="567"/>
      <c r="AT143" s="567"/>
      <c r="AU143" s="568"/>
      <c r="AV143" s="567"/>
      <c r="AW143" s="570"/>
      <c r="AX143" s="409" t="s">
        <v>431</v>
      </c>
      <c r="AY143" s="567">
        <f t="shared" si="850"/>
        <v>8403.2233799999995</v>
      </c>
      <c r="AZ143" s="567"/>
      <c r="BA143" s="578">
        <f t="shared" si="851"/>
        <v>4864.3993799999998</v>
      </c>
      <c r="BB143" s="568">
        <f>1532.6-0.00062</f>
        <v>1532.5993799999999</v>
      </c>
      <c r="BC143" s="569">
        <f>3331.79938+0.00062</f>
        <v>3331.7999999999997</v>
      </c>
      <c r="BD143" s="574">
        <v>3538.8240000000001</v>
      </c>
      <c r="BE143" s="570"/>
      <c r="BF143" s="567">
        <f t="shared" si="798"/>
        <v>6.2000000002626621E-4</v>
      </c>
      <c r="BG143" s="567">
        <f t="shared" si="799"/>
        <v>0</v>
      </c>
      <c r="BH143" s="567">
        <f t="shared" si="800"/>
        <v>6.2000000002626621E-4</v>
      </c>
      <c r="BI143" s="567">
        <f t="shared" si="801"/>
        <v>6.2000000002626621E-4</v>
      </c>
      <c r="BJ143" s="567">
        <f t="shared" si="802"/>
        <v>0</v>
      </c>
      <c r="BK143" s="567">
        <f t="shared" si="803"/>
        <v>0</v>
      </c>
      <c r="BL143" s="567" t="e">
        <f>#REF!-BE143</f>
        <v>#REF!</v>
      </c>
      <c r="BM143" s="567">
        <f t="shared" si="852"/>
        <v>7311.9</v>
      </c>
      <c r="BN143" s="567"/>
      <c r="BO143" s="568">
        <f>683+887.9</f>
        <v>1570.9</v>
      </c>
      <c r="BP143" s="567">
        <v>5741</v>
      </c>
      <c r="BQ143" s="570"/>
      <c r="BR143" s="567">
        <f t="shared" si="853"/>
        <v>0</v>
      </c>
      <c r="BS143" s="567"/>
      <c r="BT143" s="568"/>
      <c r="BU143" s="567"/>
      <c r="BV143" s="570"/>
      <c r="BW143" s="567">
        <f t="shared" si="854"/>
        <v>8403.2233799999995</v>
      </c>
      <c r="BX143" s="567"/>
      <c r="BY143" s="578">
        <f t="shared" si="804"/>
        <v>4864.3993799999998</v>
      </c>
      <c r="BZ143" s="578">
        <f>1532.6-0.00062</f>
        <v>1532.5993799999999</v>
      </c>
      <c r="CA143" s="571">
        <f>3331.79938+0.00062</f>
        <v>3331.7999999999997</v>
      </c>
      <c r="CB143" s="567">
        <f>1355.04081+2183.78319</f>
        <v>3538.8240000000001</v>
      </c>
      <c r="CC143" s="577"/>
      <c r="CD143" s="567">
        <f t="shared" si="855"/>
        <v>8403.2233799999995</v>
      </c>
      <c r="CE143" s="567"/>
      <c r="CF143" s="578">
        <f t="shared" si="805"/>
        <v>4864.3993799999998</v>
      </c>
      <c r="CG143" s="578">
        <f>1532.6-0.00062</f>
        <v>1532.5993799999999</v>
      </c>
      <c r="CH143" s="571">
        <f>3331.79938+0.00062</f>
        <v>3331.7999999999997</v>
      </c>
      <c r="CI143" s="567">
        <f>1355.04081+2183.78319</f>
        <v>3538.8240000000001</v>
      </c>
      <c r="CJ143" s="570"/>
      <c r="CK143" s="567">
        <f t="shared" si="856"/>
        <v>1495.3886200000002</v>
      </c>
      <c r="CL143" s="567"/>
      <c r="CM143" s="567">
        <f t="shared" si="806"/>
        <v>1145.39462</v>
      </c>
      <c r="CN143" s="567">
        <v>815.87599999999998</v>
      </c>
      <c r="CO143" s="567">
        <v>329.51862</v>
      </c>
      <c r="CP143" s="567">
        <f>134.01519+215.97881</f>
        <v>349.99400000000003</v>
      </c>
      <c r="CQ143" s="567"/>
      <c r="CR143" s="573">
        <f t="shared" si="857"/>
        <v>9898.612000000001</v>
      </c>
      <c r="CS143" s="567">
        <f t="shared" si="807"/>
        <v>9898.612000000001</v>
      </c>
      <c r="CT143" s="567">
        <f t="shared" si="808"/>
        <v>0</v>
      </c>
      <c r="CU143" s="567">
        <f t="shared" si="809"/>
        <v>6009.7939999999999</v>
      </c>
      <c r="CV143" s="567">
        <f t="shared" si="810"/>
        <v>3888.8180000000002</v>
      </c>
      <c r="CW143" s="567">
        <f t="shared" si="858"/>
        <v>0</v>
      </c>
      <c r="CX143" s="567">
        <f t="shared" ca="1" si="477"/>
        <v>0</v>
      </c>
      <c r="CY143" s="567">
        <f t="shared" si="811"/>
        <v>0</v>
      </c>
      <c r="CZ143" s="567">
        <f t="shared" si="812"/>
        <v>0</v>
      </c>
      <c r="DA143" s="567">
        <f t="shared" si="813"/>
        <v>0</v>
      </c>
      <c r="DB143" s="2">
        <f t="shared" si="859"/>
        <v>0</v>
      </c>
      <c r="DC143" s="76"/>
      <c r="DD143" s="253"/>
      <c r="DE143" s="253"/>
      <c r="DF143" s="2">
        <f t="shared" si="860"/>
        <v>0</v>
      </c>
      <c r="DG143" s="2"/>
      <c r="DH143" s="198"/>
      <c r="DI143" s="2"/>
      <c r="DJ143" s="234"/>
      <c r="DK143" s="2">
        <f t="shared" si="861"/>
        <v>0</v>
      </c>
      <c r="DL143" s="2"/>
      <c r="DM143" s="198"/>
      <c r="DN143" s="2"/>
      <c r="DO143" s="234"/>
      <c r="DP143" s="2">
        <f t="shared" si="862"/>
        <v>0</v>
      </c>
      <c r="DQ143" s="2">
        <f t="shared" si="863"/>
        <v>0</v>
      </c>
      <c r="DR143" s="2">
        <f t="shared" si="863"/>
        <v>0</v>
      </c>
      <c r="DS143" s="2">
        <f t="shared" si="863"/>
        <v>0</v>
      </c>
      <c r="DT143" s="2">
        <f t="shared" si="863"/>
        <v>0</v>
      </c>
      <c r="DU143" s="2"/>
      <c r="DV143" s="2"/>
      <c r="DW143" s="2"/>
      <c r="DX143" s="2">
        <f t="shared" ca="1" si="864"/>
        <v>0</v>
      </c>
      <c r="DY143" s="46"/>
      <c r="DZ143" s="2">
        <f t="shared" si="865"/>
        <v>8403.2233799999995</v>
      </c>
      <c r="EA143" s="2">
        <f t="shared" si="866"/>
        <v>8403.2233799999995</v>
      </c>
      <c r="EB143" s="46"/>
      <c r="EC143" s="2"/>
      <c r="ED143" s="2"/>
      <c r="EE143" s="46"/>
      <c r="EF143" s="2"/>
      <c r="EG143" s="46"/>
      <c r="EH143" s="46"/>
      <c r="EI143" s="2">
        <f t="shared" si="794"/>
        <v>8403.2233799999995</v>
      </c>
      <c r="EJ143" s="2"/>
      <c r="EK143" s="433">
        <f t="shared" si="814"/>
        <v>4864.3993799999998</v>
      </c>
      <c r="EL143" s="433">
        <f>1532.6-0.00062</f>
        <v>1532.5993799999999</v>
      </c>
      <c r="EM143" s="446">
        <f>3331.79938+0.00062</f>
        <v>3331.7999999999997</v>
      </c>
      <c r="EN143" s="2">
        <f>1355.04081+2183.78319</f>
        <v>3538.8240000000001</v>
      </c>
      <c r="EO143" s="234"/>
      <c r="EP143" s="2">
        <f t="shared" si="795"/>
        <v>1495.3886200000002</v>
      </c>
      <c r="EQ143" s="2"/>
      <c r="ER143" s="2">
        <f t="shared" si="815"/>
        <v>1145.39462</v>
      </c>
      <c r="ES143" s="2">
        <v>815.87599999999998</v>
      </c>
      <c r="ET143" s="2">
        <v>329.51862</v>
      </c>
      <c r="EU143" s="2">
        <f>134.01519+215.97881</f>
        <v>349.99400000000003</v>
      </c>
      <c r="EV143" s="141"/>
      <c r="EW143" s="310"/>
      <c r="EX143" s="310"/>
      <c r="EY143" s="310"/>
      <c r="EZ143" s="396"/>
      <c r="FA143" s="396"/>
      <c r="FB143" s="310"/>
      <c r="FC143" s="310"/>
      <c r="FD143" s="310"/>
      <c r="FE143" s="396"/>
      <c r="FF143" s="396"/>
      <c r="FG143" s="396"/>
      <c r="FH143" s="311"/>
      <c r="FI143" s="310"/>
      <c r="FJ143" s="296" t="e">
        <f t="shared" si="869"/>
        <v>#DIV/0!</v>
      </c>
      <c r="FK143" s="353">
        <f t="shared" si="817"/>
        <v>4864.3993799999998</v>
      </c>
      <c r="FL143" s="353">
        <f>BA143</f>
        <v>4864.3993799999998</v>
      </c>
      <c r="FM143" s="353"/>
      <c r="FN143" s="388">
        <f t="shared" si="870"/>
        <v>1</v>
      </c>
      <c r="FO143" s="388">
        <f t="shared" si="871"/>
        <v>0</v>
      </c>
      <c r="FP143" s="353">
        <f t="shared" si="818"/>
        <v>6009.7939999999999</v>
      </c>
      <c r="FQ143" s="353">
        <f t="shared" si="872"/>
        <v>4864.3993799999998</v>
      </c>
      <c r="FR143" s="353">
        <f t="shared" si="873"/>
        <v>1145.39462</v>
      </c>
      <c r="FS143" s="388">
        <f t="shared" si="874"/>
        <v>0.80941199981230638</v>
      </c>
      <c r="FT143" s="388">
        <f t="shared" si="875"/>
        <v>0.19058800018769362</v>
      </c>
      <c r="FU143" s="388"/>
      <c r="FV143" s="353">
        <f t="shared" si="876"/>
        <v>6009.7939999999999</v>
      </c>
      <c r="FW143" s="353">
        <f t="shared" si="819"/>
        <v>-1145.39462</v>
      </c>
      <c r="FX143" s="310">
        <f t="shared" si="877"/>
        <v>3538.8240000000001</v>
      </c>
      <c r="FY143" s="310">
        <f>BD143</f>
        <v>3538.8240000000001</v>
      </c>
      <c r="FZ143" s="310"/>
      <c r="GA143" s="396">
        <f t="shared" si="878"/>
        <v>1</v>
      </c>
      <c r="GB143" s="396">
        <f t="shared" si="879"/>
        <v>0</v>
      </c>
      <c r="GC143" s="310">
        <f t="shared" si="847"/>
        <v>3888.8180000000002</v>
      </c>
      <c r="GD143" s="310">
        <f t="shared" si="501"/>
        <v>3538.8240000000001</v>
      </c>
      <c r="GE143" s="310">
        <f t="shared" si="502"/>
        <v>349.99400000000003</v>
      </c>
      <c r="GF143" s="396">
        <f t="shared" si="880"/>
        <v>0.90999990228393302</v>
      </c>
      <c r="GG143" s="396">
        <f t="shared" si="881"/>
        <v>9.0000097716066943E-2</v>
      </c>
      <c r="GH143" s="396"/>
      <c r="GI143" s="310">
        <f t="shared" si="637"/>
        <v>3888.8180000000002</v>
      </c>
      <c r="GJ143" s="344">
        <f t="shared" si="848"/>
        <v>-349.99400000000014</v>
      </c>
      <c r="GK143" s="303">
        <f t="shared" si="796"/>
        <v>0.99999992621879408</v>
      </c>
    </row>
    <row r="144" spans="2:193" s="37" customFormat="1" ht="15.6" customHeight="1" x14ac:dyDescent="0.25">
      <c r="B144" s="29"/>
      <c r="C144" s="30">
        <v>1</v>
      </c>
      <c r="D144" s="30"/>
      <c r="E144" s="493">
        <v>118</v>
      </c>
      <c r="F144" s="29"/>
      <c r="G144" s="30">
        <v>1</v>
      </c>
      <c r="H144" s="30">
        <v>1</v>
      </c>
      <c r="M144" s="493">
        <v>98</v>
      </c>
      <c r="N144" s="494" t="s">
        <v>52</v>
      </c>
      <c r="O144" s="494"/>
      <c r="P144" s="494">
        <f t="shared" si="816"/>
        <v>0</v>
      </c>
      <c r="Q144" s="494" t="s">
        <v>705</v>
      </c>
      <c r="R144" s="494" t="s">
        <v>699</v>
      </c>
      <c r="S144" s="494" t="s">
        <v>643</v>
      </c>
      <c r="T144" s="156">
        <v>3</v>
      </c>
      <c r="U144" s="493"/>
      <c r="V144" s="2">
        <f t="shared" si="797"/>
        <v>18702.987999999998</v>
      </c>
      <c r="W144" s="2"/>
      <c r="X144" s="198">
        <f t="shared" si="605"/>
        <v>5894.9</v>
      </c>
      <c r="Y144" s="198">
        <f>1635.5+221.8</f>
        <v>1857.3</v>
      </c>
      <c r="Z144" s="42">
        <v>4037.6</v>
      </c>
      <c r="AA144" s="2">
        <v>12808.088</v>
      </c>
      <c r="AB144" s="567">
        <f t="shared" si="849"/>
        <v>18702.987999999998</v>
      </c>
      <c r="AC144" s="567"/>
      <c r="AD144" s="568">
        <f t="shared" si="606"/>
        <v>5894.9</v>
      </c>
      <c r="AE144" s="568">
        <f>1635.5+221.8</f>
        <v>1857.3</v>
      </c>
      <c r="AF144" s="569">
        <v>4037.6</v>
      </c>
      <c r="AG144" s="567">
        <v>12808.088</v>
      </c>
      <c r="AH144" s="570"/>
      <c r="AI144" s="567"/>
      <c r="AJ144" s="567"/>
      <c r="AK144" s="568"/>
      <c r="AL144" s="567"/>
      <c r="AM144" s="570"/>
      <c r="AN144" s="567"/>
      <c r="AO144" s="567"/>
      <c r="AP144" s="568"/>
      <c r="AQ144" s="567"/>
      <c r="AR144" s="570"/>
      <c r="AS144" s="567"/>
      <c r="AT144" s="567"/>
      <c r="AU144" s="568"/>
      <c r="AV144" s="567"/>
      <c r="AW144" s="570"/>
      <c r="AX144" s="409" t="s">
        <v>565</v>
      </c>
      <c r="AY144" s="567">
        <f t="shared" si="850"/>
        <v>18702.987799999999</v>
      </c>
      <c r="AZ144" s="567"/>
      <c r="BA144" s="578">
        <f t="shared" si="851"/>
        <v>5894.9</v>
      </c>
      <c r="BB144" s="568">
        <f>1635.5+221.8</f>
        <v>1857.3</v>
      </c>
      <c r="BC144" s="569">
        <v>4037.6</v>
      </c>
      <c r="BD144" s="574">
        <v>12808.087799999999</v>
      </c>
      <c r="BE144" s="570"/>
      <c r="BF144" s="567">
        <f t="shared" si="798"/>
        <v>2.0000000040454324E-4</v>
      </c>
      <c r="BG144" s="567">
        <f t="shared" si="799"/>
        <v>0</v>
      </c>
      <c r="BH144" s="567">
        <f t="shared" si="800"/>
        <v>0</v>
      </c>
      <c r="BI144" s="567">
        <f t="shared" si="801"/>
        <v>0</v>
      </c>
      <c r="BJ144" s="567">
        <f t="shared" si="802"/>
        <v>0</v>
      </c>
      <c r="BK144" s="567">
        <f t="shared" si="803"/>
        <v>2.0000000040454324E-4</v>
      </c>
      <c r="BL144" s="567" t="e">
        <f>#REF!-BE144</f>
        <v>#REF!</v>
      </c>
      <c r="BM144" s="567">
        <f t="shared" si="852"/>
        <v>2189.6</v>
      </c>
      <c r="BN144" s="567"/>
      <c r="BO144" s="568">
        <v>2189.6</v>
      </c>
      <c r="BP144" s="567"/>
      <c r="BQ144" s="570"/>
      <c r="BR144" s="567">
        <f t="shared" si="853"/>
        <v>0</v>
      </c>
      <c r="BS144" s="567"/>
      <c r="BT144" s="568"/>
      <c r="BU144" s="567"/>
      <c r="BV144" s="570"/>
      <c r="BW144" s="567">
        <f t="shared" si="854"/>
        <v>18673.513299999999</v>
      </c>
      <c r="BX144" s="567"/>
      <c r="BY144" s="568">
        <f t="shared" si="804"/>
        <v>5865.4254999999994</v>
      </c>
      <c r="BZ144" s="571">
        <f>210.691+1627.3225-10.188</f>
        <v>1827.8254999999999</v>
      </c>
      <c r="CA144" s="571">
        <f>4027.412+10.188</f>
        <v>4037.6</v>
      </c>
      <c r="CB144" s="574">
        <v>12808.087799999999</v>
      </c>
      <c r="CC144" s="577"/>
      <c r="CD144" s="567">
        <f t="shared" si="855"/>
        <v>18673.513299999999</v>
      </c>
      <c r="CE144" s="567"/>
      <c r="CF144" s="568">
        <f t="shared" si="805"/>
        <v>5865.4254999999994</v>
      </c>
      <c r="CG144" s="571">
        <f>210.691+1627.3225-10.188</f>
        <v>1827.8254999999999</v>
      </c>
      <c r="CH144" s="571">
        <f>4027.412+10.188</f>
        <v>4037.6</v>
      </c>
      <c r="CI144" s="574">
        <v>12808.087799999999</v>
      </c>
      <c r="CJ144" s="570"/>
      <c r="CK144" s="567">
        <f t="shared" si="856"/>
        <v>2870.7377299999998</v>
      </c>
      <c r="CL144" s="567"/>
      <c r="CM144" s="567">
        <f t="shared" si="806"/>
        <v>956.88553000000002</v>
      </c>
      <c r="CN144" s="567">
        <v>273.55446000000001</v>
      </c>
      <c r="CO144" s="567">
        <f>224.6046+323.60086+135.12561</f>
        <v>683.33106999999995</v>
      </c>
      <c r="CP144" s="567">
        <v>1913.8522</v>
      </c>
      <c r="CQ144" s="567"/>
      <c r="CR144" s="573">
        <f t="shared" si="857"/>
        <v>21544.251029999999</v>
      </c>
      <c r="CS144" s="567">
        <f t="shared" si="807"/>
        <v>21544.251029999999</v>
      </c>
      <c r="CT144" s="567">
        <f t="shared" si="808"/>
        <v>0</v>
      </c>
      <c r="CU144" s="567">
        <f t="shared" si="809"/>
        <v>6822.3110299999989</v>
      </c>
      <c r="CV144" s="567">
        <f t="shared" si="810"/>
        <v>14721.939999999999</v>
      </c>
      <c r="CW144" s="567">
        <f t="shared" si="858"/>
        <v>0</v>
      </c>
      <c r="CX144" s="567">
        <f t="shared" ca="1" si="477"/>
        <v>0</v>
      </c>
      <c r="CY144" s="567">
        <f t="shared" si="811"/>
        <v>0</v>
      </c>
      <c r="CZ144" s="567">
        <f t="shared" si="812"/>
        <v>0</v>
      </c>
      <c r="DA144" s="567">
        <f t="shared" si="813"/>
        <v>0</v>
      </c>
      <c r="DB144" s="2">
        <f t="shared" si="859"/>
        <v>0</v>
      </c>
      <c r="DC144" s="76"/>
      <c r="DD144" s="253"/>
      <c r="DE144" s="253"/>
      <c r="DF144" s="2">
        <f t="shared" si="860"/>
        <v>0</v>
      </c>
      <c r="DG144" s="2"/>
      <c r="DH144" s="198"/>
      <c r="DI144" s="2"/>
      <c r="DJ144" s="234"/>
      <c r="DK144" s="2">
        <f t="shared" si="861"/>
        <v>0</v>
      </c>
      <c r="DL144" s="2"/>
      <c r="DM144" s="198"/>
      <c r="DN144" s="2"/>
      <c r="DO144" s="234"/>
      <c r="DP144" s="2">
        <f t="shared" si="862"/>
        <v>0</v>
      </c>
      <c r="DQ144" s="2">
        <f t="shared" si="863"/>
        <v>0</v>
      </c>
      <c r="DR144" s="2">
        <f t="shared" si="863"/>
        <v>0</v>
      </c>
      <c r="DS144" s="2">
        <f t="shared" si="863"/>
        <v>0</v>
      </c>
      <c r="DT144" s="2">
        <f t="shared" si="863"/>
        <v>0</v>
      </c>
      <c r="DU144" s="2"/>
      <c r="DV144" s="2"/>
      <c r="DW144" s="2"/>
      <c r="DX144" s="2">
        <f t="shared" ca="1" si="864"/>
        <v>0</v>
      </c>
      <c r="DY144" s="46"/>
      <c r="DZ144" s="2">
        <f t="shared" si="865"/>
        <v>18673.513299999999</v>
      </c>
      <c r="EA144" s="2">
        <f t="shared" si="866"/>
        <v>18673.513299999999</v>
      </c>
      <c r="EB144" s="46"/>
      <c r="EC144" s="2"/>
      <c r="ED144" s="2"/>
      <c r="EE144" s="46"/>
      <c r="EF144" s="2"/>
      <c r="EG144" s="46"/>
      <c r="EH144" s="46"/>
      <c r="EI144" s="2">
        <f t="shared" si="794"/>
        <v>18673.513299999999</v>
      </c>
      <c r="EJ144" s="2"/>
      <c r="EK144" s="198">
        <f t="shared" si="814"/>
        <v>5865.4254999999994</v>
      </c>
      <c r="EL144" s="446">
        <f>210.691+1627.3225-10.188</f>
        <v>1827.8254999999999</v>
      </c>
      <c r="EM144" s="446">
        <f>4027.412+10.188</f>
        <v>4037.6</v>
      </c>
      <c r="EN144" s="432">
        <v>12808.087799999999</v>
      </c>
      <c r="EO144" s="234"/>
      <c r="EP144" s="2">
        <f t="shared" si="795"/>
        <v>2870.7377299999998</v>
      </c>
      <c r="EQ144" s="2"/>
      <c r="ER144" s="2">
        <f t="shared" si="815"/>
        <v>956.88553000000002</v>
      </c>
      <c r="ES144" s="2">
        <v>273.55446000000001</v>
      </c>
      <c r="ET144" s="2">
        <f>224.6046+323.60086+135.12561</f>
        <v>683.33106999999995</v>
      </c>
      <c r="EU144" s="2">
        <v>1913.8522</v>
      </c>
      <c r="EV144" s="141"/>
      <c r="EW144" s="310"/>
      <c r="EX144" s="310"/>
      <c r="EY144" s="310"/>
      <c r="EZ144" s="396"/>
      <c r="FA144" s="396"/>
      <c r="FB144" s="310"/>
      <c r="FC144" s="310"/>
      <c r="FD144" s="310"/>
      <c r="FE144" s="396"/>
      <c r="FF144" s="396"/>
      <c r="FG144" s="396"/>
      <c r="FH144" s="311"/>
      <c r="FI144" s="310"/>
      <c r="FJ144" s="296" t="e">
        <f t="shared" si="869"/>
        <v>#DIV/0!</v>
      </c>
      <c r="FK144" s="353">
        <f t="shared" si="817"/>
        <v>5894.9</v>
      </c>
      <c r="FL144" s="353">
        <f>BA144</f>
        <v>5894.9</v>
      </c>
      <c r="FM144" s="353"/>
      <c r="FN144" s="388">
        <f t="shared" si="870"/>
        <v>1</v>
      </c>
      <c r="FO144" s="388">
        <f t="shared" si="871"/>
        <v>0</v>
      </c>
      <c r="FP144" s="353">
        <f t="shared" si="818"/>
        <v>6822.3110299999989</v>
      </c>
      <c r="FQ144" s="353">
        <f t="shared" si="872"/>
        <v>5865.4254999999994</v>
      </c>
      <c r="FR144" s="353">
        <f t="shared" si="873"/>
        <v>956.88553000000002</v>
      </c>
      <c r="FS144" s="388">
        <f t="shared" si="874"/>
        <v>0.85974173182778513</v>
      </c>
      <c r="FT144" s="388">
        <f t="shared" si="875"/>
        <v>0.14025826817221498</v>
      </c>
      <c r="FU144" s="388"/>
      <c r="FV144" s="353">
        <f t="shared" si="876"/>
        <v>6822.3110299999989</v>
      </c>
      <c r="FW144" s="353">
        <f t="shared" si="819"/>
        <v>-956.88552999999956</v>
      </c>
      <c r="FX144" s="310"/>
      <c r="FY144" s="310"/>
      <c r="FZ144" s="310"/>
      <c r="GA144" s="396"/>
      <c r="GB144" s="396"/>
      <c r="GC144" s="310"/>
      <c r="GD144" s="310"/>
      <c r="GE144" s="310"/>
      <c r="GF144" s="396"/>
      <c r="GG144" s="396"/>
      <c r="GH144" s="396"/>
      <c r="GI144" s="310"/>
      <c r="GJ144" s="344"/>
      <c r="GK144" s="303">
        <f t="shared" si="796"/>
        <v>0.99842406464678268</v>
      </c>
    </row>
    <row r="145" spans="2:193" s="37" customFormat="1" ht="15.6" customHeight="1" x14ac:dyDescent="0.25">
      <c r="B145" s="29"/>
      <c r="C145" s="30">
        <v>1</v>
      </c>
      <c r="D145" s="30"/>
      <c r="E145" s="493">
        <v>119</v>
      </c>
      <c r="F145" s="29"/>
      <c r="G145" s="30">
        <v>1</v>
      </c>
      <c r="H145" s="30">
        <v>1</v>
      </c>
      <c r="I145" s="493"/>
      <c r="J145" s="494"/>
      <c r="K145" s="494"/>
      <c r="L145" s="53"/>
      <c r="M145" s="493">
        <v>99</v>
      </c>
      <c r="N145" s="494" t="s">
        <v>226</v>
      </c>
      <c r="O145" s="494"/>
      <c r="P145" s="494">
        <f t="shared" si="816"/>
        <v>0</v>
      </c>
      <c r="Q145" s="494" t="s">
        <v>701</v>
      </c>
      <c r="R145" s="494" t="s">
        <v>699</v>
      </c>
      <c r="S145" s="494" t="s">
        <v>560</v>
      </c>
      <c r="T145" s="156">
        <v>2</v>
      </c>
      <c r="U145" s="493">
        <v>1</v>
      </c>
      <c r="V145" s="2">
        <f t="shared" si="797"/>
        <v>4762</v>
      </c>
      <c r="W145" s="2"/>
      <c r="X145" s="198">
        <f t="shared" si="605"/>
        <v>4762</v>
      </c>
      <c r="Y145" s="198">
        <v>1500.4</v>
      </c>
      <c r="Z145" s="198">
        <v>3261.6</v>
      </c>
      <c r="AA145" s="553"/>
      <c r="AB145" s="567">
        <f t="shared" si="849"/>
        <v>4762</v>
      </c>
      <c r="AC145" s="567"/>
      <c r="AD145" s="568">
        <f t="shared" si="606"/>
        <v>4762</v>
      </c>
      <c r="AE145" s="568">
        <v>1500.4</v>
      </c>
      <c r="AF145" s="568">
        <v>3261.6</v>
      </c>
      <c r="AG145" s="599"/>
      <c r="AH145" s="570"/>
      <c r="AI145" s="567"/>
      <c r="AJ145" s="567"/>
      <c r="AK145" s="568"/>
      <c r="AL145" s="600"/>
      <c r="AM145" s="570"/>
      <c r="AN145" s="567"/>
      <c r="AO145" s="567"/>
      <c r="AP145" s="568"/>
      <c r="AQ145" s="600"/>
      <c r="AR145" s="570"/>
      <c r="AS145" s="567"/>
      <c r="AT145" s="567"/>
      <c r="AU145" s="568"/>
      <c r="AV145" s="600"/>
      <c r="AW145" s="570"/>
      <c r="AX145" s="409" t="s">
        <v>673</v>
      </c>
      <c r="AY145" s="567">
        <f t="shared" si="850"/>
        <v>4762</v>
      </c>
      <c r="AZ145" s="567"/>
      <c r="BA145" s="568">
        <f t="shared" si="851"/>
        <v>4762</v>
      </c>
      <c r="BB145" s="568">
        <v>1500.4</v>
      </c>
      <c r="BC145" s="568">
        <v>3261.6</v>
      </c>
      <c r="BD145" s="602"/>
      <c r="BE145" s="570"/>
      <c r="BF145" s="567">
        <f t="shared" si="798"/>
        <v>0</v>
      </c>
      <c r="BG145" s="567">
        <f t="shared" si="799"/>
        <v>0</v>
      </c>
      <c r="BH145" s="567">
        <f t="shared" si="800"/>
        <v>0</v>
      </c>
      <c r="BI145" s="567">
        <f t="shared" si="801"/>
        <v>0</v>
      </c>
      <c r="BJ145" s="567">
        <f t="shared" si="802"/>
        <v>0</v>
      </c>
      <c r="BK145" s="567">
        <f t="shared" si="803"/>
        <v>0</v>
      </c>
      <c r="BL145" s="567" t="e">
        <f>#REF!-BE145</f>
        <v>#REF!</v>
      </c>
      <c r="BM145" s="567">
        <f t="shared" si="852"/>
        <v>1419.1</v>
      </c>
      <c r="BN145" s="567"/>
      <c r="BO145" s="568">
        <f>617+802.1</f>
        <v>1419.1</v>
      </c>
      <c r="BP145" s="600"/>
      <c r="BQ145" s="570"/>
      <c r="BR145" s="567">
        <f t="shared" si="853"/>
        <v>0</v>
      </c>
      <c r="BS145" s="567"/>
      <c r="BT145" s="568"/>
      <c r="BU145" s="600"/>
      <c r="BV145" s="570"/>
      <c r="BW145" s="567">
        <f t="shared" si="854"/>
        <v>4388.8470799999996</v>
      </c>
      <c r="BX145" s="567"/>
      <c r="BY145" s="578">
        <f t="shared" si="804"/>
        <v>4388.8470799999996</v>
      </c>
      <c r="BZ145" s="578">
        <v>1170.3117999999999</v>
      </c>
      <c r="CA145" s="578">
        <f>674.68028+2543.855</f>
        <v>3218.5352800000001</v>
      </c>
      <c r="CB145" s="599"/>
      <c r="CC145" s="577"/>
      <c r="CD145" s="567">
        <f t="shared" si="855"/>
        <v>4388.8470799999996</v>
      </c>
      <c r="CE145" s="567"/>
      <c r="CF145" s="578">
        <f t="shared" si="805"/>
        <v>4388.8470799999996</v>
      </c>
      <c r="CG145" s="578">
        <v>1170.3117999999999</v>
      </c>
      <c r="CH145" s="578">
        <f>674.68028+2543.855</f>
        <v>3218.5352800000001</v>
      </c>
      <c r="CI145" s="599"/>
      <c r="CJ145" s="570"/>
      <c r="CK145" s="567">
        <f t="shared" si="856"/>
        <v>570.36779000000001</v>
      </c>
      <c r="CL145" s="567"/>
      <c r="CM145" s="567">
        <v>570.36779000000001</v>
      </c>
      <c r="CN145" s="567">
        <v>152.13976</v>
      </c>
      <c r="CO145" s="567"/>
      <c r="CP145" s="567"/>
      <c r="CQ145" s="567"/>
      <c r="CR145" s="573">
        <f t="shared" si="857"/>
        <v>4959.2148699999998</v>
      </c>
      <c r="CS145" s="567">
        <f t="shared" si="807"/>
        <v>4959.2148699999998</v>
      </c>
      <c r="CT145" s="567">
        <f t="shared" si="808"/>
        <v>0</v>
      </c>
      <c r="CU145" s="567">
        <f t="shared" si="809"/>
        <v>4959.2148699999998</v>
      </c>
      <c r="CV145" s="567">
        <f t="shared" si="810"/>
        <v>0</v>
      </c>
      <c r="CW145" s="567">
        <f t="shared" si="858"/>
        <v>0</v>
      </c>
      <c r="CX145" s="567">
        <f t="shared" ca="1" si="477"/>
        <v>0</v>
      </c>
      <c r="CY145" s="567">
        <f t="shared" si="811"/>
        <v>0</v>
      </c>
      <c r="CZ145" s="567">
        <f t="shared" si="812"/>
        <v>0</v>
      </c>
      <c r="DA145" s="567">
        <f t="shared" si="813"/>
        <v>0</v>
      </c>
      <c r="DB145" s="2">
        <f t="shared" si="859"/>
        <v>0</v>
      </c>
      <c r="DC145" s="76"/>
      <c r="DD145" s="253"/>
      <c r="DE145" s="253"/>
      <c r="DF145" s="2">
        <f t="shared" si="860"/>
        <v>0</v>
      </c>
      <c r="DG145" s="2"/>
      <c r="DH145" s="198"/>
      <c r="DI145" s="554"/>
      <c r="DJ145" s="234"/>
      <c r="DK145" s="2">
        <f t="shared" si="861"/>
        <v>0</v>
      </c>
      <c r="DL145" s="2"/>
      <c r="DM145" s="198"/>
      <c r="DN145" s="554"/>
      <c r="DO145" s="234"/>
      <c r="DP145" s="2">
        <f t="shared" si="862"/>
        <v>0</v>
      </c>
      <c r="DQ145" s="2">
        <f t="shared" si="863"/>
        <v>0</v>
      </c>
      <c r="DR145" s="2">
        <f t="shared" si="863"/>
        <v>0</v>
      </c>
      <c r="DS145" s="2">
        <f t="shared" si="863"/>
        <v>0</v>
      </c>
      <c r="DT145" s="2">
        <f t="shared" si="863"/>
        <v>0</v>
      </c>
      <c r="DU145" s="2"/>
      <c r="DV145" s="2"/>
      <c r="DW145" s="2"/>
      <c r="DX145" s="2">
        <f t="shared" ca="1" si="864"/>
        <v>0</v>
      </c>
      <c r="DY145" s="46"/>
      <c r="DZ145" s="2">
        <f t="shared" si="865"/>
        <v>4388.8470799999996</v>
      </c>
      <c r="EA145" s="2">
        <f t="shared" si="866"/>
        <v>4388.8470799999996</v>
      </c>
      <c r="EB145" s="46"/>
      <c r="EC145" s="2"/>
      <c r="ED145" s="2"/>
      <c r="EE145" s="46"/>
      <c r="EF145" s="2"/>
      <c r="EG145" s="46"/>
      <c r="EH145" s="46"/>
      <c r="EI145" s="2">
        <f t="shared" si="794"/>
        <v>4388.8470799999996</v>
      </c>
      <c r="EJ145" s="2"/>
      <c r="EK145" s="433">
        <f t="shared" si="814"/>
        <v>4388.8470799999996</v>
      </c>
      <c r="EL145" s="433">
        <v>1170.3117999999999</v>
      </c>
      <c r="EM145" s="433">
        <f>674.68028+2543.855</f>
        <v>3218.5352800000001</v>
      </c>
      <c r="EN145" s="553"/>
      <c r="EO145" s="234"/>
      <c r="EP145" s="2">
        <f t="shared" si="795"/>
        <v>570.36779000000001</v>
      </c>
      <c r="EQ145" s="2"/>
      <c r="ER145" s="2">
        <v>570.36779000000001</v>
      </c>
      <c r="ES145" s="2">
        <v>152.13976</v>
      </c>
      <c r="ET145" s="2">
        <f>87.67038+330.55765</f>
        <v>418.22802999999999</v>
      </c>
      <c r="EU145" s="2"/>
      <c r="EV145" s="141"/>
      <c r="EW145" s="310"/>
      <c r="EX145" s="310"/>
      <c r="EY145" s="310"/>
      <c r="EZ145" s="396"/>
      <c r="FA145" s="396"/>
      <c r="FB145" s="310"/>
      <c r="FC145" s="310"/>
      <c r="FD145" s="310"/>
      <c r="FE145" s="396"/>
      <c r="FF145" s="396"/>
      <c r="FG145" s="396"/>
      <c r="FH145" s="311"/>
      <c r="FI145" s="310"/>
      <c r="FJ145" s="296" t="e">
        <f t="shared" si="869"/>
        <v>#DIV/0!</v>
      </c>
      <c r="FK145" s="353">
        <f t="shared" si="817"/>
        <v>4762</v>
      </c>
      <c r="FL145" s="353">
        <f>BA145</f>
        <v>4762</v>
      </c>
      <c r="FM145" s="353"/>
      <c r="FN145" s="388">
        <f t="shared" si="870"/>
        <v>1</v>
      </c>
      <c r="FO145" s="388">
        <f t="shared" si="871"/>
        <v>0</v>
      </c>
      <c r="FP145" s="353">
        <f t="shared" si="818"/>
        <v>4959.2148699999998</v>
      </c>
      <c r="FQ145" s="353">
        <f t="shared" si="872"/>
        <v>4388.8470799999996</v>
      </c>
      <c r="FR145" s="353">
        <f t="shared" si="873"/>
        <v>570.36779000000001</v>
      </c>
      <c r="FS145" s="388">
        <f t="shared" si="874"/>
        <v>0.88498828847881716</v>
      </c>
      <c r="FT145" s="388">
        <f t="shared" si="875"/>
        <v>0.11501171152118279</v>
      </c>
      <c r="FU145" s="388"/>
      <c r="FV145" s="353">
        <f t="shared" si="876"/>
        <v>4959.2148699999998</v>
      </c>
      <c r="FW145" s="353">
        <f t="shared" si="819"/>
        <v>-570.36779000000024</v>
      </c>
      <c r="FX145" s="310">
        <f t="shared" si="877"/>
        <v>0</v>
      </c>
      <c r="FY145" s="310">
        <f>BD145</f>
        <v>0</v>
      </c>
      <c r="FZ145" s="310"/>
      <c r="GA145" s="396" t="e">
        <f t="shared" si="878"/>
        <v>#DIV/0!</v>
      </c>
      <c r="GB145" s="396" t="e">
        <f t="shared" si="879"/>
        <v>#DIV/0!</v>
      </c>
      <c r="GC145" s="310">
        <f t="shared" si="847"/>
        <v>0</v>
      </c>
      <c r="GD145" s="310">
        <f t="shared" si="501"/>
        <v>0</v>
      </c>
      <c r="GE145" s="310">
        <f t="shared" si="502"/>
        <v>0</v>
      </c>
      <c r="GF145" s="396" t="e">
        <f t="shared" si="880"/>
        <v>#DIV/0!</v>
      </c>
      <c r="GG145" s="396" t="e">
        <f t="shared" si="881"/>
        <v>#DIV/0!</v>
      </c>
      <c r="GH145" s="396"/>
      <c r="GI145" s="310" t="e">
        <f t="shared" si="637"/>
        <v>#DIV/0!</v>
      </c>
      <c r="GJ145" s="344" t="e">
        <f t="shared" si="848"/>
        <v>#DIV/0!</v>
      </c>
      <c r="GK145" s="303">
        <f t="shared" si="796"/>
        <v>0.92163945401091973</v>
      </c>
    </row>
    <row r="146" spans="2:193" s="37" customFormat="1" ht="15.6" customHeight="1" x14ac:dyDescent="0.25">
      <c r="B146" s="29"/>
      <c r="C146" s="30">
        <v>1</v>
      </c>
      <c r="D146" s="30"/>
      <c r="E146" s="493">
        <v>120</v>
      </c>
      <c r="F146" s="29"/>
      <c r="G146" s="30">
        <v>1</v>
      </c>
      <c r="H146" s="30">
        <v>1</v>
      </c>
      <c r="M146" s="493">
        <v>100</v>
      </c>
      <c r="N146" s="494" t="s">
        <v>53</v>
      </c>
      <c r="O146" s="494"/>
      <c r="P146" s="494">
        <f t="shared" si="816"/>
        <v>0</v>
      </c>
      <c r="Q146" s="494" t="s">
        <v>701</v>
      </c>
      <c r="R146" s="494" t="s">
        <v>699</v>
      </c>
      <c r="S146" s="494" t="s">
        <v>648</v>
      </c>
      <c r="T146" s="156">
        <v>3</v>
      </c>
      <c r="U146" s="493"/>
      <c r="V146" s="2">
        <f t="shared" si="797"/>
        <v>6515.2650000000003</v>
      </c>
      <c r="W146" s="2"/>
      <c r="X146" s="198">
        <f t="shared" si="605"/>
        <v>1632.1000000000001</v>
      </c>
      <c r="Y146" s="198">
        <v>514.20000000000005</v>
      </c>
      <c r="Z146" s="42">
        <v>1117.9000000000001</v>
      </c>
      <c r="AA146" s="2">
        <v>4883.165</v>
      </c>
      <c r="AB146" s="567">
        <f t="shared" si="849"/>
        <v>6515.2650000000003</v>
      </c>
      <c r="AC146" s="567"/>
      <c r="AD146" s="568">
        <f t="shared" si="606"/>
        <v>1632.1000000000001</v>
      </c>
      <c r="AE146" s="568">
        <v>514.20000000000005</v>
      </c>
      <c r="AF146" s="569">
        <v>1117.9000000000001</v>
      </c>
      <c r="AG146" s="567">
        <v>4883.165</v>
      </c>
      <c r="AH146" s="580"/>
      <c r="AI146" s="567"/>
      <c r="AJ146" s="567"/>
      <c r="AK146" s="568"/>
      <c r="AL146" s="567"/>
      <c r="AM146" s="580"/>
      <c r="AN146" s="567"/>
      <c r="AO146" s="567"/>
      <c r="AP146" s="568"/>
      <c r="AQ146" s="567"/>
      <c r="AR146" s="580"/>
      <c r="AS146" s="567"/>
      <c r="AT146" s="567"/>
      <c r="AU146" s="568"/>
      <c r="AV146" s="567"/>
      <c r="AW146" s="581"/>
      <c r="AX146" s="410" t="s">
        <v>494</v>
      </c>
      <c r="AY146" s="567">
        <f t="shared" si="850"/>
        <v>6515.2649600000004</v>
      </c>
      <c r="AZ146" s="567"/>
      <c r="BA146" s="568">
        <f t="shared" si="851"/>
        <v>1632.1000000000001</v>
      </c>
      <c r="BB146" s="568">
        <v>514.20000000000005</v>
      </c>
      <c r="BC146" s="569">
        <v>1117.9000000000001</v>
      </c>
      <c r="BD146" s="574">
        <v>4883.1649600000001</v>
      </c>
      <c r="BE146" s="567"/>
      <c r="BF146" s="567">
        <f t="shared" si="798"/>
        <v>3.9999999899009708E-5</v>
      </c>
      <c r="BG146" s="567">
        <f t="shared" si="799"/>
        <v>0</v>
      </c>
      <c r="BH146" s="567">
        <f t="shared" si="800"/>
        <v>0</v>
      </c>
      <c r="BI146" s="567">
        <f t="shared" si="801"/>
        <v>0</v>
      </c>
      <c r="BJ146" s="567">
        <f t="shared" si="802"/>
        <v>0</v>
      </c>
      <c r="BK146" s="567">
        <f t="shared" si="803"/>
        <v>3.9999999899009708E-5</v>
      </c>
      <c r="BL146" s="567" t="e">
        <f>#REF!-BE146</f>
        <v>#REF!</v>
      </c>
      <c r="BM146" s="567">
        <f t="shared" si="852"/>
        <v>526.70000000000005</v>
      </c>
      <c r="BN146" s="567"/>
      <c r="BO146" s="568">
        <f>171.75+354.95</f>
        <v>526.70000000000005</v>
      </c>
      <c r="BP146" s="567"/>
      <c r="BQ146" s="567"/>
      <c r="BR146" s="567">
        <f t="shared" si="853"/>
        <v>0</v>
      </c>
      <c r="BS146" s="567"/>
      <c r="BT146" s="570"/>
      <c r="BU146" s="567"/>
      <c r="BV146" s="567"/>
      <c r="BW146" s="567">
        <f t="shared" si="854"/>
        <v>6036.5723200000002</v>
      </c>
      <c r="BX146" s="567"/>
      <c r="BY146" s="568">
        <f t="shared" si="804"/>
        <v>1153.4073599999999</v>
      </c>
      <c r="BZ146" s="571">
        <v>276.38792999999998</v>
      </c>
      <c r="CA146" s="571">
        <f>666.90068+210.11875</f>
        <v>877.01942999999994</v>
      </c>
      <c r="CB146" s="567">
        <f>2318.87344+2564.29152</f>
        <v>4883.1649600000001</v>
      </c>
      <c r="CC146" s="567"/>
      <c r="CD146" s="567">
        <f t="shared" si="855"/>
        <v>6036.5723200000002</v>
      </c>
      <c r="CE146" s="567"/>
      <c r="CF146" s="568">
        <f t="shared" si="805"/>
        <v>1153.4073599999999</v>
      </c>
      <c r="CG146" s="571">
        <v>276.38792999999998</v>
      </c>
      <c r="CH146" s="571">
        <f>666.90068+210.11875</f>
        <v>877.01942999999994</v>
      </c>
      <c r="CI146" s="567">
        <f>2318.87344+2564.29152</f>
        <v>4883.1649600000001</v>
      </c>
      <c r="CJ146" s="567"/>
      <c r="CK146" s="567">
        <f t="shared" si="856"/>
        <v>672.38315999999998</v>
      </c>
      <c r="CL146" s="567"/>
      <c r="CM146" s="567">
        <v>129.80927</v>
      </c>
      <c r="CN146" s="567"/>
      <c r="CO146" s="567"/>
      <c r="CP146" s="567">
        <f>257.65261+284.92128</f>
        <v>542.57389000000001</v>
      </c>
      <c r="CQ146" s="567"/>
      <c r="CR146" s="573">
        <f t="shared" si="857"/>
        <v>6708.9554799999996</v>
      </c>
      <c r="CS146" s="567">
        <f t="shared" si="807"/>
        <v>6708.9554799999996</v>
      </c>
      <c r="CT146" s="567">
        <f t="shared" si="808"/>
        <v>0</v>
      </c>
      <c r="CU146" s="567">
        <f t="shared" si="809"/>
        <v>1283.2166299999999</v>
      </c>
      <c r="CV146" s="567">
        <f t="shared" si="810"/>
        <v>5425.7388499999997</v>
      </c>
      <c r="CW146" s="567">
        <f t="shared" si="858"/>
        <v>0</v>
      </c>
      <c r="CX146" s="567">
        <f t="shared" ca="1" si="477"/>
        <v>0</v>
      </c>
      <c r="CY146" s="567">
        <f t="shared" si="811"/>
        <v>0</v>
      </c>
      <c r="CZ146" s="567">
        <f t="shared" si="812"/>
        <v>0</v>
      </c>
      <c r="DA146" s="567">
        <f t="shared" si="813"/>
        <v>0</v>
      </c>
      <c r="DB146" s="2">
        <f t="shared" si="859"/>
        <v>0</v>
      </c>
      <c r="DC146" s="76"/>
      <c r="DD146" s="253"/>
      <c r="DE146" s="253"/>
      <c r="DF146" s="2">
        <f t="shared" si="860"/>
        <v>0</v>
      </c>
      <c r="DG146" s="2"/>
      <c r="DH146" s="234"/>
      <c r="DI146" s="2"/>
      <c r="DJ146" s="2"/>
      <c r="DK146" s="2">
        <f t="shared" si="861"/>
        <v>0</v>
      </c>
      <c r="DL146" s="2"/>
      <c r="DM146" s="234"/>
      <c r="DN146" s="2"/>
      <c r="DO146" s="2"/>
      <c r="DP146" s="2">
        <f t="shared" si="862"/>
        <v>0</v>
      </c>
      <c r="DQ146" s="2">
        <f t="shared" si="863"/>
        <v>0</v>
      </c>
      <c r="DR146" s="2">
        <f t="shared" si="863"/>
        <v>0</v>
      </c>
      <c r="DS146" s="2">
        <f t="shared" si="863"/>
        <v>0</v>
      </c>
      <c r="DT146" s="2">
        <f t="shared" si="863"/>
        <v>0</v>
      </c>
      <c r="DU146" s="2"/>
      <c r="DV146" s="2"/>
      <c r="DW146" s="2"/>
      <c r="DX146" s="2">
        <f t="shared" ca="1" si="864"/>
        <v>0</v>
      </c>
      <c r="DY146" s="46"/>
      <c r="DZ146" s="2">
        <f t="shared" si="865"/>
        <v>6036.5723200000002</v>
      </c>
      <c r="EA146" s="2">
        <f t="shared" si="866"/>
        <v>6036.5723200000002</v>
      </c>
      <c r="EB146" s="46"/>
      <c r="EC146" s="2"/>
      <c r="ED146" s="2"/>
      <c r="EE146" s="46"/>
      <c r="EF146" s="2"/>
      <c r="EG146" s="46"/>
      <c r="EH146" s="46"/>
      <c r="EI146" s="2">
        <f t="shared" si="794"/>
        <v>6036.5723200000002</v>
      </c>
      <c r="EJ146" s="2"/>
      <c r="EK146" s="198">
        <f t="shared" si="814"/>
        <v>1153.4073599999999</v>
      </c>
      <c r="EL146" s="446">
        <v>276.38792999999998</v>
      </c>
      <c r="EM146" s="446">
        <f>666.90068+210.11875</f>
        <v>877.01942999999994</v>
      </c>
      <c r="EN146" s="2">
        <f>2318.87344+2564.29152</f>
        <v>4883.1649600000001</v>
      </c>
      <c r="EO146" s="2"/>
      <c r="EP146" s="2">
        <f t="shared" si="795"/>
        <v>672.38315999999998</v>
      </c>
      <c r="EQ146" s="2"/>
      <c r="ER146" s="2">
        <v>129.80927</v>
      </c>
      <c r="ES146" s="2">
        <v>31.266069999999999</v>
      </c>
      <c r="ET146" s="2">
        <f>74.93395+23.60925</f>
        <v>98.543199999999999</v>
      </c>
      <c r="EU146" s="2">
        <f>257.65261+284.92128</f>
        <v>542.57389000000001</v>
      </c>
      <c r="EV146" s="141"/>
      <c r="EW146" s="310"/>
      <c r="EX146" s="310"/>
      <c r="EY146" s="310"/>
      <c r="EZ146" s="396"/>
      <c r="FA146" s="396"/>
      <c r="FB146" s="310"/>
      <c r="FC146" s="310"/>
      <c r="FD146" s="310"/>
      <c r="FE146" s="396"/>
      <c r="FF146" s="396"/>
      <c r="FG146" s="396"/>
      <c r="FH146" s="311"/>
      <c r="FI146" s="310"/>
      <c r="FJ146" s="296" t="e">
        <f t="shared" si="869"/>
        <v>#DIV/0!</v>
      </c>
      <c r="FK146" s="353">
        <f t="shared" si="817"/>
        <v>1632.1000000000001</v>
      </c>
      <c r="FL146" s="353">
        <f>BA146</f>
        <v>1632.1000000000001</v>
      </c>
      <c r="FM146" s="353"/>
      <c r="FN146" s="388">
        <f t="shared" si="870"/>
        <v>1</v>
      </c>
      <c r="FO146" s="388">
        <f t="shared" si="871"/>
        <v>0</v>
      </c>
      <c r="FP146" s="353">
        <f t="shared" si="818"/>
        <v>1283.2166299999999</v>
      </c>
      <c r="FQ146" s="353">
        <f t="shared" si="872"/>
        <v>1153.4073599999999</v>
      </c>
      <c r="FR146" s="353">
        <f t="shared" si="873"/>
        <v>129.80927</v>
      </c>
      <c r="FS146" s="388">
        <f t="shared" si="874"/>
        <v>0.89884072029209905</v>
      </c>
      <c r="FT146" s="388">
        <f t="shared" si="875"/>
        <v>0.10115927970790092</v>
      </c>
      <c r="FU146" s="388"/>
      <c r="FV146" s="353">
        <f t="shared" si="876"/>
        <v>1283.2166299999999</v>
      </c>
      <c r="FW146" s="353">
        <f t="shared" si="819"/>
        <v>-129.80926999999997</v>
      </c>
      <c r="FX146" s="310">
        <f t="shared" ref="FX146" si="882">FY146+FZ146</f>
        <v>4883.1649600000001</v>
      </c>
      <c r="FY146" s="310">
        <f>BD146</f>
        <v>4883.1649600000001</v>
      </c>
      <c r="FZ146" s="310"/>
      <c r="GA146" s="396">
        <f t="shared" ref="GA146" si="883">FY146/FX146</f>
        <v>1</v>
      </c>
      <c r="GB146" s="396">
        <f t="shared" ref="GB146" si="884">FZ146/FX146</f>
        <v>0</v>
      </c>
      <c r="GC146" s="310">
        <f t="shared" ref="GC146" si="885">GD146+GE146</f>
        <v>5425.7388499999997</v>
      </c>
      <c r="GD146" s="310">
        <f t="shared" ref="GD146" si="886">EN146</f>
        <v>4883.1649600000001</v>
      </c>
      <c r="GE146" s="310">
        <f t="shared" ref="GE146" si="887">EU146</f>
        <v>542.57389000000001</v>
      </c>
      <c r="GF146" s="396">
        <f t="shared" ref="GF146" si="888">GD146/GC146</f>
        <v>0.89999999907846662</v>
      </c>
      <c r="GG146" s="396">
        <f t="shared" ref="GG146" si="889">GE146/GC146</f>
        <v>0.10000000092153348</v>
      </c>
      <c r="GH146" s="396"/>
      <c r="GI146" s="310">
        <f t="shared" ref="GI146" si="890">GC146*GA146</f>
        <v>5425.7388499999997</v>
      </c>
      <c r="GJ146" s="344">
        <f t="shared" ref="GJ146" si="891">GD146-GI146</f>
        <v>-542.57388999999966</v>
      </c>
      <c r="GK146" s="303">
        <f t="shared" si="796"/>
        <v>0.92652751960204227</v>
      </c>
    </row>
    <row r="147" spans="2:193" s="37" customFormat="1" ht="15.6" customHeight="1" x14ac:dyDescent="0.25">
      <c r="B147" s="29"/>
      <c r="C147" s="30">
        <v>1</v>
      </c>
      <c r="D147" s="30"/>
      <c r="E147" s="493">
        <v>121</v>
      </c>
      <c r="F147" s="29"/>
      <c r="G147" s="30">
        <v>1</v>
      </c>
      <c r="H147" s="30">
        <v>1</v>
      </c>
      <c r="I147" s="493"/>
      <c r="J147" s="494"/>
      <c r="K147" s="494"/>
      <c r="L147" s="53"/>
      <c r="M147" s="493">
        <v>101</v>
      </c>
      <c r="N147" s="494" t="s">
        <v>54</v>
      </c>
      <c r="O147" s="494"/>
      <c r="P147" s="494">
        <f t="shared" si="816"/>
        <v>0</v>
      </c>
      <c r="Q147" s="494"/>
      <c r="R147" s="494"/>
      <c r="S147" s="494" t="s">
        <v>626</v>
      </c>
      <c r="T147" s="156">
        <v>2</v>
      </c>
      <c r="U147" s="493"/>
      <c r="V147" s="2">
        <f t="shared" si="797"/>
        <v>441.7</v>
      </c>
      <c r="W147" s="2"/>
      <c r="X147" s="198">
        <f t="shared" si="605"/>
        <v>441.7</v>
      </c>
      <c r="Y147" s="198">
        <v>139.19999999999999</v>
      </c>
      <c r="Z147" s="42">
        <v>302.5</v>
      </c>
      <c r="AA147" s="2"/>
      <c r="AB147" s="567">
        <f t="shared" si="849"/>
        <v>441.7</v>
      </c>
      <c r="AC147" s="567"/>
      <c r="AD147" s="568">
        <f t="shared" si="606"/>
        <v>441.7</v>
      </c>
      <c r="AE147" s="568">
        <v>139.19999999999999</v>
      </c>
      <c r="AF147" s="569">
        <v>302.5</v>
      </c>
      <c r="AG147" s="567"/>
      <c r="AH147" s="570"/>
      <c r="AI147" s="567"/>
      <c r="AJ147" s="567"/>
      <c r="AK147" s="568"/>
      <c r="AL147" s="567"/>
      <c r="AM147" s="570"/>
      <c r="AN147" s="567"/>
      <c r="AO147" s="567"/>
      <c r="AP147" s="568"/>
      <c r="AQ147" s="567"/>
      <c r="AR147" s="570"/>
      <c r="AS147" s="567"/>
      <c r="AT147" s="567"/>
      <c r="AU147" s="568"/>
      <c r="AV147" s="567"/>
      <c r="AW147" s="570"/>
      <c r="AX147" s="409" t="s">
        <v>477</v>
      </c>
      <c r="AY147" s="567">
        <f t="shared" si="850"/>
        <v>441.69997000000001</v>
      </c>
      <c r="AZ147" s="567"/>
      <c r="BA147" s="568">
        <f t="shared" si="851"/>
        <v>441.69997000000001</v>
      </c>
      <c r="BB147" s="568">
        <v>139.19997000000001</v>
      </c>
      <c r="BC147" s="569">
        <v>302.5</v>
      </c>
      <c r="BD147" s="574"/>
      <c r="BE147" s="567"/>
      <c r="BF147" s="567">
        <f t="shared" si="798"/>
        <v>2.99999999811007E-5</v>
      </c>
      <c r="BG147" s="567">
        <f t="shared" si="799"/>
        <v>0</v>
      </c>
      <c r="BH147" s="567">
        <f t="shared" si="800"/>
        <v>2.99999999811007E-5</v>
      </c>
      <c r="BI147" s="567">
        <f t="shared" si="801"/>
        <v>2.99999999811007E-5</v>
      </c>
      <c r="BJ147" s="567">
        <f t="shared" si="802"/>
        <v>0</v>
      </c>
      <c r="BK147" s="567">
        <f t="shared" si="803"/>
        <v>0</v>
      </c>
      <c r="BL147" s="567" t="e">
        <f>#REF!-BE147</f>
        <v>#REF!</v>
      </c>
      <c r="BM147" s="567">
        <f t="shared" si="852"/>
        <v>0</v>
      </c>
      <c r="BN147" s="567"/>
      <c r="BO147" s="570"/>
      <c r="BP147" s="567"/>
      <c r="BQ147" s="567"/>
      <c r="BR147" s="567">
        <f t="shared" si="853"/>
        <v>0</v>
      </c>
      <c r="BS147" s="567"/>
      <c r="BT147" s="568"/>
      <c r="BU147" s="567"/>
      <c r="BV147" s="567"/>
      <c r="BW147" s="567">
        <f t="shared" si="854"/>
        <v>441.69997000000001</v>
      </c>
      <c r="BX147" s="567"/>
      <c r="BY147" s="577">
        <f t="shared" si="804"/>
        <v>441.69997000000001</v>
      </c>
      <c r="BZ147" s="601">
        <v>139.19997000000001</v>
      </c>
      <c r="CA147" s="601">
        <v>302.5</v>
      </c>
      <c r="CB147" s="567"/>
      <c r="CC147" s="567"/>
      <c r="CD147" s="567">
        <f t="shared" si="855"/>
        <v>441.69997000000001</v>
      </c>
      <c r="CE147" s="567"/>
      <c r="CF147" s="577">
        <f t="shared" si="805"/>
        <v>441.69997000000001</v>
      </c>
      <c r="CG147" s="601">
        <v>139.19997000000001</v>
      </c>
      <c r="CH147" s="601">
        <v>302.5</v>
      </c>
      <c r="CI147" s="567"/>
      <c r="CJ147" s="567"/>
      <c r="CK147" s="567">
        <f t="shared" si="856"/>
        <v>43.685029999999998</v>
      </c>
      <c r="CL147" s="567"/>
      <c r="CM147" s="567">
        <f t="shared" si="806"/>
        <v>43.685029999999998</v>
      </c>
      <c r="CN147" s="567">
        <v>13.76703</v>
      </c>
      <c r="CO147" s="567">
        <v>29.917999999999999</v>
      </c>
      <c r="CP147" s="567"/>
      <c r="CQ147" s="567"/>
      <c r="CR147" s="573">
        <f t="shared" si="857"/>
        <v>485.38499999999999</v>
      </c>
      <c r="CS147" s="567">
        <f t="shared" si="807"/>
        <v>485.38499999999999</v>
      </c>
      <c r="CT147" s="567">
        <f t="shared" si="808"/>
        <v>0</v>
      </c>
      <c r="CU147" s="567">
        <f t="shared" si="809"/>
        <v>485.38499999999999</v>
      </c>
      <c r="CV147" s="567">
        <f t="shared" si="810"/>
        <v>0</v>
      </c>
      <c r="CW147" s="567">
        <f t="shared" si="858"/>
        <v>0</v>
      </c>
      <c r="CX147" s="567">
        <f t="shared" ca="1" si="477"/>
        <v>0</v>
      </c>
      <c r="CY147" s="567">
        <f t="shared" si="811"/>
        <v>0</v>
      </c>
      <c r="CZ147" s="567">
        <f t="shared" si="812"/>
        <v>0</v>
      </c>
      <c r="DA147" s="567">
        <f t="shared" si="813"/>
        <v>0</v>
      </c>
      <c r="DB147" s="2">
        <f t="shared" si="859"/>
        <v>0</v>
      </c>
      <c r="DC147" s="76"/>
      <c r="DD147" s="253"/>
      <c r="DE147" s="253"/>
      <c r="DF147" s="2">
        <f t="shared" si="860"/>
        <v>0</v>
      </c>
      <c r="DG147" s="2"/>
      <c r="DH147" s="198"/>
      <c r="DI147" s="2"/>
      <c r="DJ147" s="2"/>
      <c r="DK147" s="2">
        <f t="shared" si="861"/>
        <v>0</v>
      </c>
      <c r="DL147" s="2"/>
      <c r="DM147" s="198"/>
      <c r="DN147" s="2"/>
      <c r="DO147" s="2"/>
      <c r="DP147" s="2">
        <f t="shared" si="862"/>
        <v>0</v>
      </c>
      <c r="DQ147" s="2">
        <f t="shared" si="863"/>
        <v>0</v>
      </c>
      <c r="DR147" s="2">
        <f t="shared" si="863"/>
        <v>0</v>
      </c>
      <c r="DS147" s="2">
        <f t="shared" si="863"/>
        <v>0</v>
      </c>
      <c r="DT147" s="2">
        <f t="shared" si="863"/>
        <v>0</v>
      </c>
      <c r="DU147" s="2"/>
      <c r="DV147" s="2"/>
      <c r="DW147" s="2"/>
      <c r="DX147" s="2">
        <f t="shared" ca="1" si="864"/>
        <v>0</v>
      </c>
      <c r="DY147" s="46"/>
      <c r="DZ147" s="2">
        <f t="shared" si="865"/>
        <v>441.69997000000001</v>
      </c>
      <c r="EA147" s="2">
        <f t="shared" si="866"/>
        <v>441.69997000000001</v>
      </c>
      <c r="EB147" s="46"/>
      <c r="EC147" s="2"/>
      <c r="ED147" s="2"/>
      <c r="EE147" s="46"/>
      <c r="EF147" s="2"/>
      <c r="EG147" s="46"/>
      <c r="EH147" s="46"/>
      <c r="EI147" s="2">
        <f t="shared" si="794"/>
        <v>441.69997000000001</v>
      </c>
      <c r="EJ147" s="2"/>
      <c r="EK147" s="236">
        <f t="shared" si="814"/>
        <v>441.69997000000001</v>
      </c>
      <c r="EL147" s="499">
        <v>139.19997000000001</v>
      </c>
      <c r="EM147" s="499">
        <v>302.5</v>
      </c>
      <c r="EN147" s="2"/>
      <c r="EO147" s="2"/>
      <c r="EP147" s="2">
        <f t="shared" si="795"/>
        <v>43.685029999999998</v>
      </c>
      <c r="EQ147" s="2"/>
      <c r="ER147" s="2">
        <f t="shared" si="815"/>
        <v>43.685029999999998</v>
      </c>
      <c r="ES147" s="2">
        <v>13.76703</v>
      </c>
      <c r="ET147" s="2">
        <v>29.917999999999999</v>
      </c>
      <c r="EU147" s="2"/>
      <c r="EV147" s="141"/>
      <c r="EW147" s="310"/>
      <c r="EX147" s="310"/>
      <c r="EY147" s="310"/>
      <c r="EZ147" s="396"/>
      <c r="FA147" s="396"/>
      <c r="FB147" s="310"/>
      <c r="FC147" s="310"/>
      <c r="FD147" s="310"/>
      <c r="FE147" s="396"/>
      <c r="FF147" s="396"/>
      <c r="FG147" s="396"/>
      <c r="FH147" s="311"/>
      <c r="FI147" s="310"/>
      <c r="FJ147" s="296" t="e">
        <f t="shared" si="869"/>
        <v>#DIV/0!</v>
      </c>
      <c r="FK147" s="353"/>
      <c r="FL147" s="353"/>
      <c r="FM147" s="353"/>
      <c r="FN147" s="388"/>
      <c r="FO147" s="388"/>
      <c r="FP147" s="353"/>
      <c r="FQ147" s="353"/>
      <c r="FR147" s="353"/>
      <c r="FS147" s="388"/>
      <c r="FT147" s="388"/>
      <c r="FU147" s="388"/>
      <c r="FV147" s="353"/>
      <c r="FW147" s="353">
        <f t="shared" si="819"/>
        <v>0</v>
      </c>
      <c r="FX147" s="310"/>
      <c r="FY147" s="310"/>
      <c r="FZ147" s="310"/>
      <c r="GA147" s="396"/>
      <c r="GB147" s="396"/>
      <c r="GC147" s="310"/>
      <c r="GD147" s="310"/>
      <c r="GE147" s="310"/>
      <c r="GF147" s="396"/>
      <c r="GG147" s="396"/>
      <c r="GH147" s="396"/>
      <c r="GI147" s="310"/>
      <c r="GJ147" s="344"/>
      <c r="GK147" s="303">
        <f t="shared" si="796"/>
        <v>0.99999993208059779</v>
      </c>
    </row>
    <row r="148" spans="2:193" s="37" customFormat="1" ht="15.75" customHeight="1" x14ac:dyDescent="0.25">
      <c r="B148" s="29"/>
      <c r="C148" s="30"/>
      <c r="D148" s="30">
        <v>1</v>
      </c>
      <c r="E148" s="493">
        <v>122</v>
      </c>
      <c r="F148" s="29"/>
      <c r="G148" s="30"/>
      <c r="H148" s="30">
        <v>1</v>
      </c>
      <c r="I148" s="493"/>
      <c r="J148" s="494"/>
      <c r="K148" s="494"/>
      <c r="L148" s="53"/>
      <c r="M148" s="493">
        <v>102</v>
      </c>
      <c r="N148" s="494" t="s">
        <v>112</v>
      </c>
      <c r="O148" s="494"/>
      <c r="P148" s="494">
        <f t="shared" si="816"/>
        <v>0</v>
      </c>
      <c r="Q148" s="494"/>
      <c r="R148" s="494"/>
      <c r="S148" s="494" t="s">
        <v>602</v>
      </c>
      <c r="T148" s="156">
        <v>2</v>
      </c>
      <c r="U148" s="493"/>
      <c r="V148" s="2">
        <f t="shared" si="797"/>
        <v>2265.8000000000002</v>
      </c>
      <c r="W148" s="2"/>
      <c r="X148" s="198">
        <f t="shared" si="605"/>
        <v>2265.8000000000002</v>
      </c>
      <c r="Y148" s="198">
        <v>713.9</v>
      </c>
      <c r="Z148" s="42">
        <v>1551.9</v>
      </c>
      <c r="AA148" s="2"/>
      <c r="AB148" s="567">
        <f t="shared" si="849"/>
        <v>2265.8000000000002</v>
      </c>
      <c r="AC148" s="567"/>
      <c r="AD148" s="568">
        <f t="shared" si="606"/>
        <v>2265.8000000000002</v>
      </c>
      <c r="AE148" s="568">
        <v>713.9</v>
      </c>
      <c r="AF148" s="569">
        <v>1551.9</v>
      </c>
      <c r="AG148" s="567"/>
      <c r="AH148" s="570"/>
      <c r="AI148" s="567"/>
      <c r="AJ148" s="567"/>
      <c r="AK148" s="568"/>
      <c r="AL148" s="567"/>
      <c r="AM148" s="570"/>
      <c r="AN148" s="567"/>
      <c r="AO148" s="567"/>
      <c r="AP148" s="568"/>
      <c r="AQ148" s="567"/>
      <c r="AR148" s="570"/>
      <c r="AS148" s="567"/>
      <c r="AT148" s="567"/>
      <c r="AU148" s="568"/>
      <c r="AV148" s="567"/>
      <c r="AW148" s="570"/>
      <c r="AX148" s="425" t="s">
        <v>457</v>
      </c>
      <c r="AY148" s="567">
        <f t="shared" si="850"/>
        <v>2265.8000000000002</v>
      </c>
      <c r="AZ148" s="567"/>
      <c r="BA148" s="568">
        <f t="shared" si="851"/>
        <v>2265.8000000000002</v>
      </c>
      <c r="BB148" s="568">
        <v>713.9</v>
      </c>
      <c r="BC148" s="569">
        <v>1551.9</v>
      </c>
      <c r="BD148" s="567"/>
      <c r="BE148" s="570"/>
      <c r="BF148" s="567">
        <f t="shared" si="798"/>
        <v>0</v>
      </c>
      <c r="BG148" s="567">
        <f t="shared" si="799"/>
        <v>0</v>
      </c>
      <c r="BH148" s="567">
        <f t="shared" si="800"/>
        <v>0</v>
      </c>
      <c r="BI148" s="567">
        <f t="shared" si="801"/>
        <v>0</v>
      </c>
      <c r="BJ148" s="567">
        <f t="shared" si="802"/>
        <v>0</v>
      </c>
      <c r="BK148" s="567">
        <f t="shared" si="803"/>
        <v>0</v>
      </c>
      <c r="BL148" s="567" t="e">
        <f>#REF!-BE148</f>
        <v>#REF!</v>
      </c>
      <c r="BM148" s="567">
        <f t="shared" si="852"/>
        <v>841.8</v>
      </c>
      <c r="BN148" s="567"/>
      <c r="BO148" s="568">
        <v>841.8</v>
      </c>
      <c r="BP148" s="567"/>
      <c r="BQ148" s="570"/>
      <c r="BR148" s="567">
        <f t="shared" si="853"/>
        <v>0</v>
      </c>
      <c r="BS148" s="567"/>
      <c r="BT148" s="570"/>
      <c r="BU148" s="567"/>
      <c r="BV148" s="570"/>
      <c r="BW148" s="567">
        <f t="shared" si="854"/>
        <v>2265.8000000000002</v>
      </c>
      <c r="BX148" s="567"/>
      <c r="BY148" s="578">
        <f t="shared" si="804"/>
        <v>2265.8000000000002</v>
      </c>
      <c r="BZ148" s="571">
        <v>713.9</v>
      </c>
      <c r="CA148" s="571">
        <v>1551.9</v>
      </c>
      <c r="CB148" s="567"/>
      <c r="CC148" s="577"/>
      <c r="CD148" s="567">
        <f t="shared" si="855"/>
        <v>2265.8000000000002</v>
      </c>
      <c r="CE148" s="567"/>
      <c r="CF148" s="578">
        <f t="shared" si="805"/>
        <v>2265.8000000000002</v>
      </c>
      <c r="CG148" s="571">
        <v>713.9</v>
      </c>
      <c r="CH148" s="571">
        <v>1551.9</v>
      </c>
      <c r="CI148" s="567"/>
      <c r="CJ148" s="570"/>
      <c r="CK148" s="567">
        <f t="shared" si="856"/>
        <v>385.14299999999997</v>
      </c>
      <c r="CL148" s="567"/>
      <c r="CM148" s="567">
        <v>385.14299999999997</v>
      </c>
      <c r="CN148" s="567">
        <v>152.69900000000001</v>
      </c>
      <c r="CO148" s="567">
        <v>232.44399999999999</v>
      </c>
      <c r="CP148" s="567"/>
      <c r="CQ148" s="567"/>
      <c r="CR148" s="573">
        <f t="shared" si="857"/>
        <v>2650.9430000000002</v>
      </c>
      <c r="CS148" s="567">
        <f t="shared" si="807"/>
        <v>2650.9430000000002</v>
      </c>
      <c r="CT148" s="567">
        <f t="shared" si="808"/>
        <v>0</v>
      </c>
      <c r="CU148" s="567">
        <f t="shared" si="809"/>
        <v>2650.9430000000002</v>
      </c>
      <c r="CV148" s="567">
        <f t="shared" si="810"/>
        <v>0</v>
      </c>
      <c r="CW148" s="567">
        <f t="shared" si="858"/>
        <v>0</v>
      </c>
      <c r="CX148" s="567">
        <f t="shared" ca="1" si="477"/>
        <v>0</v>
      </c>
      <c r="CY148" s="567">
        <f t="shared" si="811"/>
        <v>0</v>
      </c>
      <c r="CZ148" s="567">
        <f t="shared" si="812"/>
        <v>0</v>
      </c>
      <c r="DA148" s="567">
        <f t="shared" si="813"/>
        <v>0</v>
      </c>
      <c r="DB148" s="2">
        <f t="shared" si="859"/>
        <v>0</v>
      </c>
      <c r="DC148" s="76"/>
      <c r="DD148" s="253">
        <f>BM139-DD140-DD142</f>
        <v>2532.3000000000011</v>
      </c>
      <c r="DE148" s="253">
        <f>DD148</f>
        <v>2532.3000000000011</v>
      </c>
      <c r="DF148" s="2">
        <f t="shared" si="860"/>
        <v>0</v>
      </c>
      <c r="DG148" s="2"/>
      <c r="DH148" s="234"/>
      <c r="DI148" s="2"/>
      <c r="DJ148" s="234"/>
      <c r="DK148" s="2">
        <f t="shared" si="861"/>
        <v>0</v>
      </c>
      <c r="DL148" s="2"/>
      <c r="DM148" s="234"/>
      <c r="DN148" s="2"/>
      <c r="DO148" s="234"/>
      <c r="DP148" s="2">
        <f t="shared" si="862"/>
        <v>0</v>
      </c>
      <c r="DQ148" s="2">
        <f t="shared" si="863"/>
        <v>0</v>
      </c>
      <c r="DR148" s="2">
        <f t="shared" si="863"/>
        <v>0</v>
      </c>
      <c r="DS148" s="2">
        <f t="shared" si="863"/>
        <v>0</v>
      </c>
      <c r="DT148" s="2">
        <f t="shared" si="863"/>
        <v>0</v>
      </c>
      <c r="DU148" s="2"/>
      <c r="DV148" s="2"/>
      <c r="DW148" s="2"/>
      <c r="DX148" s="2">
        <f t="shared" ca="1" si="864"/>
        <v>0</v>
      </c>
      <c r="DY148" s="46"/>
      <c r="DZ148" s="2">
        <f t="shared" si="865"/>
        <v>2265.8000000000002</v>
      </c>
      <c r="EA148" s="2">
        <f t="shared" si="866"/>
        <v>2265.8000000000002</v>
      </c>
      <c r="EB148" s="46"/>
      <c r="EC148" s="2">
        <f>EA148+EA150+EA152</f>
        <v>8297.6523699999998</v>
      </c>
      <c r="ED148" s="2">
        <f ca="1">DX148+DX150+DX152</f>
        <v>0</v>
      </c>
      <c r="EE148" s="46"/>
      <c r="EF148" s="2">
        <f>DE148-EC148</f>
        <v>-5765.3523699999987</v>
      </c>
      <c r="EG148" s="46"/>
      <c r="EH148" s="46"/>
      <c r="EI148" s="2">
        <f t="shared" si="794"/>
        <v>2265.8000000000002</v>
      </c>
      <c r="EJ148" s="2"/>
      <c r="EK148" s="433">
        <f t="shared" si="814"/>
        <v>2265.8000000000002</v>
      </c>
      <c r="EL148" s="446">
        <v>713.9</v>
      </c>
      <c r="EM148" s="446">
        <v>1551.9</v>
      </c>
      <c r="EN148" s="2"/>
      <c r="EO148" s="234"/>
      <c r="EP148" s="2">
        <f t="shared" si="795"/>
        <v>385.14299999999997</v>
      </c>
      <c r="EQ148" s="2"/>
      <c r="ER148" s="2">
        <v>385.14299999999997</v>
      </c>
      <c r="ES148" s="2">
        <v>152.69900000000001</v>
      </c>
      <c r="ET148" s="2">
        <v>232.44399999999999</v>
      </c>
      <c r="EU148" s="2"/>
      <c r="EV148" s="141"/>
      <c r="EW148" s="310"/>
      <c r="EX148" s="310"/>
      <c r="EY148" s="310"/>
      <c r="EZ148" s="396"/>
      <c r="FA148" s="396"/>
      <c r="FB148" s="310"/>
      <c r="FC148" s="310"/>
      <c r="FD148" s="310"/>
      <c r="FE148" s="396"/>
      <c r="FF148" s="396"/>
      <c r="FG148" s="396"/>
      <c r="FH148" s="311"/>
      <c r="FI148" s="310"/>
      <c r="FJ148" s="296" t="e">
        <f t="shared" si="869"/>
        <v>#DIV/0!</v>
      </c>
      <c r="FK148" s="353">
        <f t="shared" si="817"/>
        <v>2265.8000000000002</v>
      </c>
      <c r="FL148" s="353">
        <f>BA148</f>
        <v>2265.8000000000002</v>
      </c>
      <c r="FM148" s="353"/>
      <c r="FN148" s="388">
        <f t="shared" si="870"/>
        <v>1</v>
      </c>
      <c r="FO148" s="388">
        <f t="shared" si="871"/>
        <v>0</v>
      </c>
      <c r="FP148" s="353">
        <f t="shared" si="818"/>
        <v>2650.9430000000002</v>
      </c>
      <c r="FQ148" s="353">
        <f t="shared" si="872"/>
        <v>2265.8000000000002</v>
      </c>
      <c r="FR148" s="353">
        <f t="shared" si="873"/>
        <v>385.14299999999997</v>
      </c>
      <c r="FS148" s="388">
        <f t="shared" si="874"/>
        <v>0.85471471849828529</v>
      </c>
      <c r="FT148" s="388">
        <f t="shared" si="875"/>
        <v>0.14528528150171466</v>
      </c>
      <c r="FU148" s="388"/>
      <c r="FV148" s="353">
        <f t="shared" si="876"/>
        <v>2650.9430000000002</v>
      </c>
      <c r="FW148" s="353">
        <f t="shared" si="819"/>
        <v>-385.14300000000003</v>
      </c>
      <c r="FX148" s="310">
        <f t="shared" si="877"/>
        <v>0</v>
      </c>
      <c r="FY148" s="310">
        <f>BD148</f>
        <v>0</v>
      </c>
      <c r="FZ148" s="310"/>
      <c r="GA148" s="396" t="e">
        <f t="shared" si="878"/>
        <v>#DIV/0!</v>
      </c>
      <c r="GB148" s="396" t="e">
        <f t="shared" si="879"/>
        <v>#DIV/0!</v>
      </c>
      <c r="GC148" s="310">
        <f t="shared" si="847"/>
        <v>0</v>
      </c>
      <c r="GD148" s="310">
        <f t="shared" si="501"/>
        <v>0</v>
      </c>
      <c r="GE148" s="310">
        <f t="shared" si="502"/>
        <v>0</v>
      </c>
      <c r="GF148" s="396" t="e">
        <f t="shared" si="880"/>
        <v>#DIV/0!</v>
      </c>
      <c r="GG148" s="396" t="e">
        <f t="shared" si="881"/>
        <v>#DIV/0!</v>
      </c>
      <c r="GH148" s="396"/>
      <c r="GI148" s="310" t="e">
        <f t="shared" si="637"/>
        <v>#DIV/0!</v>
      </c>
      <c r="GJ148" s="344" t="e">
        <f t="shared" si="848"/>
        <v>#DIV/0!</v>
      </c>
      <c r="GK148" s="303">
        <f t="shared" si="796"/>
        <v>1</v>
      </c>
    </row>
    <row r="149" spans="2:193" s="37" customFormat="1" ht="15.6" hidden="1" customHeight="1" x14ac:dyDescent="0.25">
      <c r="B149" s="29"/>
      <c r="C149" s="30">
        <v>1</v>
      </c>
      <c r="D149" s="30"/>
      <c r="E149" s="493">
        <v>123</v>
      </c>
      <c r="F149" s="29"/>
      <c r="G149" s="30"/>
      <c r="H149" s="30"/>
      <c r="M149" s="493">
        <v>112</v>
      </c>
      <c r="N149" s="494" t="s">
        <v>227</v>
      </c>
      <c r="O149" s="494"/>
      <c r="P149" s="494">
        <f t="shared" si="816"/>
        <v>0</v>
      </c>
      <c r="Q149" s="494"/>
      <c r="R149" s="494"/>
      <c r="S149" s="494"/>
      <c r="T149" s="156"/>
      <c r="U149" s="493"/>
      <c r="V149" s="2">
        <f t="shared" si="797"/>
        <v>0</v>
      </c>
      <c r="W149" s="2"/>
      <c r="X149" s="198">
        <f t="shared" si="605"/>
        <v>0</v>
      </c>
      <c r="Y149" s="198">
        <f>221.8-221.8</f>
        <v>0</v>
      </c>
      <c r="Z149" s="42"/>
      <c r="AA149" s="2"/>
      <c r="AB149" s="567">
        <f t="shared" si="849"/>
        <v>0</v>
      </c>
      <c r="AC149" s="567"/>
      <c r="AD149" s="568">
        <f t="shared" si="606"/>
        <v>0</v>
      </c>
      <c r="AE149" s="568">
        <f>221.8-221.8</f>
        <v>0</v>
      </c>
      <c r="AF149" s="569"/>
      <c r="AG149" s="567"/>
      <c r="AH149" s="580"/>
      <c r="AI149" s="567"/>
      <c r="AJ149" s="567"/>
      <c r="AK149" s="568"/>
      <c r="AL149" s="567"/>
      <c r="AM149" s="580"/>
      <c r="AN149" s="567"/>
      <c r="AO149" s="567"/>
      <c r="AP149" s="568"/>
      <c r="AQ149" s="567"/>
      <c r="AR149" s="580"/>
      <c r="AS149" s="567"/>
      <c r="AT149" s="567"/>
      <c r="AU149" s="568"/>
      <c r="AV149" s="567"/>
      <c r="AW149" s="581"/>
      <c r="AX149" s="426"/>
      <c r="AY149" s="567">
        <f t="shared" si="850"/>
        <v>0</v>
      </c>
      <c r="AZ149" s="567"/>
      <c r="BA149" s="567">
        <f t="shared" si="851"/>
        <v>0</v>
      </c>
      <c r="BB149" s="567"/>
      <c r="BC149" s="567"/>
      <c r="BD149" s="567"/>
      <c r="BE149" s="567"/>
      <c r="BF149" s="567">
        <f t="shared" si="798"/>
        <v>0</v>
      </c>
      <c r="BG149" s="567">
        <f t="shared" si="799"/>
        <v>0</v>
      </c>
      <c r="BH149" s="567">
        <f t="shared" si="800"/>
        <v>0</v>
      </c>
      <c r="BI149" s="567">
        <f t="shared" si="801"/>
        <v>0</v>
      </c>
      <c r="BJ149" s="567">
        <f t="shared" si="802"/>
        <v>0</v>
      </c>
      <c r="BK149" s="567">
        <f t="shared" si="803"/>
        <v>0</v>
      </c>
      <c r="BL149" s="567" t="e">
        <f>#REF!-BE149</f>
        <v>#REF!</v>
      </c>
      <c r="BM149" s="567">
        <f t="shared" si="852"/>
        <v>0</v>
      </c>
      <c r="BN149" s="567"/>
      <c r="BO149" s="567"/>
      <c r="BP149" s="567"/>
      <c r="BQ149" s="567"/>
      <c r="BR149" s="567">
        <f t="shared" si="853"/>
        <v>0</v>
      </c>
      <c r="BS149" s="567"/>
      <c r="BT149" s="567"/>
      <c r="BU149" s="567"/>
      <c r="BV149" s="567"/>
      <c r="BW149" s="567">
        <f t="shared" si="854"/>
        <v>0</v>
      </c>
      <c r="BX149" s="567"/>
      <c r="BY149" s="567">
        <f t="shared" si="804"/>
        <v>0</v>
      </c>
      <c r="BZ149" s="574"/>
      <c r="CA149" s="574"/>
      <c r="CB149" s="567"/>
      <c r="CC149" s="567"/>
      <c r="CD149" s="567">
        <f t="shared" si="855"/>
        <v>0</v>
      </c>
      <c r="CE149" s="567"/>
      <c r="CF149" s="567">
        <f t="shared" si="805"/>
        <v>0</v>
      </c>
      <c r="CG149" s="574"/>
      <c r="CH149" s="574"/>
      <c r="CI149" s="567"/>
      <c r="CJ149" s="567"/>
      <c r="CK149" s="567">
        <f t="shared" si="856"/>
        <v>0</v>
      </c>
      <c r="CL149" s="567"/>
      <c r="CM149" s="567">
        <f t="shared" si="806"/>
        <v>0</v>
      </c>
      <c r="CN149" s="567"/>
      <c r="CO149" s="567"/>
      <c r="CP149" s="567"/>
      <c r="CQ149" s="567"/>
      <c r="CR149" s="573">
        <f t="shared" si="857"/>
        <v>0</v>
      </c>
      <c r="CS149" s="567">
        <f t="shared" si="807"/>
        <v>0</v>
      </c>
      <c r="CT149" s="567">
        <f t="shared" si="808"/>
        <v>0</v>
      </c>
      <c r="CU149" s="567">
        <f t="shared" si="809"/>
        <v>0</v>
      </c>
      <c r="CV149" s="567">
        <f t="shared" si="810"/>
        <v>0</v>
      </c>
      <c r="CW149" s="567">
        <f t="shared" si="858"/>
        <v>0</v>
      </c>
      <c r="CX149" s="567">
        <f t="shared" ca="1" si="477"/>
        <v>0</v>
      </c>
      <c r="CY149" s="567">
        <f t="shared" si="811"/>
        <v>0</v>
      </c>
      <c r="CZ149" s="567">
        <f t="shared" si="812"/>
        <v>0</v>
      </c>
      <c r="DA149" s="567">
        <f t="shared" si="813"/>
        <v>0</v>
      </c>
      <c r="DB149" s="2">
        <f t="shared" si="859"/>
        <v>0</v>
      </c>
      <c r="DC149" s="76"/>
      <c r="DD149" s="253"/>
      <c r="DE149" s="253"/>
      <c r="DF149" s="2">
        <f t="shared" si="860"/>
        <v>0</v>
      </c>
      <c r="DG149" s="2"/>
      <c r="DH149" s="2"/>
      <c r="DI149" s="2"/>
      <c r="DJ149" s="2"/>
      <c r="DK149" s="2">
        <f t="shared" si="861"/>
        <v>0</v>
      </c>
      <c r="DL149" s="2"/>
      <c r="DM149" s="2"/>
      <c r="DN149" s="2"/>
      <c r="DO149" s="2"/>
      <c r="DP149" s="2">
        <f t="shared" si="862"/>
        <v>0</v>
      </c>
      <c r="DQ149" s="2">
        <f t="shared" si="863"/>
        <v>0</v>
      </c>
      <c r="DR149" s="2">
        <f t="shared" si="863"/>
        <v>0</v>
      </c>
      <c r="DS149" s="2">
        <f t="shared" si="863"/>
        <v>0</v>
      </c>
      <c r="DT149" s="2">
        <f t="shared" si="863"/>
        <v>0</v>
      </c>
      <c r="DU149" s="2"/>
      <c r="DV149" s="2"/>
      <c r="DW149" s="2"/>
      <c r="DX149" s="2">
        <f t="shared" ca="1" si="864"/>
        <v>0</v>
      </c>
      <c r="DY149" s="46"/>
      <c r="DZ149" s="2">
        <f t="shared" si="865"/>
        <v>0</v>
      </c>
      <c r="EA149" s="2">
        <f t="shared" si="866"/>
        <v>0</v>
      </c>
      <c r="EB149" s="46"/>
      <c r="EC149" s="2"/>
      <c r="ED149" s="2"/>
      <c r="EE149" s="46"/>
      <c r="EF149" s="2"/>
      <c r="EG149" s="46"/>
      <c r="EH149" s="46"/>
      <c r="EI149" s="2">
        <f t="shared" si="794"/>
        <v>0</v>
      </c>
      <c r="EJ149" s="2"/>
      <c r="EK149" s="2">
        <f t="shared" si="814"/>
        <v>0</v>
      </c>
      <c r="EL149" s="432"/>
      <c r="EM149" s="432"/>
      <c r="EN149" s="2"/>
      <c r="EO149" s="2"/>
      <c r="EP149" s="2">
        <f t="shared" si="795"/>
        <v>0</v>
      </c>
      <c r="EQ149" s="2"/>
      <c r="ER149" s="2">
        <f t="shared" si="815"/>
        <v>0</v>
      </c>
      <c r="ES149" s="2"/>
      <c r="ET149" s="2"/>
      <c r="EU149" s="2"/>
      <c r="EV149" s="141"/>
      <c r="EW149" s="310"/>
      <c r="EX149" s="310"/>
      <c r="EY149" s="310"/>
      <c r="EZ149" s="396"/>
      <c r="FA149" s="396"/>
      <c r="FB149" s="310"/>
      <c r="FC149" s="310"/>
      <c r="FD149" s="310"/>
      <c r="FE149" s="396"/>
      <c r="FF149" s="396"/>
      <c r="FG149" s="396"/>
      <c r="FH149" s="311"/>
      <c r="FI149" s="310"/>
      <c r="FJ149" s="296" t="e">
        <f t="shared" si="869"/>
        <v>#DIV/0!</v>
      </c>
      <c r="FK149" s="353"/>
      <c r="FL149" s="353"/>
      <c r="FM149" s="353"/>
      <c r="FN149" s="388"/>
      <c r="FO149" s="388"/>
      <c r="FP149" s="353"/>
      <c r="FQ149" s="353"/>
      <c r="FR149" s="353"/>
      <c r="FS149" s="388"/>
      <c r="FT149" s="388"/>
      <c r="FU149" s="388"/>
      <c r="FV149" s="353"/>
      <c r="FW149" s="353">
        <f t="shared" si="819"/>
        <v>0</v>
      </c>
      <c r="FX149" s="310"/>
      <c r="FY149" s="310"/>
      <c r="FZ149" s="310"/>
      <c r="GA149" s="396"/>
      <c r="GB149" s="396"/>
      <c r="GC149" s="310"/>
      <c r="GD149" s="310"/>
      <c r="GE149" s="310"/>
      <c r="GF149" s="396"/>
      <c r="GG149" s="396"/>
      <c r="GH149" s="396"/>
      <c r="GI149" s="310"/>
      <c r="GJ149" s="344"/>
      <c r="GK149" s="303" t="e">
        <f t="shared" si="796"/>
        <v>#DIV/0!</v>
      </c>
    </row>
    <row r="150" spans="2:193" s="37" customFormat="1" ht="14.45" customHeight="1" x14ac:dyDescent="0.25">
      <c r="B150" s="29"/>
      <c r="C150" s="30"/>
      <c r="D150" s="30">
        <v>1</v>
      </c>
      <c r="E150" s="493">
        <v>124</v>
      </c>
      <c r="F150" s="29"/>
      <c r="G150" s="30"/>
      <c r="H150" s="30">
        <v>1</v>
      </c>
      <c r="I150" s="493"/>
      <c r="J150" s="494"/>
      <c r="K150" s="494"/>
      <c r="L150" s="53"/>
      <c r="M150" s="493">
        <v>103</v>
      </c>
      <c r="N150" s="494" t="s">
        <v>113</v>
      </c>
      <c r="O150" s="494"/>
      <c r="P150" s="494">
        <f t="shared" si="816"/>
        <v>0</v>
      </c>
      <c r="Q150" s="494" t="s">
        <v>701</v>
      </c>
      <c r="R150" s="494" t="s">
        <v>699</v>
      </c>
      <c r="S150" s="494" t="s">
        <v>632</v>
      </c>
      <c r="T150" s="156">
        <v>2</v>
      </c>
      <c r="U150" s="493">
        <v>1</v>
      </c>
      <c r="V150" s="2">
        <f t="shared" si="797"/>
        <v>2829</v>
      </c>
      <c r="W150" s="2"/>
      <c r="X150" s="198">
        <f t="shared" si="605"/>
        <v>2829</v>
      </c>
      <c r="Y150" s="198">
        <v>891.3</v>
      </c>
      <c r="Z150" s="42">
        <v>1937.7</v>
      </c>
      <c r="AA150" s="2"/>
      <c r="AB150" s="567">
        <f t="shared" si="849"/>
        <v>2829</v>
      </c>
      <c r="AC150" s="567"/>
      <c r="AD150" s="568">
        <f t="shared" si="606"/>
        <v>2829</v>
      </c>
      <c r="AE150" s="568">
        <v>891.3</v>
      </c>
      <c r="AF150" s="569">
        <v>1937.7</v>
      </c>
      <c r="AG150" s="567"/>
      <c r="AH150" s="570"/>
      <c r="AI150" s="567"/>
      <c r="AJ150" s="567"/>
      <c r="AK150" s="568"/>
      <c r="AL150" s="567"/>
      <c r="AM150" s="570"/>
      <c r="AN150" s="567"/>
      <c r="AO150" s="567"/>
      <c r="AP150" s="568"/>
      <c r="AQ150" s="567"/>
      <c r="AR150" s="570"/>
      <c r="AS150" s="567"/>
      <c r="AT150" s="567"/>
      <c r="AU150" s="568"/>
      <c r="AV150" s="567"/>
      <c r="AW150" s="570"/>
      <c r="AX150" s="425" t="s">
        <v>689</v>
      </c>
      <c r="AY150" s="567">
        <f t="shared" si="850"/>
        <v>2829</v>
      </c>
      <c r="AZ150" s="567"/>
      <c r="BA150" s="568">
        <f t="shared" si="851"/>
        <v>2829</v>
      </c>
      <c r="BB150" s="568">
        <f>683.31755+207.98245</f>
        <v>891.3</v>
      </c>
      <c r="BC150" s="569">
        <v>1937.7</v>
      </c>
      <c r="BD150" s="567"/>
      <c r="BE150" s="570"/>
      <c r="BF150" s="567">
        <f t="shared" si="798"/>
        <v>0</v>
      </c>
      <c r="BG150" s="567">
        <f t="shared" si="799"/>
        <v>0</v>
      </c>
      <c r="BH150" s="567">
        <f t="shared" si="800"/>
        <v>0</v>
      </c>
      <c r="BI150" s="567">
        <f t="shared" si="801"/>
        <v>0</v>
      </c>
      <c r="BJ150" s="567">
        <f t="shared" si="802"/>
        <v>0</v>
      </c>
      <c r="BK150" s="567">
        <f t="shared" si="803"/>
        <v>0</v>
      </c>
      <c r="BL150" s="567" t="e">
        <f>#REF!-BE150</f>
        <v>#REF!</v>
      </c>
      <c r="BM150" s="567">
        <f t="shared" si="852"/>
        <v>913.1</v>
      </c>
      <c r="BN150" s="567"/>
      <c r="BO150" s="568">
        <f>352.619+560.481</f>
        <v>913.1</v>
      </c>
      <c r="BP150" s="567"/>
      <c r="BQ150" s="570"/>
      <c r="BR150" s="567">
        <f t="shared" si="853"/>
        <v>0</v>
      </c>
      <c r="BS150" s="567"/>
      <c r="BT150" s="568"/>
      <c r="BU150" s="567"/>
      <c r="BV150" s="570"/>
      <c r="BW150" s="567">
        <f t="shared" si="854"/>
        <v>2825.5834099999997</v>
      </c>
      <c r="BX150" s="567"/>
      <c r="BY150" s="578">
        <f t="shared" si="804"/>
        <v>2825.5834099999997</v>
      </c>
      <c r="BZ150" s="571">
        <f>410.13208+269.76888+173.96392+34.01853</f>
        <v>887.88340999999991</v>
      </c>
      <c r="CA150" s="571">
        <f>1620.76129+316.93871</f>
        <v>1937.6999999999998</v>
      </c>
      <c r="CB150" s="567"/>
      <c r="CC150" s="577"/>
      <c r="CD150" s="567">
        <f t="shared" si="855"/>
        <v>2825.5834099999997</v>
      </c>
      <c r="CE150" s="567"/>
      <c r="CF150" s="578">
        <f t="shared" si="805"/>
        <v>2825.5834099999997</v>
      </c>
      <c r="CG150" s="571">
        <f>410.13208+269.76888+173.96392+34.01853</f>
        <v>887.88340999999991</v>
      </c>
      <c r="CH150" s="571">
        <f>1620.76129+316.93871</f>
        <v>1937.6999999999998</v>
      </c>
      <c r="CI150" s="567"/>
      <c r="CJ150" s="570"/>
      <c r="CK150" s="567">
        <f t="shared" si="856"/>
        <v>709.75806999999998</v>
      </c>
      <c r="CL150" s="567"/>
      <c r="CM150" s="567">
        <v>709.75806999999998</v>
      </c>
      <c r="CN150" s="567">
        <f>72.37625+47.60627+47.8168</f>
        <v>167.79931999999999</v>
      </c>
      <c r="CO150" s="567">
        <f>445.49247</f>
        <v>445.49247000000003</v>
      </c>
      <c r="CP150" s="567"/>
      <c r="CQ150" s="567"/>
      <c r="CR150" s="573">
        <f t="shared" si="857"/>
        <v>3535.3414799999996</v>
      </c>
      <c r="CS150" s="567">
        <f t="shared" si="807"/>
        <v>3535.3414799999996</v>
      </c>
      <c r="CT150" s="567">
        <f t="shared" si="808"/>
        <v>0</v>
      </c>
      <c r="CU150" s="567">
        <f t="shared" si="809"/>
        <v>3535.3414799999996</v>
      </c>
      <c r="CV150" s="567">
        <f t="shared" si="810"/>
        <v>0</v>
      </c>
      <c r="CW150" s="567">
        <f t="shared" si="858"/>
        <v>0</v>
      </c>
      <c r="CX150" s="567">
        <f t="shared" ca="1" si="477"/>
        <v>0</v>
      </c>
      <c r="CY150" s="567">
        <f t="shared" si="811"/>
        <v>0</v>
      </c>
      <c r="CZ150" s="567">
        <f t="shared" si="812"/>
        <v>0</v>
      </c>
      <c r="DA150" s="567">
        <f t="shared" si="813"/>
        <v>0</v>
      </c>
      <c r="DB150" s="2">
        <f t="shared" si="859"/>
        <v>0</v>
      </c>
      <c r="DC150" s="76"/>
      <c r="DD150" s="253"/>
      <c r="DE150" s="253"/>
      <c r="DF150" s="2">
        <f t="shared" si="860"/>
        <v>0</v>
      </c>
      <c r="DG150" s="2"/>
      <c r="DH150" s="198"/>
      <c r="DI150" s="2"/>
      <c r="DJ150" s="234"/>
      <c r="DK150" s="2">
        <f t="shared" si="861"/>
        <v>0</v>
      </c>
      <c r="DL150" s="2"/>
      <c r="DM150" s="198"/>
      <c r="DN150" s="2"/>
      <c r="DO150" s="234"/>
      <c r="DP150" s="2">
        <f t="shared" si="862"/>
        <v>0</v>
      </c>
      <c r="DQ150" s="2">
        <f t="shared" si="863"/>
        <v>0</v>
      </c>
      <c r="DR150" s="2">
        <f t="shared" si="863"/>
        <v>0</v>
      </c>
      <c r="DS150" s="2">
        <f t="shared" si="863"/>
        <v>0</v>
      </c>
      <c r="DT150" s="2">
        <f t="shared" si="863"/>
        <v>0</v>
      </c>
      <c r="DU150" s="2"/>
      <c r="DV150" s="2"/>
      <c r="DW150" s="2"/>
      <c r="DX150" s="2">
        <f t="shared" ca="1" si="864"/>
        <v>0</v>
      </c>
      <c r="DY150" s="46"/>
      <c r="DZ150" s="2">
        <f t="shared" si="865"/>
        <v>2825.5834099999997</v>
      </c>
      <c r="EA150" s="2">
        <f t="shared" si="866"/>
        <v>2825.5834099999997</v>
      </c>
      <c r="EB150" s="46"/>
      <c r="EC150" s="2"/>
      <c r="ED150" s="2"/>
      <c r="EE150" s="46"/>
      <c r="EF150" s="2"/>
      <c r="EG150" s="46"/>
      <c r="EH150" s="46"/>
      <c r="EI150" s="2">
        <f t="shared" si="794"/>
        <v>2825.5834099999997</v>
      </c>
      <c r="EJ150" s="2"/>
      <c r="EK150" s="433">
        <f t="shared" si="814"/>
        <v>2825.5834099999997</v>
      </c>
      <c r="EL150" s="446">
        <f>410.13208+269.76888+173.96392+34.01853</f>
        <v>887.88340999999991</v>
      </c>
      <c r="EM150" s="446">
        <f>1620.76129+316.93871</f>
        <v>1937.6999999999998</v>
      </c>
      <c r="EN150" s="2"/>
      <c r="EO150" s="234"/>
      <c r="EP150" s="2">
        <f t="shared" si="795"/>
        <v>709.75806999999998</v>
      </c>
      <c r="EQ150" s="2"/>
      <c r="ER150" s="2">
        <v>709.75806999999998</v>
      </c>
      <c r="ES150" s="2">
        <f>72.37625+47.60627+47.8168+9.35054</f>
        <v>177.14985999999999</v>
      </c>
      <c r="ET150" s="2">
        <f>445.49247+87.11574</f>
        <v>532.60820999999999</v>
      </c>
      <c r="EU150" s="2"/>
      <c r="EV150" s="141"/>
      <c r="EW150" s="310"/>
      <c r="EX150" s="310"/>
      <c r="EY150" s="310"/>
      <c r="EZ150" s="396"/>
      <c r="FA150" s="396"/>
      <c r="FB150" s="310"/>
      <c r="FC150" s="310"/>
      <c r="FD150" s="310"/>
      <c r="FE150" s="396"/>
      <c r="FF150" s="396"/>
      <c r="FG150" s="396"/>
      <c r="FH150" s="311"/>
      <c r="FI150" s="310"/>
      <c r="FJ150" s="296" t="e">
        <f t="shared" si="869"/>
        <v>#DIV/0!</v>
      </c>
      <c r="FK150" s="353">
        <f t="shared" si="817"/>
        <v>2829</v>
      </c>
      <c r="FL150" s="353">
        <f>BA150</f>
        <v>2829</v>
      </c>
      <c r="FM150" s="353"/>
      <c r="FN150" s="388">
        <f t="shared" si="870"/>
        <v>1</v>
      </c>
      <c r="FO150" s="388">
        <f t="shared" si="871"/>
        <v>0</v>
      </c>
      <c r="FP150" s="353">
        <f t="shared" si="818"/>
        <v>3535.3414799999996</v>
      </c>
      <c r="FQ150" s="353">
        <f t="shared" si="872"/>
        <v>2825.5834099999997</v>
      </c>
      <c r="FR150" s="353">
        <f t="shared" si="873"/>
        <v>709.75806999999998</v>
      </c>
      <c r="FS150" s="388">
        <f t="shared" si="874"/>
        <v>0.79923917561706093</v>
      </c>
      <c r="FT150" s="388">
        <f t="shared" si="875"/>
        <v>0.2007608243829391</v>
      </c>
      <c r="FU150" s="388"/>
      <c r="FV150" s="353">
        <f t="shared" si="876"/>
        <v>3535.3414799999996</v>
      </c>
      <c r="FW150" s="353">
        <f t="shared" si="819"/>
        <v>-709.75806999999986</v>
      </c>
      <c r="FX150" s="310"/>
      <c r="FY150" s="310"/>
      <c r="FZ150" s="310"/>
      <c r="GA150" s="396"/>
      <c r="GB150" s="396"/>
      <c r="GC150" s="310"/>
      <c r="GD150" s="310"/>
      <c r="GE150" s="310"/>
      <c r="GF150" s="396"/>
      <c r="GG150" s="396"/>
      <c r="GH150" s="396"/>
      <c r="GI150" s="310"/>
      <c r="GJ150" s="344"/>
      <c r="GK150" s="303">
        <f t="shared" si="796"/>
        <v>0.99879229763167188</v>
      </c>
    </row>
    <row r="151" spans="2:193" s="37" customFormat="1" ht="15.6" customHeight="1" x14ac:dyDescent="0.25">
      <c r="B151" s="29"/>
      <c r="C151" s="30">
        <v>1</v>
      </c>
      <c r="D151" s="30"/>
      <c r="E151" s="493">
        <v>125</v>
      </c>
      <c r="F151" s="29"/>
      <c r="G151" s="30">
        <v>1</v>
      </c>
      <c r="H151" s="30">
        <v>1</v>
      </c>
      <c r="I151" s="493"/>
      <c r="J151" s="494"/>
      <c r="K151" s="494"/>
      <c r="L151" s="53"/>
      <c r="M151" s="493">
        <v>104</v>
      </c>
      <c r="N151" s="494" t="s">
        <v>55</v>
      </c>
      <c r="O151" s="494"/>
      <c r="P151" s="494">
        <f t="shared" si="816"/>
        <v>0</v>
      </c>
      <c r="Q151" s="494"/>
      <c r="R151" s="494"/>
      <c r="S151" s="494" t="s">
        <v>574</v>
      </c>
      <c r="T151" s="156">
        <v>4</v>
      </c>
      <c r="U151" s="493">
        <v>1</v>
      </c>
      <c r="V151" s="2">
        <f t="shared" si="797"/>
        <v>1965</v>
      </c>
      <c r="W151" s="2">
        <v>0</v>
      </c>
      <c r="X151" s="198">
        <f t="shared" si="605"/>
        <v>1965</v>
      </c>
      <c r="Y151" s="198">
        <v>619.1</v>
      </c>
      <c r="Z151" s="42">
        <v>1345.9</v>
      </c>
      <c r="AA151" s="2"/>
      <c r="AB151" s="567">
        <f t="shared" si="849"/>
        <v>1965</v>
      </c>
      <c r="AC151" s="567">
        <v>0</v>
      </c>
      <c r="AD151" s="568">
        <f t="shared" si="606"/>
        <v>1965</v>
      </c>
      <c r="AE151" s="568">
        <v>619.1</v>
      </c>
      <c r="AF151" s="569">
        <v>1345.9</v>
      </c>
      <c r="AG151" s="567"/>
      <c r="AH151" s="570"/>
      <c r="AI151" s="567"/>
      <c r="AJ151" s="567"/>
      <c r="AK151" s="568"/>
      <c r="AL151" s="567"/>
      <c r="AM151" s="570"/>
      <c r="AN151" s="567"/>
      <c r="AO151" s="567"/>
      <c r="AP151" s="568"/>
      <c r="AQ151" s="567"/>
      <c r="AR151" s="570"/>
      <c r="AS151" s="567"/>
      <c r="AT151" s="567"/>
      <c r="AU151" s="568"/>
      <c r="AV151" s="567"/>
      <c r="AW151" s="570"/>
      <c r="AX151" s="409" t="s">
        <v>731</v>
      </c>
      <c r="AY151" s="573">
        <f t="shared" si="850"/>
        <v>1965</v>
      </c>
      <c r="AZ151" s="567">
        <f>11201.7477-8730.5-2471.2477</f>
        <v>0</v>
      </c>
      <c r="BA151" s="568">
        <f t="shared" si="851"/>
        <v>1965</v>
      </c>
      <c r="BB151" s="568">
        <v>619.1</v>
      </c>
      <c r="BC151" s="569">
        <v>1345.9</v>
      </c>
      <c r="BD151" s="567"/>
      <c r="BE151" s="570"/>
      <c r="BF151" s="567">
        <f t="shared" si="798"/>
        <v>0</v>
      </c>
      <c r="BG151" s="567">
        <f t="shared" si="799"/>
        <v>0</v>
      </c>
      <c r="BH151" s="567">
        <f t="shared" si="800"/>
        <v>0</v>
      </c>
      <c r="BI151" s="567">
        <f t="shared" si="801"/>
        <v>0</v>
      </c>
      <c r="BJ151" s="567">
        <f t="shared" si="802"/>
        <v>0</v>
      </c>
      <c r="BK151" s="567">
        <f t="shared" si="803"/>
        <v>0</v>
      </c>
      <c r="BL151" s="567" t="e">
        <f>#REF!-BE151</f>
        <v>#REF!</v>
      </c>
      <c r="BM151" s="567">
        <f t="shared" si="852"/>
        <v>616.4</v>
      </c>
      <c r="BN151" s="567"/>
      <c r="BO151" s="568">
        <v>616.4</v>
      </c>
      <c r="BP151" s="567"/>
      <c r="BQ151" s="570"/>
      <c r="BR151" s="567">
        <f t="shared" si="853"/>
        <v>0</v>
      </c>
      <c r="BS151" s="567"/>
      <c r="BT151" s="568"/>
      <c r="BU151" s="567"/>
      <c r="BV151" s="570"/>
      <c r="BW151" s="567">
        <f t="shared" si="854"/>
        <v>1750.0422799999999</v>
      </c>
      <c r="BX151" s="567"/>
      <c r="BY151" s="578">
        <f t="shared" si="804"/>
        <v>1750.0422799999999</v>
      </c>
      <c r="BZ151" s="571">
        <v>518.72299999999996</v>
      </c>
      <c r="CA151" s="571">
        <v>1231.3192799999999</v>
      </c>
      <c r="CB151" s="567"/>
      <c r="CC151" s="577"/>
      <c r="CD151" s="567">
        <f t="shared" si="855"/>
        <v>1750.0422799999999</v>
      </c>
      <c r="CE151" s="567"/>
      <c r="CF151" s="578">
        <f t="shared" si="805"/>
        <v>1750.0422799999999</v>
      </c>
      <c r="CG151" s="571">
        <v>518.72299999999996</v>
      </c>
      <c r="CH151" s="571">
        <v>1231.3192799999999</v>
      </c>
      <c r="CI151" s="567"/>
      <c r="CJ151" s="570"/>
      <c r="CK151" s="567">
        <f t="shared" si="856"/>
        <v>843.93624</v>
      </c>
      <c r="CL151" s="567"/>
      <c r="CM151" s="567">
        <v>843.93624</v>
      </c>
      <c r="CN151" s="567"/>
      <c r="CO151" s="567"/>
      <c r="CP151" s="567"/>
      <c r="CQ151" s="567"/>
      <c r="CR151" s="573">
        <f t="shared" si="857"/>
        <v>2593.9785199999997</v>
      </c>
      <c r="CS151" s="567">
        <f t="shared" si="807"/>
        <v>2593.9785199999997</v>
      </c>
      <c r="CT151" s="567">
        <f t="shared" si="808"/>
        <v>0</v>
      </c>
      <c r="CU151" s="567">
        <f t="shared" si="809"/>
        <v>2593.9785199999997</v>
      </c>
      <c r="CV151" s="567">
        <f t="shared" si="810"/>
        <v>0</v>
      </c>
      <c r="CW151" s="567">
        <f t="shared" si="858"/>
        <v>0</v>
      </c>
      <c r="CX151" s="567">
        <f t="shared" ca="1" si="477"/>
        <v>0</v>
      </c>
      <c r="CY151" s="567">
        <f t="shared" si="811"/>
        <v>0</v>
      </c>
      <c r="CZ151" s="567">
        <f t="shared" si="812"/>
        <v>0</v>
      </c>
      <c r="DA151" s="567">
        <f t="shared" si="813"/>
        <v>0</v>
      </c>
      <c r="DB151" s="2">
        <f t="shared" si="859"/>
        <v>0</v>
      </c>
      <c r="DC151" s="76"/>
      <c r="DD151" s="253"/>
      <c r="DE151" s="253"/>
      <c r="DF151" s="2">
        <f t="shared" si="860"/>
        <v>0</v>
      </c>
      <c r="DG151" s="2"/>
      <c r="DH151" s="198"/>
      <c r="DI151" s="2"/>
      <c r="DJ151" s="234"/>
      <c r="DK151" s="2">
        <f t="shared" si="861"/>
        <v>0</v>
      </c>
      <c r="DL151" s="2"/>
      <c r="DM151" s="198"/>
      <c r="DN151" s="2"/>
      <c r="DO151" s="234"/>
      <c r="DP151" s="2">
        <f t="shared" si="862"/>
        <v>0</v>
      </c>
      <c r="DQ151" s="2">
        <f t="shared" si="863"/>
        <v>0</v>
      </c>
      <c r="DR151" s="2">
        <f t="shared" si="863"/>
        <v>0</v>
      </c>
      <c r="DS151" s="2">
        <f t="shared" si="863"/>
        <v>0</v>
      </c>
      <c r="DT151" s="2">
        <f t="shared" si="863"/>
        <v>0</v>
      </c>
      <c r="DU151" s="2"/>
      <c r="DV151" s="2"/>
      <c r="DW151" s="2"/>
      <c r="DX151" s="2">
        <f t="shared" ca="1" si="864"/>
        <v>0</v>
      </c>
      <c r="DY151" s="46"/>
      <c r="DZ151" s="2">
        <f t="shared" si="865"/>
        <v>1750.0422799999999</v>
      </c>
      <c r="EA151" s="2">
        <f t="shared" si="866"/>
        <v>1750.0422799999999</v>
      </c>
      <c r="EB151" s="46"/>
      <c r="EC151" s="2"/>
      <c r="ED151" s="2"/>
      <c r="EE151" s="46"/>
      <c r="EF151" s="2"/>
      <c r="EG151" s="46"/>
      <c r="EH151" s="46"/>
      <c r="EI151" s="2">
        <f t="shared" si="794"/>
        <v>1750.0422799999999</v>
      </c>
      <c r="EJ151" s="2"/>
      <c r="EK151" s="433">
        <f t="shared" si="814"/>
        <v>1750.0422799999999</v>
      </c>
      <c r="EL151" s="446">
        <v>518.72299999999996</v>
      </c>
      <c r="EM151" s="446">
        <v>1231.3192799999999</v>
      </c>
      <c r="EN151" s="2"/>
      <c r="EO151" s="234"/>
      <c r="EP151" s="2">
        <f t="shared" si="795"/>
        <v>843.93624</v>
      </c>
      <c r="EQ151" s="2"/>
      <c r="ER151" s="2">
        <v>843.93624</v>
      </c>
      <c r="ES151" s="2">
        <v>176.76044999999999</v>
      </c>
      <c r="ET151" s="2">
        <v>667.17579000000001</v>
      </c>
      <c r="EU151" s="2"/>
      <c r="EV151" s="141"/>
      <c r="EW151" s="310">
        <f t="shared" ref="EW151" si="892">EX151+EY151</f>
        <v>0</v>
      </c>
      <c r="EX151" s="310">
        <f>AZ151</f>
        <v>0</v>
      </c>
      <c r="EY151" s="310">
        <v>0</v>
      </c>
      <c r="EZ151" s="396" t="e">
        <f t="shared" ref="EZ151" si="893">EX151/EW151</f>
        <v>#DIV/0!</v>
      </c>
      <c r="FA151" s="396" t="e">
        <f t="shared" ref="FA151" si="894">EY151/EW151</f>
        <v>#DIV/0!</v>
      </c>
      <c r="FB151" s="310">
        <f t="shared" si="841"/>
        <v>0</v>
      </c>
      <c r="FC151" s="310">
        <f t="shared" ref="FC151" si="895">EJ151</f>
        <v>0</v>
      </c>
      <c r="FD151" s="310">
        <f t="shared" ref="FD151" si="896">EQ151</f>
        <v>0</v>
      </c>
      <c r="FE151" s="396" t="e">
        <f t="shared" ref="FE151" si="897">FC151/FB151</f>
        <v>#DIV/0!</v>
      </c>
      <c r="FF151" s="396" t="e">
        <f t="shared" ref="FF151" si="898">FD151/FB151</f>
        <v>#DIV/0!</v>
      </c>
      <c r="FG151" s="396"/>
      <c r="FH151" s="311" t="e">
        <f>FB151*EZ151</f>
        <v>#DIV/0!</v>
      </c>
      <c r="FI151" s="310" t="e">
        <f>FC151-FH151</f>
        <v>#DIV/0!</v>
      </c>
      <c r="FJ151" s="296" t="e">
        <f t="shared" si="869"/>
        <v>#DIV/0!</v>
      </c>
      <c r="FK151" s="353">
        <f t="shared" si="817"/>
        <v>1965</v>
      </c>
      <c r="FL151" s="353">
        <f>BA151</f>
        <v>1965</v>
      </c>
      <c r="FM151" s="353"/>
      <c r="FN151" s="388">
        <f t="shared" si="870"/>
        <v>1</v>
      </c>
      <c r="FO151" s="388">
        <f t="shared" si="871"/>
        <v>0</v>
      </c>
      <c r="FP151" s="353">
        <f t="shared" si="818"/>
        <v>2593.9785199999997</v>
      </c>
      <c r="FQ151" s="353">
        <f t="shared" si="872"/>
        <v>1750.0422799999999</v>
      </c>
      <c r="FR151" s="353">
        <f t="shared" si="873"/>
        <v>843.93624</v>
      </c>
      <c r="FS151" s="388">
        <f t="shared" si="874"/>
        <v>0.67465565597667332</v>
      </c>
      <c r="FT151" s="388">
        <f t="shared" si="875"/>
        <v>0.32534434402332679</v>
      </c>
      <c r="FU151" s="388"/>
      <c r="FV151" s="353">
        <f t="shared" si="876"/>
        <v>2593.9785199999997</v>
      </c>
      <c r="FW151" s="353">
        <f t="shared" si="819"/>
        <v>-843.93623999999977</v>
      </c>
      <c r="FX151" s="310"/>
      <c r="FY151" s="310"/>
      <c r="FZ151" s="310"/>
      <c r="GA151" s="396"/>
      <c r="GB151" s="396"/>
      <c r="GC151" s="310"/>
      <c r="GD151" s="310"/>
      <c r="GE151" s="310"/>
      <c r="GF151" s="396"/>
      <c r="GG151" s="396"/>
      <c r="GH151" s="396"/>
      <c r="GI151" s="310"/>
      <c r="GJ151" s="344"/>
      <c r="GK151" s="303">
        <f t="shared" si="796"/>
        <v>0.89060675826972002</v>
      </c>
    </row>
    <row r="152" spans="2:193" s="37" customFormat="1" ht="15.75" customHeight="1" x14ac:dyDescent="0.25">
      <c r="B152" s="29"/>
      <c r="C152" s="30"/>
      <c r="D152" s="30">
        <v>1</v>
      </c>
      <c r="E152" s="493">
        <v>126</v>
      </c>
      <c r="F152" s="29"/>
      <c r="G152" s="30"/>
      <c r="H152" s="30">
        <v>1</v>
      </c>
      <c r="I152" s="493"/>
      <c r="J152" s="494"/>
      <c r="K152" s="494"/>
      <c r="L152" s="53"/>
      <c r="M152" s="442">
        <v>105</v>
      </c>
      <c r="N152" s="494" t="s">
        <v>114</v>
      </c>
      <c r="O152" s="494"/>
      <c r="P152" s="494">
        <f t="shared" si="816"/>
        <v>0</v>
      </c>
      <c r="Q152" s="494" t="s">
        <v>706</v>
      </c>
      <c r="R152" s="494" t="s">
        <v>699</v>
      </c>
      <c r="S152" s="494" t="s">
        <v>624</v>
      </c>
      <c r="T152" s="156">
        <v>3</v>
      </c>
      <c r="U152" s="156">
        <v>2</v>
      </c>
      <c r="V152" s="2">
        <f t="shared" si="797"/>
        <v>3398.424</v>
      </c>
      <c r="W152" s="2"/>
      <c r="X152" s="198">
        <f t="shared" si="605"/>
        <v>2483.4</v>
      </c>
      <c r="Y152" s="198">
        <v>782.4</v>
      </c>
      <c r="Z152" s="42">
        <v>1701</v>
      </c>
      <c r="AA152" s="2">
        <v>915.024</v>
      </c>
      <c r="AB152" s="567">
        <f t="shared" si="849"/>
        <v>3398.424</v>
      </c>
      <c r="AC152" s="567"/>
      <c r="AD152" s="568">
        <f t="shared" si="606"/>
        <v>2483.4</v>
      </c>
      <c r="AE152" s="568">
        <v>782.4</v>
      </c>
      <c r="AF152" s="569">
        <v>1701</v>
      </c>
      <c r="AG152" s="567">
        <v>915.024</v>
      </c>
      <c r="AH152" s="570"/>
      <c r="AI152" s="567"/>
      <c r="AJ152" s="567"/>
      <c r="AK152" s="568"/>
      <c r="AL152" s="567"/>
      <c r="AM152" s="570"/>
      <c r="AN152" s="567"/>
      <c r="AO152" s="567"/>
      <c r="AP152" s="568"/>
      <c r="AQ152" s="567"/>
      <c r="AR152" s="570"/>
      <c r="AS152" s="567"/>
      <c r="AT152" s="567"/>
      <c r="AU152" s="568"/>
      <c r="AV152" s="567"/>
      <c r="AW152" s="570"/>
      <c r="AX152" s="409" t="s">
        <v>676</v>
      </c>
      <c r="AY152" s="567">
        <f t="shared" si="850"/>
        <v>3398.424</v>
      </c>
      <c r="AZ152" s="567"/>
      <c r="BA152" s="578">
        <f t="shared" si="851"/>
        <v>2483.4</v>
      </c>
      <c r="BB152" s="568">
        <v>782.4</v>
      </c>
      <c r="BC152" s="569">
        <v>1701</v>
      </c>
      <c r="BD152" s="567">
        <v>915.024</v>
      </c>
      <c r="BE152" s="570"/>
      <c r="BF152" s="567">
        <f t="shared" si="798"/>
        <v>0</v>
      </c>
      <c r="BG152" s="567">
        <f t="shared" si="799"/>
        <v>0</v>
      </c>
      <c r="BH152" s="567">
        <f t="shared" si="800"/>
        <v>0</v>
      </c>
      <c r="BI152" s="567">
        <f t="shared" si="801"/>
        <v>0</v>
      </c>
      <c r="BJ152" s="567">
        <f t="shared" si="802"/>
        <v>0</v>
      </c>
      <c r="BK152" s="567">
        <f t="shared" si="803"/>
        <v>0</v>
      </c>
      <c r="BL152" s="567" t="e">
        <f>#REF!-BE152</f>
        <v>#REF!</v>
      </c>
      <c r="BM152" s="567">
        <f t="shared" si="852"/>
        <v>777.4</v>
      </c>
      <c r="BN152" s="567"/>
      <c r="BO152" s="568">
        <v>777.4</v>
      </c>
      <c r="BP152" s="567"/>
      <c r="BQ152" s="570"/>
      <c r="BR152" s="567">
        <f t="shared" si="853"/>
        <v>0</v>
      </c>
      <c r="BS152" s="567"/>
      <c r="BT152" s="568"/>
      <c r="BU152" s="567"/>
      <c r="BV152" s="570"/>
      <c r="BW152" s="567">
        <f t="shared" si="854"/>
        <v>3206.2689600000003</v>
      </c>
      <c r="BX152" s="567"/>
      <c r="BY152" s="568">
        <f t="shared" si="804"/>
        <v>2483.4</v>
      </c>
      <c r="BZ152" s="571">
        <f>121.27205+661.12795</f>
        <v>782.40000000000009</v>
      </c>
      <c r="CA152" s="571">
        <f>1260.46466+440.53534</f>
        <v>1701</v>
      </c>
      <c r="CB152" s="567">
        <v>722.86896000000002</v>
      </c>
      <c r="CC152" s="577"/>
      <c r="CD152" s="567">
        <f t="shared" si="855"/>
        <v>3206.2689600000003</v>
      </c>
      <c r="CE152" s="567"/>
      <c r="CF152" s="568">
        <f t="shared" si="805"/>
        <v>2483.4</v>
      </c>
      <c r="CG152" s="571">
        <f>121.27205+661.12795</f>
        <v>782.40000000000009</v>
      </c>
      <c r="CH152" s="571">
        <f>1260.46466+440.53534</f>
        <v>1701</v>
      </c>
      <c r="CI152" s="567">
        <v>722.86896000000002</v>
      </c>
      <c r="CJ152" s="570"/>
      <c r="CK152" s="567">
        <f t="shared" si="856"/>
        <v>437.21904000000001</v>
      </c>
      <c r="CL152" s="567"/>
      <c r="CM152" s="567">
        <v>338.64600000000002</v>
      </c>
      <c r="CN152" s="567"/>
      <c r="CO152" s="567">
        <v>171.88188</v>
      </c>
      <c r="CP152" s="567">
        <v>98.573040000000006</v>
      </c>
      <c r="CQ152" s="567"/>
      <c r="CR152" s="573">
        <f t="shared" si="857"/>
        <v>3643.4880000000003</v>
      </c>
      <c r="CS152" s="567">
        <f t="shared" si="807"/>
        <v>3643.4880000000003</v>
      </c>
      <c r="CT152" s="567">
        <f t="shared" si="808"/>
        <v>0</v>
      </c>
      <c r="CU152" s="567">
        <f t="shared" si="809"/>
        <v>2822.0460000000003</v>
      </c>
      <c r="CV152" s="567">
        <f t="shared" si="810"/>
        <v>821.44200000000001</v>
      </c>
      <c r="CW152" s="567">
        <f t="shared" si="858"/>
        <v>0</v>
      </c>
      <c r="CX152" s="567">
        <f t="shared" ref="CX152:CX215" ca="1" si="899">CX153</f>
        <v>0</v>
      </c>
      <c r="CY152" s="567">
        <f t="shared" si="811"/>
        <v>0</v>
      </c>
      <c r="CZ152" s="567">
        <f t="shared" si="812"/>
        <v>0</v>
      </c>
      <c r="DA152" s="567">
        <f t="shared" si="813"/>
        <v>0</v>
      </c>
      <c r="DB152" s="2">
        <f t="shared" si="859"/>
        <v>0</v>
      </c>
      <c r="DC152" s="76"/>
      <c r="DD152" s="253"/>
      <c r="DE152" s="253"/>
      <c r="DF152" s="2">
        <f t="shared" si="860"/>
        <v>0</v>
      </c>
      <c r="DG152" s="2"/>
      <c r="DH152" s="198"/>
      <c r="DI152" s="2"/>
      <c r="DJ152" s="234"/>
      <c r="DK152" s="2">
        <f t="shared" si="861"/>
        <v>0</v>
      </c>
      <c r="DL152" s="2"/>
      <c r="DM152" s="198"/>
      <c r="DN152" s="2"/>
      <c r="DO152" s="234"/>
      <c r="DP152" s="2">
        <f t="shared" si="862"/>
        <v>0</v>
      </c>
      <c r="DQ152" s="2">
        <f t="shared" si="863"/>
        <v>0</v>
      </c>
      <c r="DR152" s="2">
        <f t="shared" si="863"/>
        <v>0</v>
      </c>
      <c r="DS152" s="2">
        <f t="shared" si="863"/>
        <v>0</v>
      </c>
      <c r="DT152" s="2">
        <f t="shared" si="863"/>
        <v>0</v>
      </c>
      <c r="DU152" s="2"/>
      <c r="DV152" s="2"/>
      <c r="DW152" s="2"/>
      <c r="DX152" s="2">
        <f t="shared" ca="1" si="864"/>
        <v>0</v>
      </c>
      <c r="DY152" s="46"/>
      <c r="DZ152" s="2">
        <f t="shared" si="865"/>
        <v>3206.2689600000003</v>
      </c>
      <c r="EA152" s="2">
        <f t="shared" si="866"/>
        <v>3206.2689600000003</v>
      </c>
      <c r="EB152" s="46"/>
      <c r="EC152" s="2"/>
      <c r="ED152" s="2"/>
      <c r="EE152" s="46"/>
      <c r="EF152" s="2"/>
      <c r="EG152" s="46"/>
      <c r="EH152" s="46"/>
      <c r="EI152" s="2">
        <f t="shared" si="794"/>
        <v>3206.2689600000003</v>
      </c>
      <c r="EJ152" s="2"/>
      <c r="EK152" s="198">
        <f t="shared" si="814"/>
        <v>2483.4</v>
      </c>
      <c r="EL152" s="446">
        <f>121.27205+661.12795</f>
        <v>782.40000000000009</v>
      </c>
      <c r="EM152" s="446">
        <f>1260.46466+440.53534</f>
        <v>1701</v>
      </c>
      <c r="EN152" s="2">
        <v>722.86896000000002</v>
      </c>
      <c r="EO152" s="234"/>
      <c r="EP152" s="2">
        <f t="shared" si="795"/>
        <v>437.21904000000001</v>
      </c>
      <c r="EQ152" s="2"/>
      <c r="ER152" s="2">
        <v>338.64600000000002</v>
      </c>
      <c r="ES152" s="2">
        <f>16.53711+90.15389</f>
        <v>106.691</v>
      </c>
      <c r="ET152" s="2">
        <f>171.88188+60.07312</f>
        <v>231.95499999999998</v>
      </c>
      <c r="EU152" s="2">
        <v>98.573040000000006</v>
      </c>
      <c r="EV152" s="141"/>
      <c r="EW152" s="310"/>
      <c r="EX152" s="310"/>
      <c r="EY152" s="310"/>
      <c r="EZ152" s="396"/>
      <c r="FA152" s="396"/>
      <c r="FB152" s="310"/>
      <c r="FC152" s="310"/>
      <c r="FD152" s="310"/>
      <c r="FE152" s="396"/>
      <c r="FF152" s="396"/>
      <c r="FG152" s="396"/>
      <c r="FH152" s="311"/>
      <c r="FI152" s="310"/>
      <c r="FJ152" s="296" t="e">
        <f t="shared" si="869"/>
        <v>#DIV/0!</v>
      </c>
      <c r="FK152" s="353">
        <f t="shared" si="817"/>
        <v>2483.4</v>
      </c>
      <c r="FL152" s="353">
        <f>BA152</f>
        <v>2483.4</v>
      </c>
      <c r="FM152" s="353"/>
      <c r="FN152" s="388">
        <f t="shared" si="870"/>
        <v>1</v>
      </c>
      <c r="FO152" s="388">
        <f t="shared" si="871"/>
        <v>0</v>
      </c>
      <c r="FP152" s="353">
        <f t="shared" si="818"/>
        <v>2822.0460000000003</v>
      </c>
      <c r="FQ152" s="353">
        <f t="shared" si="872"/>
        <v>2483.4</v>
      </c>
      <c r="FR152" s="353">
        <f t="shared" si="873"/>
        <v>338.64600000000002</v>
      </c>
      <c r="FS152" s="388">
        <f t="shared" si="874"/>
        <v>0.8799998299106393</v>
      </c>
      <c r="FT152" s="388">
        <f t="shared" si="875"/>
        <v>0.12000017008936069</v>
      </c>
      <c r="FU152" s="388"/>
      <c r="FV152" s="353">
        <f t="shared" si="876"/>
        <v>2822.0460000000003</v>
      </c>
      <c r="FW152" s="353">
        <f t="shared" si="819"/>
        <v>-338.64600000000019</v>
      </c>
      <c r="FX152" s="310">
        <f t="shared" si="877"/>
        <v>915.024</v>
      </c>
      <c r="FY152" s="310">
        <f>BD152</f>
        <v>915.024</v>
      </c>
      <c r="FZ152" s="310"/>
      <c r="GA152" s="396">
        <f t="shared" si="878"/>
        <v>1</v>
      </c>
      <c r="GB152" s="396">
        <f t="shared" si="879"/>
        <v>0</v>
      </c>
      <c r="GC152" s="310">
        <f t="shared" si="847"/>
        <v>821.44200000000001</v>
      </c>
      <c r="GD152" s="310">
        <f t="shared" ref="GD152:GD205" si="900">EN152</f>
        <v>722.86896000000002</v>
      </c>
      <c r="GE152" s="310">
        <f t="shared" ref="GE152:GE205" si="901">EU152</f>
        <v>98.573040000000006</v>
      </c>
      <c r="GF152" s="396">
        <f t="shared" si="880"/>
        <v>0.88</v>
      </c>
      <c r="GG152" s="396">
        <f t="shared" si="881"/>
        <v>0.12000000000000001</v>
      </c>
      <c r="GH152" s="396"/>
      <c r="GI152" s="310">
        <f t="shared" si="637"/>
        <v>821.44200000000001</v>
      </c>
      <c r="GJ152" s="344">
        <f t="shared" si="848"/>
        <v>-98.573039999999992</v>
      </c>
      <c r="GK152" s="303">
        <f t="shared" si="796"/>
        <v>0.94345760270054602</v>
      </c>
    </row>
    <row r="153" spans="2:193" s="115" customFormat="1" ht="15.6" customHeight="1" x14ac:dyDescent="0.2">
      <c r="B153" s="109"/>
      <c r="C153" s="110"/>
      <c r="D153" s="110"/>
      <c r="E153" s="111"/>
      <c r="F153" s="109"/>
      <c r="G153" s="110"/>
      <c r="H153" s="110"/>
      <c r="M153" s="111"/>
      <c r="N153" s="114" t="s">
        <v>20</v>
      </c>
      <c r="O153" s="114"/>
      <c r="P153" s="114">
        <f t="shared" si="816"/>
        <v>0</v>
      </c>
      <c r="Q153" s="114"/>
      <c r="R153" s="114"/>
      <c r="S153" s="114"/>
      <c r="T153" s="158">
        <f>T154+T155+T156+T157+T158+T159+T160</f>
        <v>8</v>
      </c>
      <c r="U153" s="158">
        <f>U154+U155+U156+U157+U158+U159+U160</f>
        <v>3</v>
      </c>
      <c r="V153" s="57">
        <f t="shared" si="797"/>
        <v>62977.703000000009</v>
      </c>
      <c r="W153" s="57">
        <f t="shared" ref="W153:AA153" si="902">SUM(W154:W160)-W155</f>
        <v>0</v>
      </c>
      <c r="X153" s="57">
        <f t="shared" si="902"/>
        <v>28316.100000000002</v>
      </c>
      <c r="Y153" s="57">
        <f t="shared" si="902"/>
        <v>8921.5</v>
      </c>
      <c r="Z153" s="57">
        <f t="shared" si="902"/>
        <v>19394.599999999999</v>
      </c>
      <c r="AA153" s="57">
        <f t="shared" si="902"/>
        <v>34661.603000000003</v>
      </c>
      <c r="AB153" s="564">
        <f t="shared" ref="AB153:AH153" si="903">SUM(AB154:AB160)-AB155</f>
        <v>62977.703000000001</v>
      </c>
      <c r="AC153" s="564">
        <f t="shared" si="903"/>
        <v>0</v>
      </c>
      <c r="AD153" s="564">
        <f t="shared" si="903"/>
        <v>28316.100000000002</v>
      </c>
      <c r="AE153" s="564">
        <f t="shared" si="903"/>
        <v>7784.1250799999998</v>
      </c>
      <c r="AF153" s="564">
        <f t="shared" si="903"/>
        <v>20531.974920000001</v>
      </c>
      <c r="AG153" s="564">
        <f t="shared" si="903"/>
        <v>34661.603000000003</v>
      </c>
      <c r="AH153" s="564">
        <f t="shared" si="903"/>
        <v>0</v>
      </c>
      <c r="AI153" s="564">
        <f t="shared" ref="AI153:AM153" si="904">SUM(AI154:AI160)-AI155</f>
        <v>9066.6</v>
      </c>
      <c r="AJ153" s="564">
        <f t="shared" si="904"/>
        <v>0</v>
      </c>
      <c r="AK153" s="564">
        <f t="shared" si="904"/>
        <v>9066.6</v>
      </c>
      <c r="AL153" s="564">
        <f t="shared" si="904"/>
        <v>0</v>
      </c>
      <c r="AM153" s="564">
        <f t="shared" si="904"/>
        <v>0</v>
      </c>
      <c r="AN153" s="564">
        <f t="shared" ref="AN153:AR153" si="905">SUM(AN154:AN160)-AN155</f>
        <v>9066.6</v>
      </c>
      <c r="AO153" s="564">
        <f t="shared" si="905"/>
        <v>0</v>
      </c>
      <c r="AP153" s="564">
        <f t="shared" si="905"/>
        <v>9066.6</v>
      </c>
      <c r="AQ153" s="564">
        <f t="shared" si="905"/>
        <v>0</v>
      </c>
      <c r="AR153" s="564">
        <f t="shared" si="905"/>
        <v>0</v>
      </c>
      <c r="AS153" s="566">
        <f t="shared" ref="AS153:AW153" si="906">SUM(AS154:AS160)-AS155</f>
        <v>3942</v>
      </c>
      <c r="AT153" s="564">
        <f t="shared" si="906"/>
        <v>0</v>
      </c>
      <c r="AU153" s="564">
        <f t="shared" si="906"/>
        <v>3942</v>
      </c>
      <c r="AV153" s="564">
        <f t="shared" si="906"/>
        <v>0</v>
      </c>
      <c r="AW153" s="564">
        <f t="shared" si="906"/>
        <v>0</v>
      </c>
      <c r="AX153" s="565"/>
      <c r="AY153" s="564">
        <f t="shared" ref="AY153:BD153" si="907">SUM(AY154:AY160)-AY155</f>
        <v>62977.638709999992</v>
      </c>
      <c r="AZ153" s="564">
        <f t="shared" si="907"/>
        <v>0</v>
      </c>
      <c r="BA153" s="564">
        <f t="shared" si="907"/>
        <v>28316.036109999997</v>
      </c>
      <c r="BB153" s="564">
        <f t="shared" ref="BB153:BC153" si="908">SUM(BB154:BB160)-BB155</f>
        <v>7784.0611899999985</v>
      </c>
      <c r="BC153" s="564">
        <f t="shared" si="908"/>
        <v>20531.974920000001</v>
      </c>
      <c r="BD153" s="564">
        <f t="shared" si="907"/>
        <v>34661.602599999998</v>
      </c>
      <c r="BE153" s="564">
        <f>SUM(BE154:BE160)-BE155</f>
        <v>0</v>
      </c>
      <c r="BF153" s="564">
        <f t="shared" si="798"/>
        <v>6.42900000057125E-2</v>
      </c>
      <c r="BG153" s="564">
        <f t="shared" si="799"/>
        <v>0</v>
      </c>
      <c r="BH153" s="564">
        <f t="shared" si="800"/>
        <v>6.3890000001265435E-2</v>
      </c>
      <c r="BI153" s="564">
        <f t="shared" si="801"/>
        <v>6.3890000001265435E-2</v>
      </c>
      <c r="BJ153" s="564">
        <f t="shared" si="802"/>
        <v>0</v>
      </c>
      <c r="BK153" s="564">
        <f t="shared" si="803"/>
        <v>4.0000000444706529E-4</v>
      </c>
      <c r="BL153" s="564" t="e">
        <f t="shared" ref="BL153:BQ153" si="909">SUM(BL154:BL160)-BL155</f>
        <v>#REF!</v>
      </c>
      <c r="BM153" s="564">
        <f t="shared" si="909"/>
        <v>9005.241</v>
      </c>
      <c r="BN153" s="564">
        <f t="shared" si="909"/>
        <v>0</v>
      </c>
      <c r="BO153" s="564">
        <f t="shared" si="909"/>
        <v>9005.241</v>
      </c>
      <c r="BP153" s="564">
        <f t="shared" si="909"/>
        <v>0</v>
      </c>
      <c r="BQ153" s="564">
        <f t="shared" si="909"/>
        <v>0</v>
      </c>
      <c r="BR153" s="564">
        <f t="shared" ref="BR153:DB153" si="910">SUM(BR154:BR160)-BR155</f>
        <v>0</v>
      </c>
      <c r="BS153" s="564">
        <f t="shared" si="910"/>
        <v>0</v>
      </c>
      <c r="BT153" s="564">
        <f t="shared" si="910"/>
        <v>0</v>
      </c>
      <c r="BU153" s="564">
        <f t="shared" si="910"/>
        <v>0</v>
      </c>
      <c r="BV153" s="564">
        <f t="shared" si="910"/>
        <v>0</v>
      </c>
      <c r="BW153" s="564">
        <f t="shared" si="910"/>
        <v>54699.482409999997</v>
      </c>
      <c r="BX153" s="564">
        <f t="shared" si="910"/>
        <v>0</v>
      </c>
      <c r="BY153" s="564">
        <f t="shared" si="804"/>
        <v>27378.063119999999</v>
      </c>
      <c r="BZ153" s="564">
        <f t="shared" si="910"/>
        <v>7723.55206</v>
      </c>
      <c r="CA153" s="564">
        <f t="shared" si="910"/>
        <v>19654.511060000001</v>
      </c>
      <c r="CB153" s="564">
        <f t="shared" si="910"/>
        <v>27321.419289999998</v>
      </c>
      <c r="CC153" s="564">
        <f t="shared" si="910"/>
        <v>0</v>
      </c>
      <c r="CD153" s="564">
        <f t="shared" si="910"/>
        <v>54699.482409999997</v>
      </c>
      <c r="CE153" s="564">
        <f t="shared" ref="CE153" si="911">SUM(CE154:CE160)-CE155</f>
        <v>0</v>
      </c>
      <c r="CF153" s="564">
        <f t="shared" si="805"/>
        <v>27378.063119999999</v>
      </c>
      <c r="CG153" s="564">
        <f t="shared" ref="CG153:CH153" si="912">SUM(CG154:CG160)-CG155</f>
        <v>7723.55206</v>
      </c>
      <c r="CH153" s="564">
        <f t="shared" si="912"/>
        <v>19654.511060000001</v>
      </c>
      <c r="CI153" s="564">
        <f t="shared" ref="CI153" si="913">SUM(CI154:CI160)-CI155</f>
        <v>27321.419289999998</v>
      </c>
      <c r="CJ153" s="564">
        <f t="shared" si="910"/>
        <v>0</v>
      </c>
      <c r="CK153" s="566">
        <f t="shared" si="910"/>
        <v>4978.2523700000011</v>
      </c>
      <c r="CL153" s="564">
        <f t="shared" si="910"/>
        <v>0</v>
      </c>
      <c r="CM153" s="564">
        <f>SUM(CM154:CM160)</f>
        <v>2602.4767700000002</v>
      </c>
      <c r="CN153" s="564">
        <f t="shared" si="910"/>
        <v>491.10253999999998</v>
      </c>
      <c r="CO153" s="564">
        <f t="shared" si="910"/>
        <v>165.54375999999999</v>
      </c>
      <c r="CP153" s="564">
        <f t="shared" si="910"/>
        <v>2375.7755999999999</v>
      </c>
      <c r="CQ153" s="564">
        <f t="shared" si="910"/>
        <v>0</v>
      </c>
      <c r="CR153" s="564">
        <f t="shared" si="910"/>
        <v>59677.734779999992</v>
      </c>
      <c r="CS153" s="564">
        <f t="shared" si="807"/>
        <v>59677.734779999999</v>
      </c>
      <c r="CT153" s="564">
        <f t="shared" si="808"/>
        <v>0</v>
      </c>
      <c r="CU153" s="564">
        <f t="shared" si="809"/>
        <v>29980.53989</v>
      </c>
      <c r="CV153" s="564">
        <f t="shared" si="810"/>
        <v>29697.194889999999</v>
      </c>
      <c r="CW153" s="564">
        <f t="shared" si="910"/>
        <v>0</v>
      </c>
      <c r="CX153" s="564">
        <f t="shared" ca="1" si="899"/>
        <v>0</v>
      </c>
      <c r="CY153" s="564">
        <f t="shared" si="811"/>
        <v>0</v>
      </c>
      <c r="CZ153" s="564">
        <f t="shared" si="812"/>
        <v>0</v>
      </c>
      <c r="DA153" s="564">
        <f t="shared" si="813"/>
        <v>0</v>
      </c>
      <c r="DB153" s="57">
        <f t="shared" si="910"/>
        <v>0</v>
      </c>
      <c r="DC153" s="225">
        <f>DD153+DF153-BR153</f>
        <v>9005.241</v>
      </c>
      <c r="DD153" s="226">
        <f t="shared" ref="DD153:DX153" si="914">SUM(DD154:DD160)-DD155</f>
        <v>9005.241</v>
      </c>
      <c r="DE153" s="226">
        <f t="shared" si="914"/>
        <v>9005.241</v>
      </c>
      <c r="DF153" s="57">
        <f t="shared" si="914"/>
        <v>0</v>
      </c>
      <c r="DG153" s="57">
        <f t="shared" si="914"/>
        <v>0</v>
      </c>
      <c r="DH153" s="57">
        <f t="shared" si="914"/>
        <v>0</v>
      </c>
      <c r="DI153" s="57">
        <f t="shared" si="914"/>
        <v>0</v>
      </c>
      <c r="DJ153" s="57">
        <f t="shared" si="914"/>
        <v>0</v>
      </c>
      <c r="DK153" s="57">
        <f t="shared" si="914"/>
        <v>0</v>
      </c>
      <c r="DL153" s="57">
        <f t="shared" si="914"/>
        <v>0</v>
      </c>
      <c r="DM153" s="57">
        <f t="shared" si="914"/>
        <v>0</v>
      </c>
      <c r="DN153" s="57">
        <f t="shared" si="914"/>
        <v>0</v>
      </c>
      <c r="DO153" s="57">
        <f t="shared" si="914"/>
        <v>0</v>
      </c>
      <c r="DP153" s="57">
        <f t="shared" si="914"/>
        <v>0</v>
      </c>
      <c r="DQ153" s="57">
        <f t="shared" si="914"/>
        <v>0</v>
      </c>
      <c r="DR153" s="57">
        <f t="shared" si="914"/>
        <v>0</v>
      </c>
      <c r="DS153" s="57">
        <f t="shared" si="914"/>
        <v>0</v>
      </c>
      <c r="DT153" s="57">
        <f t="shared" si="914"/>
        <v>0</v>
      </c>
      <c r="DU153" s="57">
        <f t="shared" si="914"/>
        <v>0</v>
      </c>
      <c r="DV153" s="57">
        <f t="shared" si="914"/>
        <v>0</v>
      </c>
      <c r="DW153" s="57">
        <f t="shared" si="914"/>
        <v>0</v>
      </c>
      <c r="DX153" s="57">
        <f t="shared" ca="1" si="914"/>
        <v>0</v>
      </c>
      <c r="DY153" s="124"/>
      <c r="DZ153" s="57">
        <f>SUM(DZ154:DZ160)-DZ155</f>
        <v>54699.482409999997</v>
      </c>
      <c r="EA153" s="57">
        <f>SUM(EA154:EA160)-EA155</f>
        <v>54699.482409999997</v>
      </c>
      <c r="EB153" s="124"/>
      <c r="EC153" s="57">
        <f>SUM(EC154:EC160)-EC155</f>
        <v>54699.482409999997</v>
      </c>
      <c r="ED153" s="57">
        <f ca="1">SUM(ED154:ED160)-ED155</f>
        <v>0</v>
      </c>
      <c r="EE153" s="124"/>
      <c r="EF153" s="57">
        <f>SUM(EF154:EF160)-EF155</f>
        <v>-45694.241410000002</v>
      </c>
      <c r="EG153" s="124">
        <f ca="1">DX153-EF153</f>
        <v>45694.241410000002</v>
      </c>
      <c r="EH153" s="124"/>
      <c r="EI153" s="57">
        <f t="shared" si="794"/>
        <v>54699.482409999997</v>
      </c>
      <c r="EJ153" s="57">
        <f t="shared" ref="EJ153:EN153" si="915">SUM(EJ154:EJ160)-EJ155</f>
        <v>0</v>
      </c>
      <c r="EK153" s="57">
        <f t="shared" si="814"/>
        <v>27378.063119999999</v>
      </c>
      <c r="EL153" s="57">
        <f t="shared" ref="EL153:EM153" si="916">SUM(EL154:EL160)-EL155</f>
        <v>7723.55206</v>
      </c>
      <c r="EM153" s="57">
        <f t="shared" si="916"/>
        <v>19654.511060000001</v>
      </c>
      <c r="EN153" s="57">
        <f t="shared" si="915"/>
        <v>27321.419289999998</v>
      </c>
      <c r="EO153" s="57">
        <f t="shared" ref="EO153" si="917">SUM(EO154:EO160)-EO155</f>
        <v>0</v>
      </c>
      <c r="EP153" s="57">
        <f t="shared" si="795"/>
        <v>4978.2523700000002</v>
      </c>
      <c r="EQ153" s="57">
        <f t="shared" ref="EQ153" si="918">SUM(EQ154:EQ160)-EQ155</f>
        <v>0</v>
      </c>
      <c r="ER153" s="57">
        <f>SUM(ER154:ER160)</f>
        <v>2602.4767700000002</v>
      </c>
      <c r="ES153" s="57">
        <f t="shared" ref="ES153:EU153" si="919">SUM(ES154:ES160)-ES155</f>
        <v>956.30305999999996</v>
      </c>
      <c r="ET153" s="57">
        <f t="shared" si="919"/>
        <v>1646.17371</v>
      </c>
      <c r="EU153" s="57">
        <f t="shared" si="919"/>
        <v>2375.7755999999999</v>
      </c>
      <c r="EV153" s="140">
        <f t="shared" ref="EV153" si="920">SUM(EV154:EV160)-EV155</f>
        <v>0</v>
      </c>
      <c r="EW153" s="57">
        <f t="shared" si="839"/>
        <v>0</v>
      </c>
      <c r="EX153" s="57">
        <f>AZ153</f>
        <v>0</v>
      </c>
      <c r="EY153" s="57">
        <f>SUM(EY154:EY160)-EY155</f>
        <v>0</v>
      </c>
      <c r="EZ153" s="390"/>
      <c r="FA153" s="390"/>
      <c r="FB153" s="57">
        <f t="shared" si="841"/>
        <v>0</v>
      </c>
      <c r="FC153" s="57">
        <f>SUM(FC154:FC160)</f>
        <v>0</v>
      </c>
      <c r="FD153" s="57">
        <f>SUM(FD154:FD160)</f>
        <v>0</v>
      </c>
      <c r="FE153" s="390"/>
      <c r="FF153" s="390"/>
      <c r="FG153" s="390"/>
      <c r="FH153" s="304">
        <f t="shared" ref="FH153" si="921">SUM(FH154:FH160)</f>
        <v>0</v>
      </c>
      <c r="FI153" s="57">
        <f t="shared" si="843"/>
        <v>0</v>
      </c>
      <c r="FJ153" s="295"/>
      <c r="FK153" s="57">
        <f t="shared" si="817"/>
        <v>28316.036109999997</v>
      </c>
      <c r="FL153" s="57">
        <f>BA153</f>
        <v>28316.036109999997</v>
      </c>
      <c r="FM153" s="57">
        <f>SUM(FM154:FM160)-FM155</f>
        <v>0</v>
      </c>
      <c r="FN153" s="390"/>
      <c r="FO153" s="390"/>
      <c r="FP153" s="57">
        <f t="shared" si="818"/>
        <v>29980.539890000004</v>
      </c>
      <c r="FQ153" s="57">
        <f>SUM(FQ154:FQ160)</f>
        <v>27378.063120000003</v>
      </c>
      <c r="FR153" s="57">
        <f>SUM(FR154:FR160)</f>
        <v>2602.4767700000002</v>
      </c>
      <c r="FS153" s="390"/>
      <c r="FT153" s="390"/>
      <c r="FU153" s="390"/>
      <c r="FV153" s="57">
        <f t="shared" ref="FV153" si="922">SUM(FV154:FV160)</f>
        <v>29980.539890000004</v>
      </c>
      <c r="FW153" s="57">
        <f t="shared" si="819"/>
        <v>-2602.4767700000011</v>
      </c>
      <c r="FX153" s="57">
        <f t="shared" ref="FX153" si="923">FY153+FZ153+GA153</f>
        <v>34661.602599999998</v>
      </c>
      <c r="FY153" s="57">
        <f>BD153</f>
        <v>34661.602599999998</v>
      </c>
      <c r="FZ153" s="57">
        <f>SUM(FZ154:FZ160)-FZ155</f>
        <v>0</v>
      </c>
      <c r="GA153" s="390"/>
      <c r="GB153" s="390"/>
      <c r="GC153" s="57">
        <f t="shared" si="847"/>
        <v>29697.194889999999</v>
      </c>
      <c r="GD153" s="57">
        <f t="shared" si="900"/>
        <v>27321.419289999998</v>
      </c>
      <c r="GE153" s="57">
        <f t="shared" si="901"/>
        <v>2375.7755999999999</v>
      </c>
      <c r="GF153" s="390"/>
      <c r="GG153" s="390"/>
      <c r="GH153" s="390"/>
      <c r="GI153" s="304">
        <f t="shared" si="637"/>
        <v>0</v>
      </c>
      <c r="GJ153" s="77">
        <f t="shared" si="848"/>
        <v>27321.419289999998</v>
      </c>
      <c r="GK153" s="462">
        <f t="shared" si="796"/>
        <v>0.86855315142249623</v>
      </c>
    </row>
    <row r="154" spans="2:193" s="37" customFormat="1" ht="15.75" hidden="1" customHeight="1" x14ac:dyDescent="0.2">
      <c r="B154" s="29">
        <v>1</v>
      </c>
      <c r="C154" s="30"/>
      <c r="D154" s="30"/>
      <c r="E154" s="493">
        <v>127</v>
      </c>
      <c r="F154" s="29"/>
      <c r="G154" s="30"/>
      <c r="H154" s="30"/>
      <c r="M154" s="493">
        <v>116</v>
      </c>
      <c r="N154" s="478" t="s">
        <v>6</v>
      </c>
      <c r="O154" s="4"/>
      <c r="P154" s="4">
        <f t="shared" si="816"/>
        <v>0</v>
      </c>
      <c r="Q154" s="4"/>
      <c r="R154" s="4"/>
      <c r="S154" s="4"/>
      <c r="T154" s="156"/>
      <c r="U154" s="130"/>
      <c r="V154" s="2">
        <f t="shared" si="797"/>
        <v>0</v>
      </c>
      <c r="W154" s="2"/>
      <c r="X154" s="23">
        <f t="shared" si="605"/>
        <v>0</v>
      </c>
      <c r="Y154" s="23"/>
      <c r="Z154" s="2"/>
      <c r="AA154" s="2"/>
      <c r="AB154" s="567">
        <f t="shared" ref="AB154:AB160" si="924">AC154+AD154+AG154+AH154</f>
        <v>0</v>
      </c>
      <c r="AC154" s="567"/>
      <c r="AD154" s="573">
        <f t="shared" si="606"/>
        <v>0</v>
      </c>
      <c r="AE154" s="573"/>
      <c r="AF154" s="567"/>
      <c r="AG154" s="567"/>
      <c r="AH154" s="573"/>
      <c r="AI154" s="567">
        <f t="shared" ref="AI154:AI160" si="925">AJ154+AK154+AL154+AM154</f>
        <v>0</v>
      </c>
      <c r="AJ154" s="567"/>
      <c r="AK154" s="573">
        <v>0</v>
      </c>
      <c r="AL154" s="567"/>
      <c r="AM154" s="573"/>
      <c r="AN154" s="567">
        <f t="shared" ref="AN154:AN160" si="926">AO154+AP154+AQ154+AR154</f>
        <v>0</v>
      </c>
      <c r="AO154" s="567"/>
      <c r="AP154" s="573">
        <v>0</v>
      </c>
      <c r="AQ154" s="567"/>
      <c r="AR154" s="573"/>
      <c r="AS154" s="567">
        <f t="shared" ref="AS154:AS160" si="927">AT154+AU154+AV154+AW154</f>
        <v>1258</v>
      </c>
      <c r="AT154" s="567"/>
      <c r="AU154" s="573">
        <v>1258</v>
      </c>
      <c r="AV154" s="567"/>
      <c r="AW154" s="567"/>
      <c r="AX154" s="410"/>
      <c r="AY154" s="567">
        <f t="shared" ref="AY154:AY160" si="928">AZ154+BA154+BD154+BE154</f>
        <v>0</v>
      </c>
      <c r="AZ154" s="567"/>
      <c r="BA154" s="573">
        <f t="shared" ref="BA154:BA160" si="929">BB154+BC154</f>
        <v>0</v>
      </c>
      <c r="BB154" s="573"/>
      <c r="BC154" s="567"/>
      <c r="BD154" s="567"/>
      <c r="BE154" s="567"/>
      <c r="BF154" s="567">
        <f t="shared" si="798"/>
        <v>0</v>
      </c>
      <c r="BG154" s="567">
        <f t="shared" si="799"/>
        <v>0</v>
      </c>
      <c r="BH154" s="567">
        <f t="shared" si="800"/>
        <v>0</v>
      </c>
      <c r="BI154" s="567">
        <f t="shared" si="801"/>
        <v>0</v>
      </c>
      <c r="BJ154" s="567">
        <f t="shared" si="802"/>
        <v>0</v>
      </c>
      <c r="BK154" s="567">
        <f t="shared" si="803"/>
        <v>0</v>
      </c>
      <c r="BL154" s="567" t="e">
        <f>#REF!-BE154</f>
        <v>#REF!</v>
      </c>
      <c r="BM154" s="567">
        <f t="shared" ref="BM154:BM160" si="930">BN154+BO154+BP154+BQ154</f>
        <v>0</v>
      </c>
      <c r="BN154" s="567"/>
      <c r="BO154" s="573"/>
      <c r="BP154" s="567"/>
      <c r="BQ154" s="567"/>
      <c r="BR154" s="567">
        <f t="shared" ref="BR154:BR160" si="931">BS154+BT154+BU154+BV154</f>
        <v>0</v>
      </c>
      <c r="BS154" s="567"/>
      <c r="BT154" s="567"/>
      <c r="BU154" s="567"/>
      <c r="BV154" s="567"/>
      <c r="BW154" s="567">
        <f t="shared" ref="BW154:BW160" si="932">BX154+BY154+CB154+CC154</f>
        <v>0</v>
      </c>
      <c r="BX154" s="567"/>
      <c r="BY154" s="573">
        <f t="shared" si="804"/>
        <v>0</v>
      </c>
      <c r="BZ154" s="567"/>
      <c r="CA154" s="567"/>
      <c r="CB154" s="567"/>
      <c r="CC154" s="567"/>
      <c r="CD154" s="567">
        <f t="shared" ref="CD154:CD160" si="933">CE154+CF154+CI154+CJ154</f>
        <v>0</v>
      </c>
      <c r="CE154" s="567"/>
      <c r="CF154" s="573">
        <f t="shared" si="805"/>
        <v>0</v>
      </c>
      <c r="CG154" s="567"/>
      <c r="CH154" s="567"/>
      <c r="CI154" s="567"/>
      <c r="CJ154" s="567"/>
      <c r="CK154" s="567">
        <f t="shared" ref="CK154:CK178" si="934">CL154+CM154+CP154+CQ154</f>
        <v>0</v>
      </c>
      <c r="CL154" s="567"/>
      <c r="CM154" s="567">
        <f t="shared" si="806"/>
        <v>0</v>
      </c>
      <c r="CN154" s="567"/>
      <c r="CO154" s="567"/>
      <c r="CP154" s="567"/>
      <c r="CQ154" s="567"/>
      <c r="CR154" s="573">
        <f t="shared" ref="CR154:CR160" si="935">CS154</f>
        <v>0</v>
      </c>
      <c r="CS154" s="567">
        <f t="shared" si="807"/>
        <v>0</v>
      </c>
      <c r="CT154" s="567">
        <f t="shared" si="808"/>
        <v>0</v>
      </c>
      <c r="CU154" s="567">
        <f t="shared" si="809"/>
        <v>0</v>
      </c>
      <c r="CV154" s="567">
        <f t="shared" si="810"/>
        <v>0</v>
      </c>
      <c r="CW154" s="567">
        <f t="shared" ref="CW154:CW160" si="936">CJ154+CQ154</f>
        <v>0</v>
      </c>
      <c r="CX154" s="567">
        <f t="shared" ca="1" si="899"/>
        <v>0</v>
      </c>
      <c r="CY154" s="567">
        <f t="shared" si="811"/>
        <v>0</v>
      </c>
      <c r="CZ154" s="567">
        <f t="shared" si="812"/>
        <v>0</v>
      </c>
      <c r="DA154" s="567">
        <f t="shared" si="813"/>
        <v>0</v>
      </c>
      <c r="DB154" s="2">
        <f t="shared" ref="DB154:DB160" si="937">CC154-CJ154</f>
        <v>0</v>
      </c>
      <c r="DC154" s="76"/>
      <c r="DD154" s="253">
        <f>BM154+BN265</f>
        <v>0</v>
      </c>
      <c r="DE154" s="253">
        <f>DD154</f>
        <v>0</v>
      </c>
      <c r="DF154" s="2">
        <f t="shared" ref="DF154:DF160" si="938">DG154+DH154+DI154+DJ154</f>
        <v>0</v>
      </c>
      <c r="DG154" s="2"/>
      <c r="DH154" s="2"/>
      <c r="DI154" s="2"/>
      <c r="DJ154" s="2"/>
      <c r="DK154" s="2">
        <f t="shared" ref="DK154:DK160" si="939">DL154+DM154+DN154+DO154</f>
        <v>0</v>
      </c>
      <c r="DL154" s="2"/>
      <c r="DM154" s="2"/>
      <c r="DN154" s="2"/>
      <c r="DO154" s="2"/>
      <c r="DP154" s="2">
        <f t="shared" ref="DP154:DP160" si="940">DQ154+DR154+DS154+DT154</f>
        <v>0</v>
      </c>
      <c r="DQ154" s="2">
        <f t="shared" ref="DQ154:DT160" si="941">DG154-DL154</f>
        <v>0</v>
      </c>
      <c r="DR154" s="2">
        <f t="shared" si="941"/>
        <v>0</v>
      </c>
      <c r="DS154" s="2">
        <f t="shared" si="941"/>
        <v>0</v>
      </c>
      <c r="DT154" s="2">
        <f t="shared" si="941"/>
        <v>0</v>
      </c>
      <c r="DU154" s="23"/>
      <c r="DV154" s="23"/>
      <c r="DW154" s="2">
        <f>DU154-DV154</f>
        <v>0</v>
      </c>
      <c r="DX154" s="2">
        <f t="shared" ref="DX154:DX160" ca="1" si="942">CX154+DP154+DW154</f>
        <v>0</v>
      </c>
      <c r="DY154" s="46"/>
      <c r="DZ154" s="2">
        <f t="shared" ref="DZ154:DZ160" si="943">BW154+DF154+DU154</f>
        <v>0</v>
      </c>
      <c r="EA154" s="2">
        <f t="shared" ref="EA154:EA160" si="944">CD154+DK154+DV154</f>
        <v>0</v>
      </c>
      <c r="EB154" s="46"/>
      <c r="EC154" s="2">
        <f t="shared" ref="EC154:EC155" si="945">EA154</f>
        <v>0</v>
      </c>
      <c r="ED154" s="2">
        <f t="shared" ref="ED154:ED155" ca="1" si="946">DX154</f>
        <v>0</v>
      </c>
      <c r="EE154" s="46"/>
      <c r="EF154" s="2">
        <f>DE154-EC154</f>
        <v>0</v>
      </c>
      <c r="EG154" s="46"/>
      <c r="EH154" s="46"/>
      <c r="EI154" s="2">
        <f t="shared" si="794"/>
        <v>0</v>
      </c>
      <c r="EJ154" s="2"/>
      <c r="EK154" s="23">
        <f t="shared" si="814"/>
        <v>0</v>
      </c>
      <c r="EL154" s="2"/>
      <c r="EM154" s="2"/>
      <c r="EN154" s="2"/>
      <c r="EO154" s="2"/>
      <c r="EP154" s="2">
        <f t="shared" si="795"/>
        <v>0</v>
      </c>
      <c r="EQ154" s="2"/>
      <c r="ER154" s="2">
        <f t="shared" si="815"/>
        <v>0</v>
      </c>
      <c r="ES154" s="2"/>
      <c r="ET154" s="2"/>
      <c r="EU154" s="2"/>
      <c r="EV154" s="141"/>
      <c r="EW154" s="310"/>
      <c r="EX154" s="310"/>
      <c r="EY154" s="310"/>
      <c r="EZ154" s="396"/>
      <c r="FA154" s="396"/>
      <c r="FB154" s="310"/>
      <c r="FC154" s="310"/>
      <c r="FD154" s="310"/>
      <c r="FE154" s="396"/>
      <c r="FF154" s="396"/>
      <c r="FG154" s="396"/>
      <c r="FH154" s="311"/>
      <c r="FI154" s="310"/>
      <c r="FJ154" s="296" t="e">
        <f t="shared" ref="FJ154:FJ160" si="947">FH154/FE154</f>
        <v>#DIV/0!</v>
      </c>
      <c r="FK154" s="353"/>
      <c r="FL154" s="353"/>
      <c r="FM154" s="353"/>
      <c r="FN154" s="388"/>
      <c r="FO154" s="388"/>
      <c r="FP154" s="353"/>
      <c r="FQ154" s="353"/>
      <c r="FR154" s="353"/>
      <c r="FS154" s="388"/>
      <c r="FT154" s="388"/>
      <c r="FU154" s="388"/>
      <c r="FV154" s="353"/>
      <c r="FW154" s="353">
        <f t="shared" si="819"/>
        <v>0</v>
      </c>
      <c r="FX154" s="310"/>
      <c r="FY154" s="310"/>
      <c r="FZ154" s="310"/>
      <c r="GA154" s="396"/>
      <c r="GB154" s="396"/>
      <c r="GC154" s="310"/>
      <c r="GD154" s="310"/>
      <c r="GE154" s="310"/>
      <c r="GF154" s="396"/>
      <c r="GG154" s="396"/>
      <c r="GH154" s="396"/>
      <c r="GI154" s="311"/>
      <c r="GJ154" s="344"/>
      <c r="GK154" s="303" t="e">
        <f t="shared" si="796"/>
        <v>#DIV/0!</v>
      </c>
    </row>
    <row r="155" spans="2:193" s="37" customFormat="1" ht="15.75" hidden="1" customHeight="1" x14ac:dyDescent="0.2">
      <c r="B155" s="29"/>
      <c r="C155" s="30"/>
      <c r="D155" s="30"/>
      <c r="E155" s="493"/>
      <c r="F155" s="29"/>
      <c r="G155" s="30"/>
      <c r="H155" s="30"/>
      <c r="M155" s="493"/>
      <c r="N155" s="18" t="s">
        <v>246</v>
      </c>
      <c r="O155" s="128"/>
      <c r="P155" s="128">
        <f t="shared" si="816"/>
        <v>0</v>
      </c>
      <c r="Q155" s="128"/>
      <c r="R155" s="128"/>
      <c r="S155" s="128"/>
      <c r="T155" s="128"/>
      <c r="U155" s="128"/>
      <c r="V155" s="2">
        <f t="shared" si="797"/>
        <v>0</v>
      </c>
      <c r="W155" s="2"/>
      <c r="X155" s="23">
        <f t="shared" si="605"/>
        <v>0</v>
      </c>
      <c r="Y155" s="23"/>
      <c r="Z155" s="2"/>
      <c r="AA155" s="2"/>
      <c r="AB155" s="567">
        <f t="shared" si="924"/>
        <v>0</v>
      </c>
      <c r="AC155" s="567"/>
      <c r="AD155" s="573">
        <f t="shared" si="606"/>
        <v>0</v>
      </c>
      <c r="AE155" s="573"/>
      <c r="AF155" s="567"/>
      <c r="AG155" s="567"/>
      <c r="AH155" s="573"/>
      <c r="AI155" s="567">
        <f t="shared" si="925"/>
        <v>0</v>
      </c>
      <c r="AJ155" s="567"/>
      <c r="AK155" s="573"/>
      <c r="AL155" s="567"/>
      <c r="AM155" s="573"/>
      <c r="AN155" s="567">
        <f t="shared" si="926"/>
        <v>0</v>
      </c>
      <c r="AO155" s="567"/>
      <c r="AP155" s="573"/>
      <c r="AQ155" s="567"/>
      <c r="AR155" s="573"/>
      <c r="AS155" s="567">
        <f t="shared" si="927"/>
        <v>0</v>
      </c>
      <c r="AT155" s="567"/>
      <c r="AU155" s="573"/>
      <c r="AV155" s="567"/>
      <c r="AW155" s="567"/>
      <c r="AX155" s="425"/>
      <c r="AY155" s="567">
        <f t="shared" si="928"/>
        <v>0</v>
      </c>
      <c r="AZ155" s="567"/>
      <c r="BA155" s="574">
        <f t="shared" si="929"/>
        <v>0</v>
      </c>
      <c r="BB155" s="567"/>
      <c r="BC155" s="567"/>
      <c r="BD155" s="567"/>
      <c r="BE155" s="567"/>
      <c r="BF155" s="567">
        <f t="shared" si="798"/>
        <v>0</v>
      </c>
      <c r="BG155" s="567">
        <f t="shared" si="799"/>
        <v>0</v>
      </c>
      <c r="BH155" s="567">
        <f t="shared" si="800"/>
        <v>0</v>
      </c>
      <c r="BI155" s="567">
        <f t="shared" si="801"/>
        <v>0</v>
      </c>
      <c r="BJ155" s="567">
        <f t="shared" si="802"/>
        <v>0</v>
      </c>
      <c r="BK155" s="567">
        <f t="shared" si="803"/>
        <v>0</v>
      </c>
      <c r="BL155" s="567" t="e">
        <f>#REF!-BE155</f>
        <v>#REF!</v>
      </c>
      <c r="BM155" s="567">
        <f t="shared" si="930"/>
        <v>0</v>
      </c>
      <c r="BN155" s="567"/>
      <c r="BO155" s="567"/>
      <c r="BP155" s="567"/>
      <c r="BQ155" s="567"/>
      <c r="BR155" s="567">
        <f t="shared" si="931"/>
        <v>0</v>
      </c>
      <c r="BS155" s="567"/>
      <c r="BT155" s="567"/>
      <c r="BU155" s="567"/>
      <c r="BV155" s="567"/>
      <c r="BW155" s="567">
        <f t="shared" si="932"/>
        <v>0</v>
      </c>
      <c r="BX155" s="567"/>
      <c r="BY155" s="567">
        <f t="shared" si="804"/>
        <v>0</v>
      </c>
      <c r="BZ155" s="567"/>
      <c r="CA155" s="567"/>
      <c r="CB155" s="567"/>
      <c r="CC155" s="567"/>
      <c r="CD155" s="567">
        <f t="shared" si="933"/>
        <v>0</v>
      </c>
      <c r="CE155" s="567"/>
      <c r="CF155" s="567">
        <f t="shared" si="805"/>
        <v>0</v>
      </c>
      <c r="CG155" s="567"/>
      <c r="CH155" s="567"/>
      <c r="CI155" s="567"/>
      <c r="CJ155" s="567"/>
      <c r="CK155" s="567">
        <f t="shared" si="934"/>
        <v>0</v>
      </c>
      <c r="CL155" s="567"/>
      <c r="CM155" s="567">
        <f t="shared" si="806"/>
        <v>0</v>
      </c>
      <c r="CN155" s="567"/>
      <c r="CO155" s="567"/>
      <c r="CP155" s="567"/>
      <c r="CQ155" s="567"/>
      <c r="CR155" s="573">
        <f t="shared" si="935"/>
        <v>0</v>
      </c>
      <c r="CS155" s="567">
        <f t="shared" si="807"/>
        <v>0</v>
      </c>
      <c r="CT155" s="567">
        <f t="shared" si="808"/>
        <v>0</v>
      </c>
      <c r="CU155" s="567">
        <f t="shared" si="809"/>
        <v>0</v>
      </c>
      <c r="CV155" s="567">
        <f t="shared" si="810"/>
        <v>0</v>
      </c>
      <c r="CW155" s="567">
        <f t="shared" si="936"/>
        <v>0</v>
      </c>
      <c r="CX155" s="567">
        <f t="shared" ca="1" si="899"/>
        <v>0</v>
      </c>
      <c r="CY155" s="567">
        <f t="shared" si="811"/>
        <v>0</v>
      </c>
      <c r="CZ155" s="567">
        <f t="shared" si="812"/>
        <v>0</v>
      </c>
      <c r="DA155" s="567">
        <f t="shared" si="813"/>
        <v>0</v>
      </c>
      <c r="DB155" s="2">
        <f t="shared" si="937"/>
        <v>0</v>
      </c>
      <c r="DC155" s="76"/>
      <c r="DD155" s="253"/>
      <c r="DE155" s="253"/>
      <c r="DF155" s="2">
        <f t="shared" si="938"/>
        <v>0</v>
      </c>
      <c r="DG155" s="2"/>
      <c r="DH155" s="2"/>
      <c r="DI155" s="2"/>
      <c r="DJ155" s="2"/>
      <c r="DK155" s="2">
        <f t="shared" si="939"/>
        <v>0</v>
      </c>
      <c r="DL155" s="2"/>
      <c r="DM155" s="2"/>
      <c r="DN155" s="2"/>
      <c r="DO155" s="2"/>
      <c r="DP155" s="2">
        <f t="shared" si="940"/>
        <v>0</v>
      </c>
      <c r="DQ155" s="2">
        <f t="shared" si="941"/>
        <v>0</v>
      </c>
      <c r="DR155" s="2">
        <f t="shared" si="941"/>
        <v>0</v>
      </c>
      <c r="DS155" s="2">
        <f t="shared" si="941"/>
        <v>0</v>
      </c>
      <c r="DT155" s="2">
        <f t="shared" si="941"/>
        <v>0</v>
      </c>
      <c r="DU155" s="2"/>
      <c r="DV155" s="2"/>
      <c r="DW155" s="2"/>
      <c r="DX155" s="2">
        <f t="shared" ca="1" si="942"/>
        <v>0</v>
      </c>
      <c r="DY155" s="46"/>
      <c r="DZ155" s="2">
        <f t="shared" si="943"/>
        <v>0</v>
      </c>
      <c r="EA155" s="2">
        <f t="shared" si="944"/>
        <v>0</v>
      </c>
      <c r="EB155" s="46"/>
      <c r="EC155" s="2">
        <f t="shared" si="945"/>
        <v>0</v>
      </c>
      <c r="ED155" s="2">
        <f t="shared" ca="1" si="946"/>
        <v>0</v>
      </c>
      <c r="EE155" s="46"/>
      <c r="EF155" s="2"/>
      <c r="EG155" s="46"/>
      <c r="EH155" s="46"/>
      <c r="EI155" s="2">
        <f t="shared" si="794"/>
        <v>0</v>
      </c>
      <c r="EJ155" s="2"/>
      <c r="EK155" s="2">
        <f t="shared" si="814"/>
        <v>0</v>
      </c>
      <c r="EL155" s="2"/>
      <c r="EM155" s="2"/>
      <c r="EN155" s="2"/>
      <c r="EO155" s="2"/>
      <c r="EP155" s="2">
        <f t="shared" si="795"/>
        <v>0</v>
      </c>
      <c r="EQ155" s="2"/>
      <c r="ER155" s="2">
        <f t="shared" si="815"/>
        <v>0</v>
      </c>
      <c r="ES155" s="2"/>
      <c r="ET155" s="2"/>
      <c r="EU155" s="2"/>
      <c r="EV155" s="141"/>
      <c r="EW155" s="310"/>
      <c r="EX155" s="310"/>
      <c r="EY155" s="310"/>
      <c r="EZ155" s="396"/>
      <c r="FA155" s="396"/>
      <c r="FB155" s="310"/>
      <c r="FC155" s="310"/>
      <c r="FD155" s="310"/>
      <c r="FE155" s="396"/>
      <c r="FF155" s="396"/>
      <c r="FG155" s="396"/>
      <c r="FH155" s="311"/>
      <c r="FI155" s="310"/>
      <c r="FJ155" s="296" t="e">
        <f t="shared" si="947"/>
        <v>#DIV/0!</v>
      </c>
      <c r="FK155" s="353"/>
      <c r="FL155" s="353"/>
      <c r="FM155" s="353"/>
      <c r="FN155" s="388"/>
      <c r="FO155" s="388"/>
      <c r="FP155" s="353"/>
      <c r="FQ155" s="353"/>
      <c r="FR155" s="353"/>
      <c r="FS155" s="388"/>
      <c r="FT155" s="388"/>
      <c r="FU155" s="388"/>
      <c r="FV155" s="353"/>
      <c r="FW155" s="353">
        <f t="shared" si="819"/>
        <v>0</v>
      </c>
      <c r="FX155" s="310"/>
      <c r="FY155" s="310"/>
      <c r="FZ155" s="310"/>
      <c r="GA155" s="396"/>
      <c r="GB155" s="396"/>
      <c r="GC155" s="310"/>
      <c r="GD155" s="310"/>
      <c r="GE155" s="310"/>
      <c r="GF155" s="396"/>
      <c r="GG155" s="396"/>
      <c r="GH155" s="396"/>
      <c r="GI155" s="311"/>
      <c r="GJ155" s="344"/>
      <c r="GK155" s="303" t="e">
        <f t="shared" si="796"/>
        <v>#DIV/0!</v>
      </c>
    </row>
    <row r="156" spans="2:193" s="37" customFormat="1" ht="15.75" customHeight="1" x14ac:dyDescent="0.25">
      <c r="B156" s="29"/>
      <c r="C156" s="30"/>
      <c r="D156" s="30">
        <v>1</v>
      </c>
      <c r="E156" s="493">
        <v>128</v>
      </c>
      <c r="F156" s="29"/>
      <c r="G156" s="30"/>
      <c r="H156" s="30">
        <v>1</v>
      </c>
      <c r="M156" s="493">
        <v>106</v>
      </c>
      <c r="N156" s="494" t="s">
        <v>115</v>
      </c>
      <c r="O156" s="494"/>
      <c r="P156" s="494">
        <f t="shared" si="816"/>
        <v>0</v>
      </c>
      <c r="Q156" s="494"/>
      <c r="R156" s="494"/>
      <c r="S156" s="494">
        <v>82</v>
      </c>
      <c r="T156" s="156">
        <v>1</v>
      </c>
      <c r="U156" s="493">
        <v>1</v>
      </c>
      <c r="V156" s="2">
        <f t="shared" si="797"/>
        <v>2559.1</v>
      </c>
      <c r="W156" s="2"/>
      <c r="X156" s="2">
        <f t="shared" si="605"/>
        <v>2559.1</v>
      </c>
      <c r="Y156" s="2">
        <v>2559.1</v>
      </c>
      <c r="Z156" s="2"/>
      <c r="AA156" s="2"/>
      <c r="AB156" s="567">
        <f t="shared" si="924"/>
        <v>2559.1</v>
      </c>
      <c r="AC156" s="567"/>
      <c r="AD156" s="567">
        <f t="shared" si="606"/>
        <v>2559.1</v>
      </c>
      <c r="AE156" s="567">
        <f>2559.1-1137.37492</f>
        <v>1421.7250799999999</v>
      </c>
      <c r="AF156" s="567">
        <v>1137.37492</v>
      </c>
      <c r="AG156" s="567"/>
      <c r="AH156" s="570"/>
      <c r="AI156" s="567">
        <f t="shared" si="925"/>
        <v>2622</v>
      </c>
      <c r="AJ156" s="567"/>
      <c r="AK156" s="567">
        <v>2622</v>
      </c>
      <c r="AL156" s="567"/>
      <c r="AM156" s="570"/>
      <c r="AN156" s="567">
        <f t="shared" si="926"/>
        <v>2622</v>
      </c>
      <c r="AO156" s="567"/>
      <c r="AP156" s="567">
        <v>2622</v>
      </c>
      <c r="AQ156" s="567"/>
      <c r="AR156" s="570"/>
      <c r="AS156" s="567">
        <f t="shared" si="927"/>
        <v>1140</v>
      </c>
      <c r="AT156" s="567"/>
      <c r="AU156" s="567">
        <v>1140</v>
      </c>
      <c r="AV156" s="567"/>
      <c r="AW156" s="570"/>
      <c r="AX156" s="425" t="s">
        <v>671</v>
      </c>
      <c r="AY156" s="567">
        <f t="shared" si="928"/>
        <v>2559.1</v>
      </c>
      <c r="AZ156" s="567"/>
      <c r="BA156" s="567">
        <f t="shared" si="929"/>
        <v>2559.1</v>
      </c>
      <c r="BB156" s="567">
        <f>2559.1-1137.37492</f>
        <v>1421.7250799999999</v>
      </c>
      <c r="BC156" s="567">
        <v>1137.37492</v>
      </c>
      <c r="BD156" s="567"/>
      <c r="BE156" s="570"/>
      <c r="BF156" s="567">
        <f t="shared" si="798"/>
        <v>0</v>
      </c>
      <c r="BG156" s="567">
        <f t="shared" si="799"/>
        <v>0</v>
      </c>
      <c r="BH156" s="567">
        <f t="shared" si="800"/>
        <v>0</v>
      </c>
      <c r="BI156" s="567">
        <f t="shared" si="801"/>
        <v>0</v>
      </c>
      <c r="BJ156" s="567">
        <f t="shared" si="802"/>
        <v>0</v>
      </c>
      <c r="BK156" s="567">
        <f t="shared" si="803"/>
        <v>0</v>
      </c>
      <c r="BL156" s="567" t="e">
        <f>#REF!-BE156</f>
        <v>#REF!</v>
      </c>
      <c r="BM156" s="567">
        <f t="shared" si="930"/>
        <v>1082.7149999999999</v>
      </c>
      <c r="BN156" s="567"/>
      <c r="BO156" s="567">
        <v>1082.7149999999999</v>
      </c>
      <c r="BP156" s="567"/>
      <c r="BQ156" s="570"/>
      <c r="BR156" s="567">
        <f t="shared" si="931"/>
        <v>0</v>
      </c>
      <c r="BS156" s="567"/>
      <c r="BT156" s="568"/>
      <c r="BU156" s="567"/>
      <c r="BV156" s="570"/>
      <c r="BW156" s="567">
        <f t="shared" si="932"/>
        <v>2559.1</v>
      </c>
      <c r="BX156" s="567"/>
      <c r="BY156" s="567">
        <f t="shared" si="804"/>
        <v>2559.1</v>
      </c>
      <c r="BZ156" s="574">
        <f>2559.1-1137.37492</f>
        <v>1421.7250799999999</v>
      </c>
      <c r="CA156" s="574">
        <v>1137.37492</v>
      </c>
      <c r="CB156" s="567"/>
      <c r="CC156" s="577"/>
      <c r="CD156" s="567">
        <f t="shared" si="933"/>
        <v>2559.1</v>
      </c>
      <c r="CE156" s="567"/>
      <c r="CF156" s="567">
        <f t="shared" si="805"/>
        <v>2559.1</v>
      </c>
      <c r="CG156" s="574">
        <f>2559.1-1137.37492</f>
        <v>1421.7250799999999</v>
      </c>
      <c r="CH156" s="574">
        <v>1137.37492</v>
      </c>
      <c r="CI156" s="567"/>
      <c r="CJ156" s="570"/>
      <c r="CK156" s="567">
        <f t="shared" si="934"/>
        <v>348.96899999999999</v>
      </c>
      <c r="CL156" s="567"/>
      <c r="CM156" s="567">
        <v>348.96899999999999</v>
      </c>
      <c r="CN156" s="567"/>
      <c r="CO156" s="567"/>
      <c r="CP156" s="567"/>
      <c r="CQ156" s="567"/>
      <c r="CR156" s="573">
        <f t="shared" si="935"/>
        <v>2908.069</v>
      </c>
      <c r="CS156" s="567">
        <f t="shared" si="807"/>
        <v>2908.069</v>
      </c>
      <c r="CT156" s="567">
        <f t="shared" si="808"/>
        <v>0</v>
      </c>
      <c r="CU156" s="567">
        <f t="shared" si="809"/>
        <v>2908.069</v>
      </c>
      <c r="CV156" s="567">
        <f t="shared" si="810"/>
        <v>0</v>
      </c>
      <c r="CW156" s="567">
        <f t="shared" si="936"/>
        <v>0</v>
      </c>
      <c r="CX156" s="567">
        <f t="shared" ca="1" si="899"/>
        <v>0</v>
      </c>
      <c r="CY156" s="567">
        <f t="shared" si="811"/>
        <v>0</v>
      </c>
      <c r="CZ156" s="567">
        <f t="shared" si="812"/>
        <v>0</v>
      </c>
      <c r="DA156" s="567">
        <f t="shared" si="813"/>
        <v>0</v>
      </c>
      <c r="DB156" s="2">
        <f t="shared" si="937"/>
        <v>0</v>
      </c>
      <c r="DC156" s="76"/>
      <c r="DD156" s="253"/>
      <c r="DE156" s="253"/>
      <c r="DF156" s="2">
        <f t="shared" si="938"/>
        <v>0</v>
      </c>
      <c r="DG156" s="2"/>
      <c r="DH156" s="198"/>
      <c r="DI156" s="2"/>
      <c r="DJ156" s="234"/>
      <c r="DK156" s="2">
        <f t="shared" si="939"/>
        <v>0</v>
      </c>
      <c r="DL156" s="2"/>
      <c r="DM156" s="198"/>
      <c r="DN156" s="2"/>
      <c r="DO156" s="234"/>
      <c r="DP156" s="2">
        <f t="shared" si="940"/>
        <v>0</v>
      </c>
      <c r="DQ156" s="2">
        <f t="shared" si="941"/>
        <v>0</v>
      </c>
      <c r="DR156" s="2">
        <f t="shared" si="941"/>
        <v>0</v>
      </c>
      <c r="DS156" s="2">
        <f t="shared" si="941"/>
        <v>0</v>
      </c>
      <c r="DT156" s="2">
        <f t="shared" si="941"/>
        <v>0</v>
      </c>
      <c r="DU156" s="2"/>
      <c r="DV156" s="2"/>
      <c r="DW156" s="2"/>
      <c r="DX156" s="2">
        <f t="shared" ca="1" si="942"/>
        <v>0</v>
      </c>
      <c r="DY156" s="46"/>
      <c r="DZ156" s="2">
        <f t="shared" si="943"/>
        <v>2559.1</v>
      </c>
      <c r="EA156" s="2">
        <f t="shared" si="944"/>
        <v>2559.1</v>
      </c>
      <c r="EB156" s="46"/>
      <c r="EC156" s="2"/>
      <c r="ED156" s="2"/>
      <c r="EE156" s="46"/>
      <c r="EF156" s="2"/>
      <c r="EG156" s="46"/>
      <c r="EH156" s="46"/>
      <c r="EI156" s="2">
        <f t="shared" si="794"/>
        <v>2559.1</v>
      </c>
      <c r="EJ156" s="2"/>
      <c r="EK156" s="2">
        <f t="shared" si="814"/>
        <v>2559.1</v>
      </c>
      <c r="EL156" s="432">
        <f>2559.1-1137.37492</f>
        <v>1421.7250799999999</v>
      </c>
      <c r="EM156" s="432">
        <v>1137.37492</v>
      </c>
      <c r="EN156" s="2"/>
      <c r="EO156" s="234"/>
      <c r="EP156" s="2">
        <f t="shared" si="795"/>
        <v>348.96899999999999</v>
      </c>
      <c r="EQ156" s="2"/>
      <c r="ER156" s="2">
        <v>348.96899999999999</v>
      </c>
      <c r="ES156" s="2">
        <f>58.07548+290.89352</f>
        <v>348.96900000000005</v>
      </c>
      <c r="ET156" s="2"/>
      <c r="EU156" s="2"/>
      <c r="EV156" s="141"/>
      <c r="EW156" s="310"/>
      <c r="EX156" s="310"/>
      <c r="EY156" s="310"/>
      <c r="EZ156" s="396"/>
      <c r="FA156" s="396"/>
      <c r="FB156" s="310"/>
      <c r="FC156" s="310"/>
      <c r="FD156" s="310"/>
      <c r="FE156" s="396"/>
      <c r="FF156" s="396"/>
      <c r="FG156" s="396"/>
      <c r="FH156" s="311"/>
      <c r="FI156" s="310"/>
      <c r="FJ156" s="296" t="e">
        <f t="shared" si="947"/>
        <v>#DIV/0!</v>
      </c>
      <c r="FK156" s="353">
        <f t="shared" si="817"/>
        <v>2559.1</v>
      </c>
      <c r="FL156" s="353">
        <f t="shared" ref="FL156:FL162" si="948">BA156</f>
        <v>2559.1</v>
      </c>
      <c r="FM156" s="353"/>
      <c r="FN156" s="388">
        <f t="shared" ref="FN156:FN160" si="949">FL156/FK156</f>
        <v>1</v>
      </c>
      <c r="FO156" s="388">
        <f t="shared" ref="FO156:FO160" si="950">FM156/FK156</f>
        <v>0</v>
      </c>
      <c r="FP156" s="353">
        <f t="shared" si="818"/>
        <v>2908.069</v>
      </c>
      <c r="FQ156" s="353">
        <f t="shared" ref="FQ156:FQ160" si="951">EK156</f>
        <v>2559.1</v>
      </c>
      <c r="FR156" s="353">
        <f t="shared" ref="FR156:FR160" si="952">ER156</f>
        <v>348.96899999999999</v>
      </c>
      <c r="FS156" s="388">
        <f t="shared" ref="FS156:FS160" si="953">FQ156/FP156</f>
        <v>0.8799997524130273</v>
      </c>
      <c r="FT156" s="388">
        <f t="shared" ref="FT156:FT160" si="954">FR156/FP156</f>
        <v>0.12000024758697266</v>
      </c>
      <c r="FU156" s="388"/>
      <c r="FV156" s="353">
        <f t="shared" ref="FV156:FV160" si="955">FP156*FN156</f>
        <v>2908.069</v>
      </c>
      <c r="FW156" s="353">
        <f t="shared" si="819"/>
        <v>-348.96900000000005</v>
      </c>
      <c r="FX156" s="310"/>
      <c r="FY156" s="310"/>
      <c r="FZ156" s="310"/>
      <c r="GA156" s="396"/>
      <c r="GB156" s="396"/>
      <c r="GC156" s="310"/>
      <c r="GD156" s="310"/>
      <c r="GE156" s="310"/>
      <c r="GF156" s="396"/>
      <c r="GG156" s="396"/>
      <c r="GH156" s="396"/>
      <c r="GI156" s="311"/>
      <c r="GJ156" s="344"/>
      <c r="GK156" s="303">
        <f t="shared" si="796"/>
        <v>1</v>
      </c>
    </row>
    <row r="157" spans="2:193" s="37" customFormat="1" ht="15.6" customHeight="1" x14ac:dyDescent="0.25">
      <c r="B157" s="29"/>
      <c r="C157" s="30"/>
      <c r="D157" s="30">
        <v>1</v>
      </c>
      <c r="E157" s="493">
        <v>129</v>
      </c>
      <c r="F157" s="29"/>
      <c r="G157" s="30"/>
      <c r="H157" s="30">
        <v>1</v>
      </c>
      <c r="I157" s="491"/>
      <c r="J157" s="491"/>
      <c r="K157" s="491"/>
      <c r="L157" s="544"/>
      <c r="M157" s="493">
        <v>107</v>
      </c>
      <c r="N157" s="494" t="s">
        <v>116</v>
      </c>
      <c r="O157" s="494"/>
      <c r="P157" s="494">
        <f t="shared" si="816"/>
        <v>0</v>
      </c>
      <c r="Q157" s="494" t="s">
        <v>701</v>
      </c>
      <c r="R157" s="494" t="s">
        <v>699</v>
      </c>
      <c r="S157" s="494" t="s">
        <v>605</v>
      </c>
      <c r="T157" s="156">
        <v>2</v>
      </c>
      <c r="U157" s="493"/>
      <c r="V157" s="2">
        <f t="shared" si="797"/>
        <v>2605.1</v>
      </c>
      <c r="W157" s="2"/>
      <c r="X157" s="198">
        <f t="shared" si="605"/>
        <v>2605.1</v>
      </c>
      <c r="Y157" s="198">
        <v>820.8</v>
      </c>
      <c r="Z157" s="42">
        <v>1784.3</v>
      </c>
      <c r="AA157" s="2"/>
      <c r="AB157" s="567">
        <f t="shared" si="924"/>
        <v>2605.1</v>
      </c>
      <c r="AC157" s="567"/>
      <c r="AD157" s="568">
        <f t="shared" si="606"/>
        <v>2605.1</v>
      </c>
      <c r="AE157" s="568">
        <v>820.8</v>
      </c>
      <c r="AF157" s="569">
        <v>1784.3</v>
      </c>
      <c r="AG157" s="567"/>
      <c r="AH157" s="573"/>
      <c r="AI157" s="567">
        <f t="shared" si="925"/>
        <v>770.5</v>
      </c>
      <c r="AJ157" s="567"/>
      <c r="AK157" s="568">
        <v>770.5</v>
      </c>
      <c r="AL157" s="567"/>
      <c r="AM157" s="573"/>
      <c r="AN157" s="567">
        <f t="shared" si="926"/>
        <v>770.5</v>
      </c>
      <c r="AO157" s="567"/>
      <c r="AP157" s="568">
        <v>770.5</v>
      </c>
      <c r="AQ157" s="567"/>
      <c r="AR157" s="573"/>
      <c r="AS157" s="567">
        <f t="shared" si="927"/>
        <v>335</v>
      </c>
      <c r="AT157" s="567"/>
      <c r="AU157" s="568">
        <v>335</v>
      </c>
      <c r="AV157" s="567"/>
      <c r="AW157" s="567"/>
      <c r="AX157" s="425" t="s">
        <v>461</v>
      </c>
      <c r="AY157" s="567">
        <f t="shared" si="928"/>
        <v>2605.1</v>
      </c>
      <c r="AZ157" s="567"/>
      <c r="BA157" s="568">
        <f t="shared" si="929"/>
        <v>2605.1</v>
      </c>
      <c r="BB157" s="568">
        <v>820.8</v>
      </c>
      <c r="BC157" s="569">
        <v>1784.3</v>
      </c>
      <c r="BD157" s="567"/>
      <c r="BE157" s="570"/>
      <c r="BF157" s="567">
        <f t="shared" si="798"/>
        <v>0</v>
      </c>
      <c r="BG157" s="567">
        <f t="shared" si="799"/>
        <v>0</v>
      </c>
      <c r="BH157" s="567">
        <f t="shared" si="800"/>
        <v>0</v>
      </c>
      <c r="BI157" s="567">
        <f t="shared" si="801"/>
        <v>0</v>
      </c>
      <c r="BJ157" s="567">
        <f t="shared" si="802"/>
        <v>0</v>
      </c>
      <c r="BK157" s="567">
        <f t="shared" si="803"/>
        <v>0</v>
      </c>
      <c r="BL157" s="567" t="e">
        <f>#REF!-BE157</f>
        <v>#REF!</v>
      </c>
      <c r="BM157" s="567">
        <f t="shared" si="930"/>
        <v>770.5</v>
      </c>
      <c r="BN157" s="567"/>
      <c r="BO157" s="568">
        <f>335+435.5</f>
        <v>770.5</v>
      </c>
      <c r="BP157" s="567"/>
      <c r="BQ157" s="570"/>
      <c r="BR157" s="567">
        <f t="shared" si="931"/>
        <v>0</v>
      </c>
      <c r="BS157" s="567"/>
      <c r="BT157" s="568"/>
      <c r="BU157" s="567"/>
      <c r="BV157" s="570"/>
      <c r="BW157" s="567">
        <f t="shared" si="932"/>
        <v>2310.6904999999997</v>
      </c>
      <c r="BX157" s="567"/>
      <c r="BY157" s="568">
        <f t="shared" si="804"/>
        <v>2310.6904999999997</v>
      </c>
      <c r="BZ157" s="571">
        <v>820.8</v>
      </c>
      <c r="CA157" s="571">
        <v>1489.8905</v>
      </c>
      <c r="CB157" s="567"/>
      <c r="CC157" s="577"/>
      <c r="CD157" s="567">
        <f t="shared" si="933"/>
        <v>2310.6904999999997</v>
      </c>
      <c r="CE157" s="567"/>
      <c r="CF157" s="568">
        <f t="shared" si="805"/>
        <v>2310.6904999999997</v>
      </c>
      <c r="CG157" s="571">
        <v>820.8</v>
      </c>
      <c r="CH157" s="571">
        <v>1489.8905</v>
      </c>
      <c r="CI157" s="567"/>
      <c r="CJ157" s="570"/>
      <c r="CK157" s="567">
        <f t="shared" si="934"/>
        <v>256.74376000000001</v>
      </c>
      <c r="CL157" s="567"/>
      <c r="CM157" s="567">
        <f t="shared" si="806"/>
        <v>256.74376000000001</v>
      </c>
      <c r="CN157" s="567">
        <v>91.2</v>
      </c>
      <c r="CO157" s="567">
        <v>165.54375999999999</v>
      </c>
      <c r="CP157" s="567"/>
      <c r="CQ157" s="567"/>
      <c r="CR157" s="573">
        <f t="shared" si="935"/>
        <v>2567.4342599999995</v>
      </c>
      <c r="CS157" s="567">
        <f t="shared" si="807"/>
        <v>2567.4342599999995</v>
      </c>
      <c r="CT157" s="567">
        <f t="shared" si="808"/>
        <v>0</v>
      </c>
      <c r="CU157" s="567">
        <f t="shared" si="809"/>
        <v>2567.4342599999995</v>
      </c>
      <c r="CV157" s="567">
        <f t="shared" si="810"/>
        <v>0</v>
      </c>
      <c r="CW157" s="567">
        <f t="shared" si="936"/>
        <v>0</v>
      </c>
      <c r="CX157" s="567">
        <f t="shared" ca="1" si="899"/>
        <v>0</v>
      </c>
      <c r="CY157" s="567">
        <f t="shared" si="811"/>
        <v>0</v>
      </c>
      <c r="CZ157" s="567">
        <f t="shared" si="812"/>
        <v>0</v>
      </c>
      <c r="DA157" s="567">
        <f t="shared" si="813"/>
        <v>0</v>
      </c>
      <c r="DB157" s="2">
        <f t="shared" si="937"/>
        <v>0</v>
      </c>
      <c r="DC157" s="76"/>
      <c r="DD157" s="253"/>
      <c r="DE157" s="253"/>
      <c r="DF157" s="2">
        <f t="shared" si="938"/>
        <v>0</v>
      </c>
      <c r="DG157" s="2"/>
      <c r="DH157" s="198"/>
      <c r="DI157" s="2"/>
      <c r="DJ157" s="234"/>
      <c r="DK157" s="2">
        <f t="shared" si="939"/>
        <v>0</v>
      </c>
      <c r="DL157" s="2"/>
      <c r="DM157" s="198"/>
      <c r="DN157" s="2"/>
      <c r="DO157" s="234"/>
      <c r="DP157" s="2">
        <f t="shared" si="940"/>
        <v>0</v>
      </c>
      <c r="DQ157" s="2">
        <f t="shared" si="941"/>
        <v>0</v>
      </c>
      <c r="DR157" s="2">
        <f t="shared" si="941"/>
        <v>0</v>
      </c>
      <c r="DS157" s="2">
        <f t="shared" si="941"/>
        <v>0</v>
      </c>
      <c r="DT157" s="2">
        <f t="shared" si="941"/>
        <v>0</v>
      </c>
      <c r="DU157" s="2"/>
      <c r="DV157" s="2"/>
      <c r="DW157" s="2"/>
      <c r="DX157" s="2">
        <f t="shared" ca="1" si="942"/>
        <v>0</v>
      </c>
      <c r="DY157" s="46"/>
      <c r="DZ157" s="2">
        <f t="shared" si="943"/>
        <v>2310.6904999999997</v>
      </c>
      <c r="EA157" s="2">
        <f t="shared" si="944"/>
        <v>2310.6904999999997</v>
      </c>
      <c r="EB157" s="46"/>
      <c r="EC157" s="2"/>
      <c r="ED157" s="2"/>
      <c r="EE157" s="46"/>
      <c r="EF157" s="2"/>
      <c r="EG157" s="46"/>
      <c r="EH157" s="46"/>
      <c r="EI157" s="2">
        <f t="shared" si="794"/>
        <v>2310.6904999999997</v>
      </c>
      <c r="EJ157" s="2"/>
      <c r="EK157" s="198">
        <f t="shared" si="814"/>
        <v>2310.6904999999997</v>
      </c>
      <c r="EL157" s="446">
        <v>820.8</v>
      </c>
      <c r="EM157" s="446">
        <v>1489.8905</v>
      </c>
      <c r="EN157" s="2"/>
      <c r="EO157" s="234"/>
      <c r="EP157" s="2">
        <f t="shared" si="795"/>
        <v>256.74376000000001</v>
      </c>
      <c r="EQ157" s="2"/>
      <c r="ER157" s="2">
        <f t="shared" si="815"/>
        <v>256.74376000000001</v>
      </c>
      <c r="ES157" s="2">
        <v>91.2</v>
      </c>
      <c r="ET157" s="2">
        <v>165.54375999999999</v>
      </c>
      <c r="EU157" s="2"/>
      <c r="EV157" s="141"/>
      <c r="EW157" s="310"/>
      <c r="EX157" s="310"/>
      <c r="EY157" s="310"/>
      <c r="EZ157" s="396"/>
      <c r="FA157" s="396"/>
      <c r="FB157" s="310"/>
      <c r="FC157" s="310"/>
      <c r="FD157" s="310"/>
      <c r="FE157" s="396"/>
      <c r="FF157" s="396"/>
      <c r="FG157" s="396"/>
      <c r="FH157" s="311"/>
      <c r="FI157" s="310"/>
      <c r="FJ157" s="296" t="e">
        <f t="shared" si="947"/>
        <v>#DIV/0!</v>
      </c>
      <c r="FK157" s="353">
        <f t="shared" si="817"/>
        <v>2605.1</v>
      </c>
      <c r="FL157" s="353">
        <f t="shared" si="948"/>
        <v>2605.1</v>
      </c>
      <c r="FM157" s="353"/>
      <c r="FN157" s="388">
        <f t="shared" si="949"/>
        <v>1</v>
      </c>
      <c r="FO157" s="388">
        <f t="shared" si="950"/>
        <v>0</v>
      </c>
      <c r="FP157" s="353">
        <f t="shared" si="818"/>
        <v>2567.4342599999995</v>
      </c>
      <c r="FQ157" s="353">
        <f t="shared" si="951"/>
        <v>2310.6904999999997</v>
      </c>
      <c r="FR157" s="353">
        <f t="shared" si="952"/>
        <v>256.74376000000001</v>
      </c>
      <c r="FS157" s="388">
        <f t="shared" si="953"/>
        <v>0.89999986990903524</v>
      </c>
      <c r="FT157" s="388">
        <f t="shared" si="954"/>
        <v>0.10000013009096484</v>
      </c>
      <c r="FU157" s="388"/>
      <c r="FV157" s="353">
        <f t="shared" si="955"/>
        <v>2567.4342599999995</v>
      </c>
      <c r="FW157" s="353">
        <f t="shared" si="819"/>
        <v>-256.74375999999984</v>
      </c>
      <c r="FX157" s="310"/>
      <c r="FY157" s="310"/>
      <c r="FZ157" s="310"/>
      <c r="GA157" s="396"/>
      <c r="GB157" s="396"/>
      <c r="GC157" s="310"/>
      <c r="GD157" s="310"/>
      <c r="GE157" s="310"/>
      <c r="GF157" s="396"/>
      <c r="GG157" s="396"/>
      <c r="GH157" s="396"/>
      <c r="GI157" s="311"/>
      <c r="GJ157" s="344"/>
      <c r="GK157" s="303">
        <f t="shared" si="796"/>
        <v>0.88698725576753279</v>
      </c>
    </row>
    <row r="158" spans="2:193" s="37" customFormat="1" ht="15.6" customHeight="1" x14ac:dyDescent="0.25">
      <c r="B158" s="29"/>
      <c r="C158" s="30">
        <v>1</v>
      </c>
      <c r="D158" s="30"/>
      <c r="E158" s="493">
        <v>130</v>
      </c>
      <c r="F158" s="29"/>
      <c r="G158" s="30">
        <v>1</v>
      </c>
      <c r="H158" s="30">
        <v>1</v>
      </c>
      <c r="I158" s="493"/>
      <c r="J158" s="494"/>
      <c r="K158" s="494"/>
      <c r="L158" s="53"/>
      <c r="M158" s="493">
        <v>108</v>
      </c>
      <c r="N158" s="494" t="s">
        <v>56</v>
      </c>
      <c r="O158" s="494"/>
      <c r="P158" s="494">
        <f t="shared" si="816"/>
        <v>0</v>
      </c>
      <c r="Q158" s="494" t="s">
        <v>701</v>
      </c>
      <c r="R158" s="494" t="s">
        <v>699</v>
      </c>
      <c r="S158" s="494" t="s">
        <v>525</v>
      </c>
      <c r="T158" s="156">
        <v>3</v>
      </c>
      <c r="U158" s="493">
        <v>2</v>
      </c>
      <c r="V158" s="2">
        <f t="shared" si="797"/>
        <v>56484.603000000003</v>
      </c>
      <c r="W158" s="2"/>
      <c r="X158" s="198">
        <f t="shared" si="605"/>
        <v>21823</v>
      </c>
      <c r="Y158" s="198">
        <v>4212.7</v>
      </c>
      <c r="Z158" s="42">
        <v>17610.3</v>
      </c>
      <c r="AA158" s="2">
        <v>34661.603000000003</v>
      </c>
      <c r="AB158" s="567">
        <f t="shared" si="924"/>
        <v>56484.603000000003</v>
      </c>
      <c r="AC158" s="567"/>
      <c r="AD158" s="568">
        <f t="shared" si="606"/>
        <v>21823</v>
      </c>
      <c r="AE158" s="568">
        <v>4212.7</v>
      </c>
      <c r="AF158" s="569">
        <v>17610.3</v>
      </c>
      <c r="AG158" s="567">
        <v>34661.603000000003</v>
      </c>
      <c r="AH158" s="570"/>
      <c r="AI158" s="567">
        <f t="shared" si="925"/>
        <v>4312.5</v>
      </c>
      <c r="AJ158" s="567"/>
      <c r="AK158" s="568">
        <v>4312.5</v>
      </c>
      <c r="AL158" s="567"/>
      <c r="AM158" s="570"/>
      <c r="AN158" s="567">
        <f t="shared" si="926"/>
        <v>4312.5</v>
      </c>
      <c r="AO158" s="567"/>
      <c r="AP158" s="568">
        <v>4312.5</v>
      </c>
      <c r="AQ158" s="567"/>
      <c r="AR158" s="570"/>
      <c r="AS158" s="567">
        <f t="shared" si="927"/>
        <v>617</v>
      </c>
      <c r="AT158" s="567"/>
      <c r="AU158" s="568">
        <v>617</v>
      </c>
      <c r="AV158" s="567"/>
      <c r="AW158" s="570"/>
      <c r="AX158" s="425" t="s">
        <v>734</v>
      </c>
      <c r="AY158" s="567">
        <f t="shared" si="928"/>
        <v>56484.592079999995</v>
      </c>
      <c r="AZ158" s="567"/>
      <c r="BA158" s="568">
        <f t="shared" si="929"/>
        <v>21822.989479999997</v>
      </c>
      <c r="BB158" s="568">
        <f>4212.7-0.0092-0.00132</f>
        <v>4212.6894799999991</v>
      </c>
      <c r="BC158" s="569">
        <f>17610.29868+0.00132</f>
        <v>17610.3</v>
      </c>
      <c r="BD158" s="567">
        <v>34661.602599999998</v>
      </c>
      <c r="BE158" s="570"/>
      <c r="BF158" s="567">
        <f t="shared" si="798"/>
        <v>1.092000000517146E-2</v>
      </c>
      <c r="BG158" s="567">
        <f t="shared" si="799"/>
        <v>0</v>
      </c>
      <c r="BH158" s="567">
        <f t="shared" si="800"/>
        <v>1.0520000000724394E-2</v>
      </c>
      <c r="BI158" s="567">
        <f t="shared" si="801"/>
        <v>1.0520000000724394E-2</v>
      </c>
      <c r="BJ158" s="567">
        <f t="shared" si="802"/>
        <v>0</v>
      </c>
      <c r="BK158" s="567">
        <f t="shared" si="803"/>
        <v>4.0000000444706529E-4</v>
      </c>
      <c r="BL158" s="567" t="e">
        <f>#REF!-BE158</f>
        <v>#REF!</v>
      </c>
      <c r="BM158" s="567">
        <f t="shared" si="930"/>
        <v>6215.6</v>
      </c>
      <c r="BN158" s="567"/>
      <c r="BO158" s="568">
        <f>617+3695.5+1903.1</f>
        <v>6215.6</v>
      </c>
      <c r="BP158" s="567"/>
      <c r="BQ158" s="570"/>
      <c r="BR158" s="567">
        <f t="shared" si="931"/>
        <v>0</v>
      </c>
      <c r="BS158" s="567"/>
      <c r="BT158" s="568"/>
      <c r="BU158" s="567"/>
      <c r="BV158" s="570"/>
      <c r="BW158" s="567">
        <f t="shared" si="932"/>
        <v>48504.51528</v>
      </c>
      <c r="BX158" s="567"/>
      <c r="BY158" s="568">
        <f t="shared" si="804"/>
        <v>21183.095990000002</v>
      </c>
      <c r="BZ158" s="571">
        <f>3664.79173+491.05994-0.00132</f>
        <v>4155.8503499999997</v>
      </c>
      <c r="CA158" s="571">
        <f>7447.92791+8177.77527+0.00132+1401.54114</f>
        <v>17027.245640000001</v>
      </c>
      <c r="CB158" s="567">
        <f>10962.07408+16359.34521</f>
        <v>27321.419289999998</v>
      </c>
      <c r="CC158" s="577"/>
      <c r="CD158" s="567">
        <f t="shared" si="933"/>
        <v>48504.51528</v>
      </c>
      <c r="CE158" s="567"/>
      <c r="CF158" s="568">
        <f t="shared" si="805"/>
        <v>21183.095990000002</v>
      </c>
      <c r="CG158" s="571">
        <f>3664.79173+491.05994-0.00132</f>
        <v>4155.8503499999997</v>
      </c>
      <c r="CH158" s="571">
        <f>7447.92791+8177.77527+0.00132+1401.54114</f>
        <v>17027.245640000001</v>
      </c>
      <c r="CI158" s="567">
        <f>10962.07408+16359.34521</f>
        <v>27321.419289999998</v>
      </c>
      <c r="CJ158" s="570"/>
      <c r="CK158" s="567">
        <f t="shared" si="934"/>
        <v>4217.8710200000005</v>
      </c>
      <c r="CL158" s="567"/>
      <c r="CM158" s="567">
        <v>1842.0954200000001</v>
      </c>
      <c r="CN158" s="567">
        <v>318.75432000000001</v>
      </c>
      <c r="CO158" s="567"/>
      <c r="CP158" s="567">
        <v>2375.7755999999999</v>
      </c>
      <c r="CQ158" s="567"/>
      <c r="CR158" s="573">
        <f t="shared" si="935"/>
        <v>52722.386299999998</v>
      </c>
      <c r="CS158" s="567">
        <f t="shared" si="807"/>
        <v>52722.386299999998</v>
      </c>
      <c r="CT158" s="567">
        <f t="shared" si="808"/>
        <v>0</v>
      </c>
      <c r="CU158" s="567">
        <f t="shared" si="809"/>
        <v>23025.191410000003</v>
      </c>
      <c r="CV158" s="567">
        <f t="shared" si="810"/>
        <v>29697.194889999999</v>
      </c>
      <c r="CW158" s="567">
        <f t="shared" si="936"/>
        <v>0</v>
      </c>
      <c r="CX158" s="567">
        <f t="shared" ca="1" si="899"/>
        <v>0</v>
      </c>
      <c r="CY158" s="567">
        <f t="shared" si="811"/>
        <v>0</v>
      </c>
      <c r="CZ158" s="567">
        <f t="shared" si="812"/>
        <v>0</v>
      </c>
      <c r="DA158" s="567">
        <f t="shared" si="813"/>
        <v>0</v>
      </c>
      <c r="DB158" s="2">
        <f t="shared" si="937"/>
        <v>0</v>
      </c>
      <c r="DC158" s="76"/>
      <c r="DD158" s="545">
        <f>BM158+BM159</f>
        <v>6825.1</v>
      </c>
      <c r="DE158" s="545">
        <f>DD158</f>
        <v>6825.1</v>
      </c>
      <c r="DF158" s="2">
        <f t="shared" si="938"/>
        <v>0</v>
      </c>
      <c r="DG158" s="2"/>
      <c r="DH158" s="198"/>
      <c r="DI158" s="2"/>
      <c r="DJ158" s="234"/>
      <c r="DK158" s="2">
        <f t="shared" si="939"/>
        <v>0</v>
      </c>
      <c r="DL158" s="2"/>
      <c r="DM158" s="198"/>
      <c r="DN158" s="2"/>
      <c r="DO158" s="234"/>
      <c r="DP158" s="2">
        <f t="shared" si="940"/>
        <v>0</v>
      </c>
      <c r="DQ158" s="2">
        <f t="shared" si="941"/>
        <v>0</v>
      </c>
      <c r="DR158" s="2">
        <f t="shared" si="941"/>
        <v>0</v>
      </c>
      <c r="DS158" s="2">
        <f t="shared" si="941"/>
        <v>0</v>
      </c>
      <c r="DT158" s="2">
        <f t="shared" si="941"/>
        <v>0</v>
      </c>
      <c r="DU158" s="2"/>
      <c r="DV158" s="2"/>
      <c r="DW158" s="2"/>
      <c r="DX158" s="2">
        <f t="shared" ca="1" si="942"/>
        <v>0</v>
      </c>
      <c r="DY158" s="46"/>
      <c r="DZ158" s="2">
        <f t="shared" si="943"/>
        <v>48504.51528</v>
      </c>
      <c r="EA158" s="2">
        <f t="shared" si="944"/>
        <v>48504.51528</v>
      </c>
      <c r="EB158" s="46"/>
      <c r="EC158" s="546">
        <f>EA158+EA159</f>
        <v>49099.36191</v>
      </c>
      <c r="ED158" s="546">
        <f ca="1">DX158+DX159</f>
        <v>0</v>
      </c>
      <c r="EE158" s="46"/>
      <c r="EF158" s="2">
        <f>DE158-EC158</f>
        <v>-42274.261910000001</v>
      </c>
      <c r="EG158" s="46"/>
      <c r="EH158" s="46"/>
      <c r="EI158" s="2">
        <f t="shared" si="794"/>
        <v>48504.51528</v>
      </c>
      <c r="EJ158" s="2"/>
      <c r="EK158" s="198">
        <f t="shared" si="814"/>
        <v>21183.095990000002</v>
      </c>
      <c r="EL158" s="446">
        <f>3664.79173+491.05994-0.00132</f>
        <v>4155.8503499999997</v>
      </c>
      <c r="EM158" s="446">
        <f>7447.92791+8177.77527+0.00132+1401.54114</f>
        <v>17027.245640000001</v>
      </c>
      <c r="EN158" s="2">
        <f>10962.07408+16359.34521</f>
        <v>27321.419289999998</v>
      </c>
      <c r="EO158" s="234"/>
      <c r="EP158" s="2">
        <f t="shared" si="795"/>
        <v>4217.8710200000005</v>
      </c>
      <c r="EQ158" s="2"/>
      <c r="ER158" s="2">
        <v>1842.0954200000001</v>
      </c>
      <c r="ES158" s="2">
        <f>318.75432+42.71115</f>
        <v>361.46546999999998</v>
      </c>
      <c r="ET158" s="2">
        <f>647.64591+711.11089+121.87315</f>
        <v>1480.62995</v>
      </c>
      <c r="EU158" s="2">
        <v>2375.7755999999999</v>
      </c>
      <c r="EV158" s="141"/>
      <c r="EW158" s="310"/>
      <c r="EX158" s="310"/>
      <c r="EY158" s="310"/>
      <c r="EZ158" s="396"/>
      <c r="FA158" s="396"/>
      <c r="FB158" s="310"/>
      <c r="FC158" s="310"/>
      <c r="FD158" s="310"/>
      <c r="FE158" s="396"/>
      <c r="FF158" s="396"/>
      <c r="FG158" s="396"/>
      <c r="FH158" s="311"/>
      <c r="FI158" s="310"/>
      <c r="FJ158" s="296" t="e">
        <f t="shared" si="947"/>
        <v>#DIV/0!</v>
      </c>
      <c r="FK158" s="353">
        <f t="shared" si="817"/>
        <v>21822.989479999997</v>
      </c>
      <c r="FL158" s="353">
        <f t="shared" si="948"/>
        <v>21822.989479999997</v>
      </c>
      <c r="FM158" s="353"/>
      <c r="FN158" s="388">
        <f t="shared" si="949"/>
        <v>1</v>
      </c>
      <c r="FO158" s="388">
        <f t="shared" si="950"/>
        <v>0</v>
      </c>
      <c r="FP158" s="353">
        <f t="shared" si="818"/>
        <v>23025.191410000003</v>
      </c>
      <c r="FQ158" s="353">
        <f t="shared" si="951"/>
        <v>21183.095990000002</v>
      </c>
      <c r="FR158" s="353">
        <f t="shared" si="952"/>
        <v>1842.0954200000001</v>
      </c>
      <c r="FS158" s="388">
        <f t="shared" si="953"/>
        <v>0.91999652088885708</v>
      </c>
      <c r="FT158" s="388">
        <f t="shared" si="954"/>
        <v>8.0003479111142806E-2</v>
      </c>
      <c r="FU158" s="388"/>
      <c r="FV158" s="353">
        <f t="shared" si="955"/>
        <v>23025.191410000003</v>
      </c>
      <c r="FW158" s="353">
        <f t="shared" si="819"/>
        <v>-1842.0954200000015</v>
      </c>
      <c r="FX158" s="310">
        <f t="shared" ref="FX158" si="956">FY158+FZ158</f>
        <v>34661.602599999998</v>
      </c>
      <c r="FY158" s="310">
        <f>BD158</f>
        <v>34661.602599999998</v>
      </c>
      <c r="FZ158" s="310"/>
      <c r="GA158" s="396">
        <f t="shared" ref="GA158" si="957">FY158/FX158</f>
        <v>1</v>
      </c>
      <c r="GB158" s="396">
        <f t="shared" ref="GB158" si="958">FZ158/FX158</f>
        <v>0</v>
      </c>
      <c r="GC158" s="310">
        <f t="shared" si="847"/>
        <v>29697.194889999999</v>
      </c>
      <c r="GD158" s="310">
        <f t="shared" si="900"/>
        <v>27321.419289999998</v>
      </c>
      <c r="GE158" s="310">
        <f t="shared" si="901"/>
        <v>2375.7755999999999</v>
      </c>
      <c r="GF158" s="396">
        <f t="shared" ref="GF158" si="959">GD158/GC158</f>
        <v>0.91999999970367563</v>
      </c>
      <c r="GG158" s="396">
        <f t="shared" ref="GG158" si="960">GE158/GC158</f>
        <v>8.0000000296324286E-2</v>
      </c>
      <c r="GH158" s="396"/>
      <c r="GI158" s="311">
        <f t="shared" si="637"/>
        <v>29697.194889999999</v>
      </c>
      <c r="GJ158" s="344">
        <f t="shared" si="848"/>
        <v>-2375.7756000000008</v>
      </c>
      <c r="GK158" s="303">
        <f t="shared" si="796"/>
        <v>0.85872100898009318</v>
      </c>
    </row>
    <row r="159" spans="2:193" s="37" customFormat="1" ht="15.75" customHeight="1" x14ac:dyDescent="0.25">
      <c r="B159" s="29"/>
      <c r="C159" s="30">
        <v>1</v>
      </c>
      <c r="D159" s="30"/>
      <c r="E159" s="493">
        <v>131</v>
      </c>
      <c r="F159" s="29"/>
      <c r="G159" s="30">
        <v>1</v>
      </c>
      <c r="H159" s="30">
        <v>1</v>
      </c>
      <c r="I159" s="493"/>
      <c r="J159" s="494"/>
      <c r="K159" s="494"/>
      <c r="L159" s="53"/>
      <c r="M159" s="493">
        <v>109</v>
      </c>
      <c r="N159" s="494" t="s">
        <v>57</v>
      </c>
      <c r="O159" s="494"/>
      <c r="P159" s="494">
        <f t="shared" si="816"/>
        <v>0</v>
      </c>
      <c r="Q159" s="494" t="s">
        <v>701</v>
      </c>
      <c r="R159" s="469" t="s">
        <v>699</v>
      </c>
      <c r="S159" s="494">
        <v>92</v>
      </c>
      <c r="T159" s="156">
        <v>1</v>
      </c>
      <c r="U159" s="493"/>
      <c r="V159" s="2">
        <f t="shared" si="797"/>
        <v>594.9</v>
      </c>
      <c r="W159" s="2"/>
      <c r="X159" s="198">
        <f t="shared" si="605"/>
        <v>594.9</v>
      </c>
      <c r="Y159" s="198">
        <v>594.9</v>
      </c>
      <c r="Z159" s="42"/>
      <c r="AA159" s="2"/>
      <c r="AB159" s="567">
        <f t="shared" si="924"/>
        <v>594.9</v>
      </c>
      <c r="AC159" s="567"/>
      <c r="AD159" s="568">
        <f t="shared" si="606"/>
        <v>594.9</v>
      </c>
      <c r="AE159" s="568">
        <v>594.9</v>
      </c>
      <c r="AF159" s="569"/>
      <c r="AG159" s="567"/>
      <c r="AH159" s="573"/>
      <c r="AI159" s="567">
        <f t="shared" si="925"/>
        <v>609.5</v>
      </c>
      <c r="AJ159" s="567"/>
      <c r="AK159" s="568">
        <v>609.5</v>
      </c>
      <c r="AL159" s="567"/>
      <c r="AM159" s="573"/>
      <c r="AN159" s="567">
        <f t="shared" si="926"/>
        <v>609.5</v>
      </c>
      <c r="AO159" s="567"/>
      <c r="AP159" s="568">
        <v>609.5</v>
      </c>
      <c r="AQ159" s="567"/>
      <c r="AR159" s="573"/>
      <c r="AS159" s="567">
        <f t="shared" si="927"/>
        <v>265</v>
      </c>
      <c r="AT159" s="567"/>
      <c r="AU159" s="568">
        <v>265</v>
      </c>
      <c r="AV159" s="567"/>
      <c r="AW159" s="567"/>
      <c r="AX159" s="409" t="s">
        <v>368</v>
      </c>
      <c r="AY159" s="567">
        <f t="shared" si="928"/>
        <v>594.84663</v>
      </c>
      <c r="AZ159" s="567"/>
      <c r="BA159" s="568">
        <f t="shared" si="929"/>
        <v>594.84663</v>
      </c>
      <c r="BB159" s="568">
        <v>594.84663</v>
      </c>
      <c r="BC159" s="569"/>
      <c r="BD159" s="567"/>
      <c r="BE159" s="567"/>
      <c r="BF159" s="567">
        <f t="shared" si="798"/>
        <v>5.3369999999972606E-2</v>
      </c>
      <c r="BG159" s="567">
        <f t="shared" si="799"/>
        <v>0</v>
      </c>
      <c r="BH159" s="567">
        <f t="shared" si="800"/>
        <v>5.3369999999972606E-2</v>
      </c>
      <c r="BI159" s="567">
        <f t="shared" si="801"/>
        <v>5.3369999999972606E-2</v>
      </c>
      <c r="BJ159" s="567">
        <f t="shared" si="802"/>
        <v>0</v>
      </c>
      <c r="BK159" s="567">
        <f t="shared" si="803"/>
        <v>0</v>
      </c>
      <c r="BL159" s="567" t="e">
        <f>#REF!-BE159</f>
        <v>#REF!</v>
      </c>
      <c r="BM159" s="567">
        <f>BN159+BO159+BP159+BQ159</f>
        <v>609.5</v>
      </c>
      <c r="BN159" s="567"/>
      <c r="BO159" s="568">
        <f>265+344.5</f>
        <v>609.5</v>
      </c>
      <c r="BP159" s="567"/>
      <c r="BQ159" s="567"/>
      <c r="BR159" s="567">
        <f t="shared" si="931"/>
        <v>0</v>
      </c>
      <c r="BS159" s="567"/>
      <c r="BT159" s="568"/>
      <c r="BU159" s="567"/>
      <c r="BV159" s="567"/>
      <c r="BW159" s="567">
        <f t="shared" si="932"/>
        <v>594.84663</v>
      </c>
      <c r="BX159" s="567"/>
      <c r="BY159" s="578">
        <f t="shared" si="804"/>
        <v>594.84663</v>
      </c>
      <c r="BZ159" s="571">
        <v>594.84663</v>
      </c>
      <c r="CA159" s="571"/>
      <c r="CB159" s="567"/>
      <c r="CC159" s="567"/>
      <c r="CD159" s="567">
        <f t="shared" si="933"/>
        <v>594.84663</v>
      </c>
      <c r="CE159" s="567"/>
      <c r="CF159" s="578">
        <f t="shared" si="805"/>
        <v>594.84663</v>
      </c>
      <c r="CG159" s="571">
        <v>594.84663</v>
      </c>
      <c r="CH159" s="571"/>
      <c r="CI159" s="567"/>
      <c r="CJ159" s="567"/>
      <c r="CK159" s="567">
        <f t="shared" si="934"/>
        <v>73.52037</v>
      </c>
      <c r="CL159" s="567"/>
      <c r="CM159" s="567">
        <v>73.52037</v>
      </c>
      <c r="CN159" s="567"/>
      <c r="CO159" s="567"/>
      <c r="CP159" s="567"/>
      <c r="CQ159" s="567"/>
      <c r="CR159" s="573">
        <f t="shared" si="935"/>
        <v>668.36699999999996</v>
      </c>
      <c r="CS159" s="567">
        <f t="shared" si="807"/>
        <v>668.36699999999996</v>
      </c>
      <c r="CT159" s="567">
        <f t="shared" si="808"/>
        <v>0</v>
      </c>
      <c r="CU159" s="567">
        <f t="shared" si="809"/>
        <v>668.36699999999996</v>
      </c>
      <c r="CV159" s="567">
        <f t="shared" si="810"/>
        <v>0</v>
      </c>
      <c r="CW159" s="567">
        <f t="shared" si="936"/>
        <v>0</v>
      </c>
      <c r="CX159" s="567">
        <f t="shared" ca="1" si="899"/>
        <v>0</v>
      </c>
      <c r="CY159" s="567">
        <f t="shared" si="811"/>
        <v>0</v>
      </c>
      <c r="CZ159" s="567">
        <f t="shared" si="812"/>
        <v>0</v>
      </c>
      <c r="DA159" s="567">
        <f t="shared" si="813"/>
        <v>0</v>
      </c>
      <c r="DB159" s="2">
        <f t="shared" si="937"/>
        <v>0</v>
      </c>
      <c r="DC159" s="76"/>
      <c r="DD159" s="253"/>
      <c r="DE159" s="253"/>
      <c r="DF159" s="2">
        <f t="shared" si="938"/>
        <v>0</v>
      </c>
      <c r="DG159" s="2"/>
      <c r="DH159" s="198"/>
      <c r="DI159" s="2"/>
      <c r="DJ159" s="2"/>
      <c r="DK159" s="2">
        <f t="shared" si="939"/>
        <v>0</v>
      </c>
      <c r="DL159" s="2"/>
      <c r="DM159" s="198"/>
      <c r="DN159" s="2"/>
      <c r="DO159" s="2"/>
      <c r="DP159" s="2">
        <f t="shared" si="940"/>
        <v>0</v>
      </c>
      <c r="DQ159" s="2">
        <f t="shared" si="941"/>
        <v>0</v>
      </c>
      <c r="DR159" s="2">
        <f t="shared" si="941"/>
        <v>0</v>
      </c>
      <c r="DS159" s="2">
        <f t="shared" si="941"/>
        <v>0</v>
      </c>
      <c r="DT159" s="2">
        <f t="shared" si="941"/>
        <v>0</v>
      </c>
      <c r="DU159" s="2"/>
      <c r="DV159" s="2"/>
      <c r="DW159" s="2"/>
      <c r="DX159" s="2">
        <f t="shared" ca="1" si="942"/>
        <v>0</v>
      </c>
      <c r="DY159" s="46"/>
      <c r="DZ159" s="2">
        <f t="shared" si="943"/>
        <v>594.84663</v>
      </c>
      <c r="EA159" s="2">
        <f t="shared" si="944"/>
        <v>594.84663</v>
      </c>
      <c r="EB159" s="46"/>
      <c r="EC159" s="2"/>
      <c r="ED159" s="2"/>
      <c r="EE159" s="46"/>
      <c r="EF159" s="2"/>
      <c r="EG159" s="46"/>
      <c r="EH159" s="46"/>
      <c r="EI159" s="2">
        <f t="shared" si="794"/>
        <v>594.84663</v>
      </c>
      <c r="EJ159" s="2"/>
      <c r="EK159" s="433">
        <f t="shared" si="814"/>
        <v>594.84663</v>
      </c>
      <c r="EL159" s="446">
        <v>594.84663</v>
      </c>
      <c r="EM159" s="446"/>
      <c r="EN159" s="2"/>
      <c r="EO159" s="2"/>
      <c r="EP159" s="2">
        <f>EQ159+ER159+EU159</f>
        <v>73.52037</v>
      </c>
      <c r="EQ159" s="2"/>
      <c r="ER159" s="2">
        <v>73.52037</v>
      </c>
      <c r="ES159" s="2">
        <v>73.52037</v>
      </c>
      <c r="ET159" s="2"/>
      <c r="EU159" s="2"/>
      <c r="EV159" s="141"/>
      <c r="EW159" s="310"/>
      <c r="EX159" s="310"/>
      <c r="EY159" s="310"/>
      <c r="EZ159" s="396"/>
      <c r="FA159" s="396"/>
      <c r="FB159" s="310"/>
      <c r="FC159" s="310"/>
      <c r="FD159" s="310"/>
      <c r="FE159" s="396"/>
      <c r="FF159" s="396"/>
      <c r="FG159" s="396"/>
      <c r="FH159" s="311"/>
      <c r="FI159" s="310"/>
      <c r="FJ159" s="296" t="e">
        <f t="shared" si="947"/>
        <v>#DIV/0!</v>
      </c>
      <c r="FK159" s="353">
        <f t="shared" si="817"/>
        <v>594.84663</v>
      </c>
      <c r="FL159" s="353">
        <f t="shared" si="948"/>
        <v>594.84663</v>
      </c>
      <c r="FM159" s="353"/>
      <c r="FN159" s="388">
        <f t="shared" si="949"/>
        <v>1</v>
      </c>
      <c r="FO159" s="388">
        <f t="shared" si="950"/>
        <v>0</v>
      </c>
      <c r="FP159" s="353">
        <f t="shared" si="818"/>
        <v>668.36699999999996</v>
      </c>
      <c r="FQ159" s="353">
        <f t="shared" si="951"/>
        <v>594.84663</v>
      </c>
      <c r="FR159" s="353">
        <f t="shared" si="952"/>
        <v>73.52037</v>
      </c>
      <c r="FS159" s="388">
        <f t="shared" si="953"/>
        <v>0.89</v>
      </c>
      <c r="FT159" s="388">
        <f t="shared" si="954"/>
        <v>0.11</v>
      </c>
      <c r="FU159" s="388"/>
      <c r="FV159" s="353">
        <f t="shared" si="955"/>
        <v>668.36699999999996</v>
      </c>
      <c r="FW159" s="353">
        <f t="shared" si="819"/>
        <v>-73.520369999999957</v>
      </c>
      <c r="FX159" s="310"/>
      <c r="FY159" s="310"/>
      <c r="FZ159" s="310"/>
      <c r="GA159" s="396"/>
      <c r="GB159" s="396"/>
      <c r="GC159" s="310"/>
      <c r="GD159" s="310"/>
      <c r="GE159" s="310"/>
      <c r="GF159" s="396"/>
      <c r="GG159" s="396"/>
      <c r="GH159" s="396"/>
      <c r="GI159" s="311"/>
      <c r="GJ159" s="344"/>
      <c r="GK159" s="303">
        <f t="shared" si="796"/>
        <v>0.99991028744326782</v>
      </c>
    </row>
    <row r="160" spans="2:193" s="37" customFormat="1" ht="15.75" customHeight="1" x14ac:dyDescent="0.25">
      <c r="B160" s="29"/>
      <c r="C160" s="30"/>
      <c r="D160" s="30">
        <v>1</v>
      </c>
      <c r="E160" s="493">
        <v>132</v>
      </c>
      <c r="F160" s="29"/>
      <c r="G160" s="30"/>
      <c r="H160" s="30">
        <v>1</v>
      </c>
      <c r="I160" s="491"/>
      <c r="J160" s="491"/>
      <c r="K160" s="491"/>
      <c r="L160" s="544"/>
      <c r="M160" s="493">
        <v>110</v>
      </c>
      <c r="N160" s="494" t="s">
        <v>117</v>
      </c>
      <c r="O160" s="494"/>
      <c r="P160" s="494">
        <f t="shared" si="816"/>
        <v>0</v>
      </c>
      <c r="Q160" s="494" t="s">
        <v>701</v>
      </c>
      <c r="R160" s="494" t="s">
        <v>700</v>
      </c>
      <c r="S160" s="494">
        <v>90</v>
      </c>
      <c r="T160" s="156">
        <v>1</v>
      </c>
      <c r="U160" s="493"/>
      <c r="V160" s="2">
        <f t="shared" si="797"/>
        <v>734</v>
      </c>
      <c r="W160" s="2"/>
      <c r="X160" s="198">
        <f t="shared" si="605"/>
        <v>734</v>
      </c>
      <c r="Y160" s="198">
        <v>734</v>
      </c>
      <c r="Z160" s="42"/>
      <c r="AA160" s="2"/>
      <c r="AB160" s="567">
        <f t="shared" si="924"/>
        <v>734</v>
      </c>
      <c r="AC160" s="567"/>
      <c r="AD160" s="568">
        <f t="shared" si="606"/>
        <v>734</v>
      </c>
      <c r="AE160" s="568">
        <v>734</v>
      </c>
      <c r="AF160" s="569"/>
      <c r="AG160" s="567"/>
      <c r="AH160" s="573"/>
      <c r="AI160" s="567">
        <f t="shared" si="925"/>
        <v>752.1</v>
      </c>
      <c r="AJ160" s="567"/>
      <c r="AK160" s="568">
        <v>752.1</v>
      </c>
      <c r="AL160" s="567"/>
      <c r="AM160" s="573"/>
      <c r="AN160" s="567">
        <f t="shared" si="926"/>
        <v>752.1</v>
      </c>
      <c r="AO160" s="567"/>
      <c r="AP160" s="568">
        <v>752.1</v>
      </c>
      <c r="AQ160" s="567"/>
      <c r="AR160" s="573"/>
      <c r="AS160" s="567">
        <f t="shared" si="927"/>
        <v>327</v>
      </c>
      <c r="AT160" s="567"/>
      <c r="AU160" s="568">
        <v>327</v>
      </c>
      <c r="AV160" s="567"/>
      <c r="AW160" s="567"/>
      <c r="AX160" s="409" t="s">
        <v>367</v>
      </c>
      <c r="AY160" s="567">
        <f t="shared" si="928"/>
        <v>734</v>
      </c>
      <c r="AZ160" s="567"/>
      <c r="BA160" s="568">
        <f t="shared" si="929"/>
        <v>734</v>
      </c>
      <c r="BB160" s="568">
        <v>734</v>
      </c>
      <c r="BC160" s="569"/>
      <c r="BD160" s="567"/>
      <c r="BE160" s="567"/>
      <c r="BF160" s="567">
        <f t="shared" si="798"/>
        <v>0</v>
      </c>
      <c r="BG160" s="567">
        <f t="shared" si="799"/>
        <v>0</v>
      </c>
      <c r="BH160" s="567">
        <f t="shared" si="800"/>
        <v>0</v>
      </c>
      <c r="BI160" s="567">
        <f t="shared" si="801"/>
        <v>0</v>
      </c>
      <c r="BJ160" s="567">
        <f t="shared" si="802"/>
        <v>0</v>
      </c>
      <c r="BK160" s="567">
        <f t="shared" si="803"/>
        <v>0</v>
      </c>
      <c r="BL160" s="567" t="e">
        <f>#REF!-BE160</f>
        <v>#REF!</v>
      </c>
      <c r="BM160" s="567">
        <f t="shared" si="930"/>
        <v>326.92599999999999</v>
      </c>
      <c r="BN160" s="567"/>
      <c r="BO160" s="568">
        <v>326.92599999999999</v>
      </c>
      <c r="BP160" s="567"/>
      <c r="BQ160" s="567"/>
      <c r="BR160" s="567">
        <f t="shared" si="931"/>
        <v>0</v>
      </c>
      <c r="BS160" s="567"/>
      <c r="BT160" s="568"/>
      <c r="BU160" s="567"/>
      <c r="BV160" s="567"/>
      <c r="BW160" s="567">
        <f t="shared" si="932"/>
        <v>730.33</v>
      </c>
      <c r="BX160" s="567"/>
      <c r="BY160" s="568">
        <f t="shared" si="804"/>
        <v>730.33</v>
      </c>
      <c r="BZ160" s="571">
        <v>730.33</v>
      </c>
      <c r="CA160" s="571"/>
      <c r="CB160" s="567"/>
      <c r="CC160" s="567"/>
      <c r="CD160" s="567">
        <f t="shared" si="933"/>
        <v>730.33</v>
      </c>
      <c r="CE160" s="567"/>
      <c r="CF160" s="568">
        <f t="shared" si="805"/>
        <v>730.33</v>
      </c>
      <c r="CG160" s="571">
        <v>730.33</v>
      </c>
      <c r="CH160" s="571"/>
      <c r="CI160" s="567"/>
      <c r="CJ160" s="567"/>
      <c r="CK160" s="567">
        <f t="shared" si="934"/>
        <v>81.148219999999995</v>
      </c>
      <c r="CL160" s="567"/>
      <c r="CM160" s="567">
        <f t="shared" si="806"/>
        <v>81.148219999999995</v>
      </c>
      <c r="CN160" s="567">
        <v>81.148219999999995</v>
      </c>
      <c r="CO160" s="567"/>
      <c r="CP160" s="567"/>
      <c r="CQ160" s="567"/>
      <c r="CR160" s="573">
        <f t="shared" si="935"/>
        <v>811.47822000000008</v>
      </c>
      <c r="CS160" s="567">
        <f t="shared" si="807"/>
        <v>811.47822000000008</v>
      </c>
      <c r="CT160" s="567">
        <f t="shared" si="808"/>
        <v>0</v>
      </c>
      <c r="CU160" s="567">
        <f t="shared" si="809"/>
        <v>811.47822000000008</v>
      </c>
      <c r="CV160" s="567">
        <f t="shared" si="810"/>
        <v>0</v>
      </c>
      <c r="CW160" s="567">
        <f t="shared" si="936"/>
        <v>0</v>
      </c>
      <c r="CX160" s="567">
        <f t="shared" ca="1" si="899"/>
        <v>0</v>
      </c>
      <c r="CY160" s="567">
        <f t="shared" si="811"/>
        <v>0</v>
      </c>
      <c r="CZ160" s="567">
        <f t="shared" si="812"/>
        <v>0</v>
      </c>
      <c r="DA160" s="567">
        <f t="shared" si="813"/>
        <v>0</v>
      </c>
      <c r="DB160" s="2">
        <f t="shared" si="937"/>
        <v>0</v>
      </c>
      <c r="DC160" s="76"/>
      <c r="DD160" s="253">
        <f>BM156+BM157+BM160</f>
        <v>2180.1410000000001</v>
      </c>
      <c r="DE160" s="253">
        <f>DD160-BR156</f>
        <v>2180.1410000000001</v>
      </c>
      <c r="DF160" s="2">
        <f t="shared" si="938"/>
        <v>0</v>
      </c>
      <c r="DG160" s="2"/>
      <c r="DH160" s="198"/>
      <c r="DI160" s="2"/>
      <c r="DJ160" s="2"/>
      <c r="DK160" s="2">
        <f t="shared" si="939"/>
        <v>0</v>
      </c>
      <c r="DL160" s="2"/>
      <c r="DM160" s="198"/>
      <c r="DN160" s="2"/>
      <c r="DO160" s="2"/>
      <c r="DP160" s="2">
        <f t="shared" si="940"/>
        <v>0</v>
      </c>
      <c r="DQ160" s="2">
        <f t="shared" si="941"/>
        <v>0</v>
      </c>
      <c r="DR160" s="2">
        <f t="shared" si="941"/>
        <v>0</v>
      </c>
      <c r="DS160" s="2">
        <f t="shared" si="941"/>
        <v>0</v>
      </c>
      <c r="DT160" s="2">
        <f t="shared" si="941"/>
        <v>0</v>
      </c>
      <c r="DU160" s="2"/>
      <c r="DV160" s="2"/>
      <c r="DW160" s="2"/>
      <c r="DX160" s="2">
        <f t="shared" ca="1" si="942"/>
        <v>0</v>
      </c>
      <c r="DY160" s="46"/>
      <c r="DZ160" s="2">
        <f t="shared" si="943"/>
        <v>730.33</v>
      </c>
      <c r="EA160" s="2">
        <f t="shared" si="944"/>
        <v>730.33</v>
      </c>
      <c r="EB160" s="46"/>
      <c r="EC160" s="2">
        <f>EA156+EA157+EA160</f>
        <v>5600.1204999999991</v>
      </c>
      <c r="ED160" s="2">
        <f ca="1">DX156+DX157+DX160</f>
        <v>0</v>
      </c>
      <c r="EE160" s="46"/>
      <c r="EF160" s="2">
        <f>DE160-EC160</f>
        <v>-3419.979499999999</v>
      </c>
      <c r="EG160" s="46"/>
      <c r="EH160" s="46"/>
      <c r="EI160" s="2">
        <f t="shared" si="794"/>
        <v>730.33</v>
      </c>
      <c r="EJ160" s="2"/>
      <c r="EK160" s="198">
        <f t="shared" si="814"/>
        <v>730.33</v>
      </c>
      <c r="EL160" s="446">
        <v>730.33</v>
      </c>
      <c r="EM160" s="446"/>
      <c r="EN160" s="2"/>
      <c r="EO160" s="2"/>
      <c r="EP160" s="2">
        <f>EQ160+ER160+EU160</f>
        <v>81.148219999999995</v>
      </c>
      <c r="EQ160" s="2"/>
      <c r="ER160" s="2">
        <f t="shared" si="815"/>
        <v>81.148219999999995</v>
      </c>
      <c r="ES160" s="2">
        <v>81.148219999999995</v>
      </c>
      <c r="ET160" s="2"/>
      <c r="EU160" s="2"/>
      <c r="EV160" s="141"/>
      <c r="EW160" s="310"/>
      <c r="EX160" s="310"/>
      <c r="EY160" s="310"/>
      <c r="EZ160" s="396"/>
      <c r="FA160" s="396"/>
      <c r="FB160" s="310"/>
      <c r="FC160" s="310"/>
      <c r="FD160" s="310"/>
      <c r="FE160" s="396"/>
      <c r="FF160" s="396"/>
      <c r="FG160" s="396"/>
      <c r="FH160" s="311"/>
      <c r="FI160" s="310"/>
      <c r="FJ160" s="296" t="e">
        <f t="shared" si="947"/>
        <v>#DIV/0!</v>
      </c>
      <c r="FK160" s="353">
        <f t="shared" si="817"/>
        <v>734</v>
      </c>
      <c r="FL160" s="353">
        <f t="shared" si="948"/>
        <v>734</v>
      </c>
      <c r="FM160" s="353"/>
      <c r="FN160" s="388">
        <f t="shared" si="949"/>
        <v>1</v>
      </c>
      <c r="FO160" s="388">
        <f t="shared" si="950"/>
        <v>0</v>
      </c>
      <c r="FP160" s="353">
        <f t="shared" si="818"/>
        <v>811.47822000000008</v>
      </c>
      <c r="FQ160" s="353">
        <f t="shared" si="951"/>
        <v>730.33</v>
      </c>
      <c r="FR160" s="353">
        <f t="shared" si="952"/>
        <v>81.148219999999995</v>
      </c>
      <c r="FS160" s="388">
        <f t="shared" si="953"/>
        <v>0.89999950953705199</v>
      </c>
      <c r="FT160" s="388">
        <f t="shared" si="954"/>
        <v>0.10000049046294796</v>
      </c>
      <c r="FU160" s="388"/>
      <c r="FV160" s="353">
        <f t="shared" si="955"/>
        <v>811.47822000000008</v>
      </c>
      <c r="FW160" s="353">
        <f t="shared" si="819"/>
        <v>-81.148220000000038</v>
      </c>
      <c r="FX160" s="310"/>
      <c r="FY160" s="310"/>
      <c r="FZ160" s="310"/>
      <c r="GA160" s="396"/>
      <c r="GB160" s="396"/>
      <c r="GC160" s="310"/>
      <c r="GD160" s="310"/>
      <c r="GE160" s="310"/>
      <c r="GF160" s="396"/>
      <c r="GG160" s="396"/>
      <c r="GH160" s="396"/>
      <c r="GI160" s="311"/>
      <c r="GJ160" s="344"/>
      <c r="GK160" s="303">
        <f t="shared" si="796"/>
        <v>0.99500000000000011</v>
      </c>
    </row>
    <row r="161" spans="2:193" s="115" customFormat="1" ht="15.6" customHeight="1" x14ac:dyDescent="0.2">
      <c r="B161" s="109"/>
      <c r="C161" s="110"/>
      <c r="D161" s="110"/>
      <c r="E161" s="111"/>
      <c r="F161" s="109"/>
      <c r="G161" s="110"/>
      <c r="H161" s="110"/>
      <c r="M161" s="111"/>
      <c r="N161" s="114" t="s">
        <v>21</v>
      </c>
      <c r="O161" s="114"/>
      <c r="P161" s="114">
        <f t="shared" si="816"/>
        <v>0</v>
      </c>
      <c r="Q161" s="114"/>
      <c r="R161" s="114"/>
      <c r="S161" s="114"/>
      <c r="T161" s="158">
        <f t="shared" ref="T161:AH161" si="961">SUM(T162:T178)-T163</f>
        <v>35</v>
      </c>
      <c r="U161" s="158">
        <f>U162+U163+U164+U165+U166+U167+U168+U169+U170+U171+U172+U174+U173+U175+U176+U177+U178</f>
        <v>1</v>
      </c>
      <c r="V161" s="57">
        <f t="shared" si="797"/>
        <v>52715.635999999991</v>
      </c>
      <c r="W161" s="57">
        <f t="shared" ref="W161:AA161" si="962">SUM(W162:W178)-W163</f>
        <v>2293.9369999999999</v>
      </c>
      <c r="X161" s="57">
        <f t="shared" si="962"/>
        <v>35343.599999999991</v>
      </c>
      <c r="Y161" s="57">
        <f t="shared" si="962"/>
        <v>11135.6</v>
      </c>
      <c r="Z161" s="57">
        <f t="shared" si="962"/>
        <v>24208.000000000004</v>
      </c>
      <c r="AA161" s="57">
        <f t="shared" si="962"/>
        <v>15078.099</v>
      </c>
      <c r="AB161" s="564">
        <f t="shared" si="961"/>
        <v>52715.635999999999</v>
      </c>
      <c r="AC161" s="564">
        <f t="shared" si="961"/>
        <v>2293.9369999999999</v>
      </c>
      <c r="AD161" s="564">
        <f t="shared" si="961"/>
        <v>35343.599999999991</v>
      </c>
      <c r="AE161" s="564">
        <f t="shared" si="961"/>
        <v>11135.6</v>
      </c>
      <c r="AF161" s="564">
        <f t="shared" si="961"/>
        <v>24208.000000000004</v>
      </c>
      <c r="AG161" s="564">
        <f t="shared" si="961"/>
        <v>15078.099</v>
      </c>
      <c r="AH161" s="564">
        <f t="shared" si="961"/>
        <v>0</v>
      </c>
      <c r="AI161" s="564">
        <f t="shared" ref="AI161:AM161" si="963">SUM(AI162:AI178)-AI163</f>
        <v>21839.518000000004</v>
      </c>
      <c r="AJ161" s="564">
        <f t="shared" si="963"/>
        <v>0</v>
      </c>
      <c r="AK161" s="564">
        <f t="shared" si="963"/>
        <v>10575.4</v>
      </c>
      <c r="AL161" s="564">
        <f t="shared" si="963"/>
        <v>11264.118</v>
      </c>
      <c r="AM161" s="564">
        <f t="shared" si="963"/>
        <v>0</v>
      </c>
      <c r="AN161" s="564">
        <f t="shared" ref="AN161:AR161" si="964">SUM(AN162:AN178)-AN163</f>
        <v>18825.400000000005</v>
      </c>
      <c r="AO161" s="564">
        <f t="shared" si="964"/>
        <v>0</v>
      </c>
      <c r="AP161" s="564">
        <f t="shared" si="964"/>
        <v>10575.4</v>
      </c>
      <c r="AQ161" s="564">
        <f t="shared" si="964"/>
        <v>8250</v>
      </c>
      <c r="AR161" s="564">
        <f t="shared" si="964"/>
        <v>0</v>
      </c>
      <c r="AS161" s="566">
        <f t="shared" ref="AS161:AW161" si="965">SUM(AS162:AS178)-AS163</f>
        <v>12848</v>
      </c>
      <c r="AT161" s="564">
        <f t="shared" si="965"/>
        <v>0</v>
      </c>
      <c r="AU161" s="564">
        <f t="shared" si="965"/>
        <v>4598</v>
      </c>
      <c r="AV161" s="564">
        <f t="shared" si="965"/>
        <v>8250</v>
      </c>
      <c r="AW161" s="564">
        <f t="shared" si="965"/>
        <v>0</v>
      </c>
      <c r="AX161" s="565"/>
      <c r="AY161" s="564">
        <f t="shared" ref="AY161:BD161" si="966">SUM(AY162:AY178)-AY163</f>
        <v>51826.210630000001</v>
      </c>
      <c r="AZ161" s="564">
        <f t="shared" si="966"/>
        <v>2293.9369999999999</v>
      </c>
      <c r="BA161" s="564">
        <f t="shared" si="966"/>
        <v>34721.23887999999</v>
      </c>
      <c r="BB161" s="564">
        <f t="shared" ref="BB161:BC161" si="967">SUM(BB162:BB178)-BB163</f>
        <v>10513.238880000001</v>
      </c>
      <c r="BC161" s="564">
        <f t="shared" si="967"/>
        <v>24208.000000000004</v>
      </c>
      <c r="BD161" s="564">
        <f t="shared" si="966"/>
        <v>14811.034750000001</v>
      </c>
      <c r="BE161" s="564">
        <f>SUM(BE162:BE178)-BE163</f>
        <v>0</v>
      </c>
      <c r="BF161" s="564">
        <f t="shared" si="798"/>
        <v>889.42536999999902</v>
      </c>
      <c r="BG161" s="564">
        <f t="shared" si="799"/>
        <v>0</v>
      </c>
      <c r="BH161" s="564">
        <f t="shared" si="800"/>
        <v>622.36111999999957</v>
      </c>
      <c r="BI161" s="564">
        <f t="shared" si="801"/>
        <v>622.36111999999957</v>
      </c>
      <c r="BJ161" s="564">
        <f t="shared" si="802"/>
        <v>0</v>
      </c>
      <c r="BK161" s="564">
        <f t="shared" si="803"/>
        <v>267.06424999999945</v>
      </c>
      <c r="BL161" s="564" t="e">
        <f t="shared" ref="BL161:BQ161" si="968">SUM(BL162:BL178)-BL163</f>
        <v>#REF!</v>
      </c>
      <c r="BM161" s="564">
        <f t="shared" si="968"/>
        <v>21689.940000000006</v>
      </c>
      <c r="BN161" s="564">
        <f t="shared" si="968"/>
        <v>0</v>
      </c>
      <c r="BO161" s="564">
        <f t="shared" si="968"/>
        <v>10426.159999999998</v>
      </c>
      <c r="BP161" s="564">
        <f t="shared" si="968"/>
        <v>11263.779999999999</v>
      </c>
      <c r="BQ161" s="564">
        <f t="shared" si="968"/>
        <v>0</v>
      </c>
      <c r="BR161" s="564">
        <f t="shared" ref="BR161:DB161" si="969">SUM(BR162:BR178)-BR163</f>
        <v>0</v>
      </c>
      <c r="BS161" s="564">
        <f t="shared" si="969"/>
        <v>0</v>
      </c>
      <c r="BT161" s="564">
        <f t="shared" si="969"/>
        <v>0</v>
      </c>
      <c r="BU161" s="564">
        <f t="shared" si="969"/>
        <v>0</v>
      </c>
      <c r="BV161" s="564">
        <f t="shared" si="969"/>
        <v>0</v>
      </c>
      <c r="BW161" s="564">
        <f t="shared" si="969"/>
        <v>43839.824239999994</v>
      </c>
      <c r="BX161" s="564">
        <f t="shared" si="969"/>
        <v>2293.9369999999999</v>
      </c>
      <c r="BY161" s="564">
        <f t="shared" si="804"/>
        <v>29432.090459999996</v>
      </c>
      <c r="BZ161" s="564">
        <f t="shared" si="969"/>
        <v>8948.2095799999988</v>
      </c>
      <c r="CA161" s="564">
        <f t="shared" si="969"/>
        <v>20483.880879999997</v>
      </c>
      <c r="CB161" s="564">
        <f t="shared" si="969"/>
        <v>12113.796780000001</v>
      </c>
      <c r="CC161" s="564">
        <f t="shared" si="969"/>
        <v>0</v>
      </c>
      <c r="CD161" s="564">
        <f t="shared" si="969"/>
        <v>43839.824239999994</v>
      </c>
      <c r="CE161" s="564">
        <f t="shared" ref="CE161" si="970">SUM(CE162:CE178)-CE163</f>
        <v>2293.9369999999999</v>
      </c>
      <c r="CF161" s="564">
        <f t="shared" si="805"/>
        <v>29432.090459999996</v>
      </c>
      <c r="CG161" s="564">
        <f t="shared" ref="CG161:CH161" si="971">SUM(CG162:CG178)-CG163</f>
        <v>8948.2095799999988</v>
      </c>
      <c r="CH161" s="564">
        <f t="shared" si="971"/>
        <v>20483.880879999997</v>
      </c>
      <c r="CI161" s="564">
        <f t="shared" ref="CI161" si="972">SUM(CI162:CI178)-CI163</f>
        <v>12113.796780000001</v>
      </c>
      <c r="CJ161" s="564">
        <f t="shared" si="969"/>
        <v>0</v>
      </c>
      <c r="CK161" s="566">
        <f t="shared" si="969"/>
        <v>16451.041960000002</v>
      </c>
      <c r="CL161" s="564">
        <f t="shared" si="969"/>
        <v>175.54578000000001</v>
      </c>
      <c r="CM161" s="564">
        <f>SUM(CM162:CM178)</f>
        <v>14767.115140000004</v>
      </c>
      <c r="CN161" s="564">
        <f t="shared" si="969"/>
        <v>1277.0364300000001</v>
      </c>
      <c r="CO161" s="564">
        <f t="shared" si="969"/>
        <v>2288.8728099999998</v>
      </c>
      <c r="CP161" s="564">
        <f t="shared" si="969"/>
        <v>1508.38104</v>
      </c>
      <c r="CQ161" s="564">
        <f t="shared" si="969"/>
        <v>0</v>
      </c>
      <c r="CR161" s="564">
        <f t="shared" si="969"/>
        <v>60290.866200000011</v>
      </c>
      <c r="CS161" s="564">
        <f t="shared" si="807"/>
        <v>60290.866200000004</v>
      </c>
      <c r="CT161" s="564">
        <f t="shared" si="808"/>
        <v>2469.4827799999998</v>
      </c>
      <c r="CU161" s="564">
        <f t="shared" si="809"/>
        <v>44199.205600000001</v>
      </c>
      <c r="CV161" s="564">
        <f t="shared" si="810"/>
        <v>13622.177820000001</v>
      </c>
      <c r="CW161" s="564">
        <f t="shared" si="969"/>
        <v>0</v>
      </c>
      <c r="CX161" s="564">
        <f t="shared" ca="1" si="899"/>
        <v>0</v>
      </c>
      <c r="CY161" s="564">
        <f t="shared" si="811"/>
        <v>0</v>
      </c>
      <c r="CZ161" s="564">
        <f t="shared" si="812"/>
        <v>0</v>
      </c>
      <c r="DA161" s="564">
        <f t="shared" si="813"/>
        <v>0</v>
      </c>
      <c r="DB161" s="57">
        <f t="shared" si="969"/>
        <v>0</v>
      </c>
      <c r="DC161" s="225">
        <f>DD161+DF161-BR161</f>
        <v>21689.940000000006</v>
      </c>
      <c r="DD161" s="226">
        <f t="shared" ref="DD161:DX161" si="973">SUM(DD162:DD178)-DD163</f>
        <v>21689.940000000006</v>
      </c>
      <c r="DE161" s="226">
        <f t="shared" si="973"/>
        <v>21689.940000000006</v>
      </c>
      <c r="DF161" s="57">
        <f t="shared" si="973"/>
        <v>0</v>
      </c>
      <c r="DG161" s="57">
        <f t="shared" si="973"/>
        <v>0</v>
      </c>
      <c r="DH161" s="57">
        <f t="shared" si="973"/>
        <v>0</v>
      </c>
      <c r="DI161" s="57">
        <f t="shared" si="973"/>
        <v>0</v>
      </c>
      <c r="DJ161" s="57">
        <f t="shared" si="973"/>
        <v>0</v>
      </c>
      <c r="DK161" s="57">
        <f t="shared" si="973"/>
        <v>0</v>
      </c>
      <c r="DL161" s="57">
        <f t="shared" si="973"/>
        <v>0</v>
      </c>
      <c r="DM161" s="57">
        <f t="shared" si="973"/>
        <v>0</v>
      </c>
      <c r="DN161" s="57">
        <f t="shared" si="973"/>
        <v>0</v>
      </c>
      <c r="DO161" s="57">
        <f t="shared" si="973"/>
        <v>0</v>
      </c>
      <c r="DP161" s="57">
        <f t="shared" si="973"/>
        <v>0</v>
      </c>
      <c r="DQ161" s="57">
        <f t="shared" si="973"/>
        <v>0</v>
      </c>
      <c r="DR161" s="57">
        <f t="shared" si="973"/>
        <v>0</v>
      </c>
      <c r="DS161" s="57">
        <f t="shared" si="973"/>
        <v>0</v>
      </c>
      <c r="DT161" s="57">
        <f t="shared" si="973"/>
        <v>0</v>
      </c>
      <c r="DU161" s="57">
        <f t="shared" si="973"/>
        <v>0</v>
      </c>
      <c r="DV161" s="57">
        <f t="shared" si="973"/>
        <v>0</v>
      </c>
      <c r="DW161" s="57">
        <f t="shared" si="973"/>
        <v>0</v>
      </c>
      <c r="DX161" s="57">
        <f t="shared" ca="1" si="973"/>
        <v>0</v>
      </c>
      <c r="DY161" s="124"/>
      <c r="DZ161" s="57">
        <f>SUM(DZ162:DZ178)-DZ163</f>
        <v>43839.824239999994</v>
      </c>
      <c r="EA161" s="57">
        <f>SUM(EA162:EA178)-EA163</f>
        <v>43839.824239999994</v>
      </c>
      <c r="EB161" s="124"/>
      <c r="EC161" s="57">
        <f>SUM(EC162:EC178)-EC163</f>
        <v>43839.824239999994</v>
      </c>
      <c r="ED161" s="57">
        <f ca="1">SUM(ED162:ED178)-ED163</f>
        <v>0</v>
      </c>
      <c r="EE161" s="124"/>
      <c r="EF161" s="57">
        <f>SUM(EF162:EF178)-EF163</f>
        <v>-22149.884239999988</v>
      </c>
      <c r="EG161" s="124">
        <f ca="1">DX161-EF161</f>
        <v>22149.884239999988</v>
      </c>
      <c r="EH161" s="124"/>
      <c r="EI161" s="57">
        <f t="shared" si="794"/>
        <v>43839.824240000002</v>
      </c>
      <c r="EJ161" s="57">
        <f t="shared" ref="EJ161:EN161" si="974">SUM(EJ162:EJ178)-EJ163</f>
        <v>2293.9369999999999</v>
      </c>
      <c r="EK161" s="57">
        <f t="shared" si="814"/>
        <v>29432.090459999996</v>
      </c>
      <c r="EL161" s="57">
        <f t="shared" ref="EL161:EM161" si="975">SUM(EL162:EL178)-EL163</f>
        <v>8948.2095799999988</v>
      </c>
      <c r="EM161" s="57">
        <f t="shared" si="975"/>
        <v>20483.880879999997</v>
      </c>
      <c r="EN161" s="57">
        <f t="shared" si="974"/>
        <v>12113.796780000001</v>
      </c>
      <c r="EO161" s="57">
        <f t="shared" ref="EO161" si="976">SUM(EO162:EO178)-EO163</f>
        <v>0</v>
      </c>
      <c r="EP161" s="57">
        <f t="shared" si="795"/>
        <v>16451.041960000002</v>
      </c>
      <c r="EQ161" s="57">
        <f t="shared" ref="EQ161" si="977">SUM(EQ162:EQ178)-EQ163</f>
        <v>175.54578000000001</v>
      </c>
      <c r="ER161" s="57">
        <f>SUM(ER162:ER178)</f>
        <v>14767.115140000004</v>
      </c>
      <c r="ES161" s="57">
        <f t="shared" ref="ES161:EU161" si="978">SUM(ES162:ES178)-ES163</f>
        <v>5904.3362800000004</v>
      </c>
      <c r="ET161" s="57">
        <f t="shared" si="978"/>
        <v>8862.7278310000002</v>
      </c>
      <c r="EU161" s="57">
        <f t="shared" si="978"/>
        <v>1508.38104</v>
      </c>
      <c r="EV161" s="140">
        <f t="shared" ref="EV161" si="979">SUM(EV162:EV178)-EV163</f>
        <v>0</v>
      </c>
      <c r="EW161" s="57">
        <f t="shared" ref="EW161:EW197" si="980">EX161+EY161+EZ161</f>
        <v>2293.9369999999999</v>
      </c>
      <c r="EX161" s="57">
        <f>AZ161</f>
        <v>2293.9369999999999</v>
      </c>
      <c r="EY161" s="57">
        <f t="shared" ref="EY161" si="981">SUM(EY162:EY178)-EY163</f>
        <v>0</v>
      </c>
      <c r="EZ161" s="390"/>
      <c r="FA161" s="390"/>
      <c r="FB161" s="57">
        <f t="shared" si="841"/>
        <v>2469.4827799999998</v>
      </c>
      <c r="FC161" s="57">
        <f>SUM(FC162:FC178)</f>
        <v>2293.9369999999999</v>
      </c>
      <c r="FD161" s="57">
        <f>SUM(FD162:FD178)</f>
        <v>175.54578000000001</v>
      </c>
      <c r="FE161" s="390"/>
      <c r="FF161" s="390"/>
      <c r="FG161" s="390"/>
      <c r="FH161" s="304">
        <f t="shared" ref="FH161" si="982">SUM(FH162:FH178)</f>
        <v>2469.4827799999998</v>
      </c>
      <c r="FI161" s="57">
        <f t="shared" si="843"/>
        <v>2469.4827799999998</v>
      </c>
      <c r="FJ161" s="295"/>
      <c r="FK161" s="57">
        <f t="shared" si="817"/>
        <v>34721.23887999999</v>
      </c>
      <c r="FL161" s="57">
        <f t="shared" si="948"/>
        <v>34721.23887999999</v>
      </c>
      <c r="FM161" s="57">
        <f t="shared" ref="FM161" si="983">SUM(FM162:FM178)-FM163</f>
        <v>0</v>
      </c>
      <c r="FN161" s="390"/>
      <c r="FO161" s="390"/>
      <c r="FP161" s="57">
        <f t="shared" si="818"/>
        <v>44199.205600000008</v>
      </c>
      <c r="FQ161" s="57">
        <f>SUM(FQ162:FQ178)</f>
        <v>29432.090460000003</v>
      </c>
      <c r="FR161" s="57">
        <f>SUM(FR162:FR178)</f>
        <v>14767.115140000004</v>
      </c>
      <c r="FS161" s="390"/>
      <c r="FT161" s="390"/>
      <c r="FU161" s="390"/>
      <c r="FV161" s="57">
        <f t="shared" ref="FV161" si="984">SUM(FV162:FV178)</f>
        <v>44199.205600000008</v>
      </c>
      <c r="FW161" s="57">
        <f t="shared" si="819"/>
        <v>-14767.115140000005</v>
      </c>
      <c r="FX161" s="57">
        <f t="shared" ref="FX161" si="985">FY161+FZ161+GA161</f>
        <v>14811.034750000001</v>
      </c>
      <c r="FY161" s="57">
        <f>BD161</f>
        <v>14811.034750000001</v>
      </c>
      <c r="FZ161" s="57">
        <f t="shared" ref="FZ161" si="986">SUM(FZ162:FZ178)-FZ163</f>
        <v>0</v>
      </c>
      <c r="GA161" s="390"/>
      <c r="GB161" s="390"/>
      <c r="GC161" s="57">
        <f t="shared" si="847"/>
        <v>13622.177820000001</v>
      </c>
      <c r="GD161" s="57">
        <f t="shared" si="900"/>
        <v>12113.796780000001</v>
      </c>
      <c r="GE161" s="57">
        <f t="shared" si="901"/>
        <v>1508.38104</v>
      </c>
      <c r="GF161" s="390"/>
      <c r="GG161" s="390"/>
      <c r="GH161" s="390"/>
      <c r="GI161" s="304">
        <f t="shared" si="637"/>
        <v>0</v>
      </c>
      <c r="GJ161" s="77">
        <f t="shared" si="848"/>
        <v>12113.796780000001</v>
      </c>
      <c r="GK161" s="462">
        <f t="shared" si="796"/>
        <v>0.83162848002061462</v>
      </c>
    </row>
    <row r="162" spans="2:193" s="37" customFormat="1" ht="15.75" customHeight="1" x14ac:dyDescent="0.25">
      <c r="B162" s="29">
        <v>1</v>
      </c>
      <c r="C162" s="30"/>
      <c r="D162" s="30"/>
      <c r="E162" s="493">
        <v>133</v>
      </c>
      <c r="F162" s="29">
        <v>1</v>
      </c>
      <c r="G162" s="30"/>
      <c r="H162" s="30">
        <v>1</v>
      </c>
      <c r="M162" s="493">
        <v>111</v>
      </c>
      <c r="N162" s="494" t="s">
        <v>229</v>
      </c>
      <c r="O162" s="494"/>
      <c r="P162" s="494">
        <f t="shared" si="816"/>
        <v>0</v>
      </c>
      <c r="Q162" s="494" t="s">
        <v>706</v>
      </c>
      <c r="R162" s="494" t="s">
        <v>699</v>
      </c>
      <c r="S162" s="494" t="s">
        <v>664</v>
      </c>
      <c r="T162" s="156">
        <v>2</v>
      </c>
      <c r="U162" s="493"/>
      <c r="V162" s="2">
        <f t="shared" si="797"/>
        <v>2886.7</v>
      </c>
      <c r="W162" s="2"/>
      <c r="X162" s="198">
        <f t="shared" si="605"/>
        <v>2886.7</v>
      </c>
      <c r="Y162" s="198">
        <v>909.5</v>
      </c>
      <c r="Z162" s="198">
        <v>1977.2</v>
      </c>
      <c r="AA162" s="236"/>
      <c r="AB162" s="567">
        <f t="shared" ref="AB162:AB178" si="987">AC162+AD162+AG162+AH162</f>
        <v>2886.7</v>
      </c>
      <c r="AC162" s="567"/>
      <c r="AD162" s="568">
        <f t="shared" si="606"/>
        <v>2886.7</v>
      </c>
      <c r="AE162" s="568">
        <v>909.5</v>
      </c>
      <c r="AF162" s="568">
        <v>1977.2</v>
      </c>
      <c r="AG162" s="577"/>
      <c r="AH162" s="573"/>
      <c r="AI162" s="567">
        <f t="shared" ref="AI162:AI178" si="988">AJ162+AK162+AL162+AM162</f>
        <v>5681.1</v>
      </c>
      <c r="AJ162" s="567"/>
      <c r="AK162" s="568">
        <v>1051.0999999999999</v>
      </c>
      <c r="AL162" s="570">
        <v>4630</v>
      </c>
      <c r="AM162" s="573"/>
      <c r="AN162" s="567">
        <f t="shared" ref="AN162:AN178" si="989">AO162+AP162+AQ162+AR162</f>
        <v>1051.0999999999999</v>
      </c>
      <c r="AO162" s="567"/>
      <c r="AP162" s="568">
        <v>1051.0999999999999</v>
      </c>
      <c r="AQ162" s="570"/>
      <c r="AR162" s="573"/>
      <c r="AS162" s="567">
        <f t="shared" ref="AS162:AS178" si="990">AT162+AU162+AV162+AW162</f>
        <v>453</v>
      </c>
      <c r="AT162" s="567"/>
      <c r="AU162" s="568">
        <v>453</v>
      </c>
      <c r="AV162" s="570"/>
      <c r="AW162" s="603"/>
      <c r="AX162" s="410" t="s">
        <v>663</v>
      </c>
      <c r="AY162" s="567">
        <f t="shared" ref="AY162:AY178" si="991">AZ162+BA162+BD162+BE162</f>
        <v>2886.7</v>
      </c>
      <c r="AZ162" s="567"/>
      <c r="BA162" s="568">
        <f t="shared" ref="BA162:BA178" si="992">BB162+BC162</f>
        <v>2886.7</v>
      </c>
      <c r="BB162" s="568">
        <v>909.5</v>
      </c>
      <c r="BC162" s="568">
        <v>1977.2</v>
      </c>
      <c r="BD162" s="577"/>
      <c r="BE162" s="567"/>
      <c r="BF162" s="567">
        <f t="shared" si="798"/>
        <v>0</v>
      </c>
      <c r="BG162" s="567">
        <f t="shared" si="799"/>
        <v>0</v>
      </c>
      <c r="BH162" s="567">
        <f t="shared" si="800"/>
        <v>0</v>
      </c>
      <c r="BI162" s="567">
        <f t="shared" si="801"/>
        <v>0</v>
      </c>
      <c r="BJ162" s="567">
        <f t="shared" si="802"/>
        <v>0</v>
      </c>
      <c r="BK162" s="567">
        <f t="shared" si="803"/>
        <v>0</v>
      </c>
      <c r="BL162" s="567" t="e">
        <f>#REF!-BE162</f>
        <v>#REF!</v>
      </c>
      <c r="BM162" s="567">
        <f t="shared" ref="BM162:BM178" si="993">BN162+BO162+BP162+BQ162</f>
        <v>5681.1</v>
      </c>
      <c r="BN162" s="567"/>
      <c r="BO162" s="568">
        <f>330+721.1</f>
        <v>1051.0999999999999</v>
      </c>
      <c r="BP162" s="570">
        <v>4630</v>
      </c>
      <c r="BQ162" s="567"/>
      <c r="BR162" s="567">
        <f t="shared" ref="BR162:BR178" si="994">BS162+BT162+BU162+BV162</f>
        <v>0</v>
      </c>
      <c r="BS162" s="567"/>
      <c r="BT162" s="568"/>
      <c r="BU162" s="570"/>
      <c r="BV162" s="567"/>
      <c r="BW162" s="567">
        <f t="shared" ref="BW162:BW178" si="995">BX162+BY162+CB162+CC162</f>
        <v>2876.4261700000002</v>
      </c>
      <c r="BX162" s="567"/>
      <c r="BY162" s="578">
        <f t="shared" si="804"/>
        <v>2876.4261700000002</v>
      </c>
      <c r="BZ162" s="578">
        <v>909.11216999999999</v>
      </c>
      <c r="CA162" s="578">
        <v>1967.3140000000001</v>
      </c>
      <c r="CB162" s="570"/>
      <c r="CC162" s="567"/>
      <c r="CD162" s="567">
        <f t="shared" ref="CD162:CD178" si="996">CE162+CF162+CI162+CJ162</f>
        <v>2876.4261700000002</v>
      </c>
      <c r="CE162" s="567"/>
      <c r="CF162" s="578">
        <f t="shared" si="805"/>
        <v>2876.4261700000002</v>
      </c>
      <c r="CG162" s="578">
        <v>909.11216999999999</v>
      </c>
      <c r="CH162" s="578">
        <v>1967.3140000000001</v>
      </c>
      <c r="CI162" s="570"/>
      <c r="CJ162" s="567"/>
      <c r="CK162" s="567">
        <f t="shared" si="934"/>
        <v>2947.7056400000001</v>
      </c>
      <c r="CL162" s="567"/>
      <c r="CM162" s="567">
        <v>2947.7056400000001</v>
      </c>
      <c r="CN162" s="567"/>
      <c r="CO162" s="567">
        <v>1512.7394099999999</v>
      </c>
      <c r="CP162" s="567"/>
      <c r="CQ162" s="567"/>
      <c r="CR162" s="573">
        <f t="shared" ref="CR162:CR178" si="997">CS162</f>
        <v>5824.1318100000008</v>
      </c>
      <c r="CS162" s="567">
        <f t="shared" si="807"/>
        <v>5824.1318100000008</v>
      </c>
      <c r="CT162" s="567">
        <f t="shared" si="808"/>
        <v>0</v>
      </c>
      <c r="CU162" s="567">
        <f t="shared" si="809"/>
        <v>5824.1318100000008</v>
      </c>
      <c r="CV162" s="567">
        <f t="shared" si="810"/>
        <v>0</v>
      </c>
      <c r="CW162" s="567">
        <f t="shared" ref="CW162:CW178" si="998">CJ162+CQ162</f>
        <v>0</v>
      </c>
      <c r="CX162" s="567">
        <f t="shared" ca="1" si="899"/>
        <v>0</v>
      </c>
      <c r="CY162" s="567">
        <f t="shared" si="811"/>
        <v>0</v>
      </c>
      <c r="CZ162" s="567">
        <f t="shared" si="812"/>
        <v>0</v>
      </c>
      <c r="DA162" s="567">
        <f t="shared" si="813"/>
        <v>0</v>
      </c>
      <c r="DB162" s="2">
        <f t="shared" ref="DB162:DB178" si="999">CC162-CJ162</f>
        <v>0</v>
      </c>
      <c r="DC162" s="76"/>
      <c r="DD162" s="253">
        <f>BM162</f>
        <v>5681.1</v>
      </c>
      <c r="DE162" s="253">
        <f>DD162</f>
        <v>5681.1</v>
      </c>
      <c r="DF162" s="2">
        <f t="shared" ref="DF162:DF178" si="1000">DG162+DH162+DI162+DJ162</f>
        <v>0</v>
      </c>
      <c r="DG162" s="2"/>
      <c r="DH162" s="198"/>
      <c r="DI162" s="234"/>
      <c r="DJ162" s="2"/>
      <c r="DK162" s="2">
        <f t="shared" ref="DK162:DK178" si="1001">DL162+DM162+DN162+DO162</f>
        <v>0</v>
      </c>
      <c r="DL162" s="2"/>
      <c r="DM162" s="198"/>
      <c r="DN162" s="234"/>
      <c r="DO162" s="2"/>
      <c r="DP162" s="2">
        <f t="shared" ref="DP162:DP178" si="1002">DQ162+DR162+DS162+DT162</f>
        <v>0</v>
      </c>
      <c r="DQ162" s="2">
        <f t="shared" ref="DQ162:DT178" si="1003">DG162-DL162</f>
        <v>0</v>
      </c>
      <c r="DR162" s="2">
        <f t="shared" si="1003"/>
        <v>0</v>
      </c>
      <c r="DS162" s="2">
        <f t="shared" si="1003"/>
        <v>0</v>
      </c>
      <c r="DT162" s="2">
        <f t="shared" si="1003"/>
        <v>0</v>
      </c>
      <c r="DU162" s="2"/>
      <c r="DV162" s="2"/>
      <c r="DW162" s="2"/>
      <c r="DX162" s="2">
        <f t="shared" ref="DX162:DX178" ca="1" si="1004">CX162+DP162+DW162</f>
        <v>0</v>
      </c>
      <c r="DY162" s="46"/>
      <c r="DZ162" s="2">
        <f t="shared" ref="DZ162:DZ178" si="1005">BW162+DF162+DU162</f>
        <v>2876.4261700000002</v>
      </c>
      <c r="EA162" s="2">
        <f t="shared" ref="EA162:EA178" si="1006">CD162+DK162+DV162</f>
        <v>2876.4261700000002</v>
      </c>
      <c r="EB162" s="46"/>
      <c r="EC162" s="2">
        <f t="shared" ref="EC162:EC163" si="1007">EA162</f>
        <v>2876.4261700000002</v>
      </c>
      <c r="ED162" s="2">
        <f t="shared" ref="ED162:ED163" ca="1" si="1008">DX162</f>
        <v>0</v>
      </c>
      <c r="EE162" s="46"/>
      <c r="EF162" s="2">
        <f>DE162-EC162</f>
        <v>2804.6738300000002</v>
      </c>
      <c r="EG162" s="46"/>
      <c r="EH162" s="46"/>
      <c r="EI162" s="2">
        <f t="shared" si="794"/>
        <v>2876.4261700000002</v>
      </c>
      <c r="EJ162" s="2"/>
      <c r="EK162" s="433">
        <f t="shared" si="814"/>
        <v>2876.4261700000002</v>
      </c>
      <c r="EL162" s="433">
        <v>909.11216999999999</v>
      </c>
      <c r="EM162" s="433">
        <v>1967.3140000000001</v>
      </c>
      <c r="EN162" s="234"/>
      <c r="EO162" s="2"/>
      <c r="EP162" s="2">
        <f t="shared" si="795"/>
        <v>2947.7056400000001</v>
      </c>
      <c r="EQ162" s="2"/>
      <c r="ER162" s="2">
        <v>2947.7056400000001</v>
      </c>
      <c r="ES162" s="2">
        <v>1434.96623</v>
      </c>
      <c r="ET162" s="2">
        <v>1512.7394099999999</v>
      </c>
      <c r="EU162" s="2"/>
      <c r="EV162" s="141"/>
      <c r="EW162" s="310"/>
      <c r="EX162" s="310"/>
      <c r="EY162" s="310"/>
      <c r="EZ162" s="396"/>
      <c r="FA162" s="396"/>
      <c r="FB162" s="310"/>
      <c r="FC162" s="310"/>
      <c r="FD162" s="310"/>
      <c r="FE162" s="396"/>
      <c r="FF162" s="396"/>
      <c r="FG162" s="396"/>
      <c r="FH162" s="311"/>
      <c r="FI162" s="310"/>
      <c r="FJ162" s="296" t="e">
        <f t="shared" ref="FJ162:FJ178" si="1009">FH162/FE162</f>
        <v>#DIV/0!</v>
      </c>
      <c r="FK162" s="353">
        <f t="shared" si="817"/>
        <v>2886.7</v>
      </c>
      <c r="FL162" s="353">
        <f t="shared" si="948"/>
        <v>2886.7</v>
      </c>
      <c r="FM162" s="353"/>
      <c r="FN162" s="388">
        <f t="shared" ref="FN162:FN177" si="1010">FL162/FK162</f>
        <v>1</v>
      </c>
      <c r="FO162" s="388">
        <f t="shared" ref="FO162:FO177" si="1011">FM162/FK162</f>
        <v>0</v>
      </c>
      <c r="FP162" s="353">
        <f t="shared" si="818"/>
        <v>5824.1318100000008</v>
      </c>
      <c r="FQ162" s="353">
        <f t="shared" ref="FQ162:FQ177" si="1012">EK162</f>
        <v>2876.4261700000002</v>
      </c>
      <c r="FR162" s="353">
        <f t="shared" ref="FR162:FR177" si="1013">ER162</f>
        <v>2947.7056400000001</v>
      </c>
      <c r="FS162" s="388">
        <f t="shared" ref="FS162:FS177" si="1014">FQ162/FP162</f>
        <v>0.49388067850064676</v>
      </c>
      <c r="FT162" s="388">
        <f t="shared" ref="FT162:FT177" si="1015">FR162/FP162</f>
        <v>0.50611932149935313</v>
      </c>
      <c r="FU162" s="388"/>
      <c r="FV162" s="353">
        <f t="shared" ref="FV162:FV177" si="1016">FP162*FN162</f>
        <v>5824.1318100000008</v>
      </c>
      <c r="FW162" s="353">
        <f t="shared" si="819"/>
        <v>-2947.7056400000006</v>
      </c>
      <c r="FX162" s="310">
        <f t="shared" ref="FX162" si="1017">FY162+FZ162</f>
        <v>0</v>
      </c>
      <c r="FY162" s="310">
        <f>BD162</f>
        <v>0</v>
      </c>
      <c r="FZ162" s="310"/>
      <c r="GA162" s="396" t="e">
        <f t="shared" ref="GA162" si="1018">FY162/FX162</f>
        <v>#DIV/0!</v>
      </c>
      <c r="GB162" s="396" t="e">
        <f t="shared" ref="GB162" si="1019">FZ162/FX162</f>
        <v>#DIV/0!</v>
      </c>
      <c r="GC162" s="310">
        <f t="shared" si="847"/>
        <v>0</v>
      </c>
      <c r="GD162" s="310">
        <f t="shared" si="900"/>
        <v>0</v>
      </c>
      <c r="GE162" s="310">
        <f t="shared" si="901"/>
        <v>0</v>
      </c>
      <c r="GF162" s="396" t="e">
        <f t="shared" ref="GF162" si="1020">GD162/GC162</f>
        <v>#DIV/0!</v>
      </c>
      <c r="GG162" s="396" t="e">
        <f t="shared" ref="GG162" si="1021">GE162/GC162</f>
        <v>#DIV/0!</v>
      </c>
      <c r="GH162" s="396"/>
      <c r="GI162" s="311" t="e">
        <f t="shared" si="637"/>
        <v>#DIV/0!</v>
      </c>
      <c r="GJ162" s="344" t="e">
        <f t="shared" si="848"/>
        <v>#DIV/0!</v>
      </c>
      <c r="GK162" s="303">
        <f t="shared" si="796"/>
        <v>0.99644097758686401</v>
      </c>
    </row>
    <row r="163" spans="2:193" s="37" customFormat="1" ht="15.75" hidden="1" customHeight="1" x14ac:dyDescent="0.25">
      <c r="B163" s="29"/>
      <c r="C163" s="30"/>
      <c r="D163" s="30"/>
      <c r="E163" s="493"/>
      <c r="F163" s="29"/>
      <c r="G163" s="30"/>
      <c r="H163" s="30"/>
      <c r="M163" s="493"/>
      <c r="N163" s="18" t="s">
        <v>246</v>
      </c>
      <c r="O163" s="128"/>
      <c r="P163" s="128">
        <f t="shared" si="816"/>
        <v>0</v>
      </c>
      <c r="Q163" s="128"/>
      <c r="R163" s="128"/>
      <c r="S163" s="128"/>
      <c r="T163" s="128"/>
      <c r="U163" s="128"/>
      <c r="V163" s="2">
        <f t="shared" si="797"/>
        <v>0</v>
      </c>
      <c r="W163" s="2"/>
      <c r="X163" s="198">
        <f t="shared" si="605"/>
        <v>0</v>
      </c>
      <c r="Y163" s="233"/>
      <c r="Z163" s="43"/>
      <c r="AA163" s="2"/>
      <c r="AB163" s="567">
        <f t="shared" si="987"/>
        <v>0</v>
      </c>
      <c r="AC163" s="567"/>
      <c r="AD163" s="568">
        <f t="shared" si="606"/>
        <v>0</v>
      </c>
      <c r="AE163" s="575"/>
      <c r="AF163" s="576"/>
      <c r="AG163" s="567"/>
      <c r="AH163" s="573"/>
      <c r="AI163" s="567">
        <f t="shared" si="988"/>
        <v>0</v>
      </c>
      <c r="AJ163" s="567"/>
      <c r="AK163" s="575"/>
      <c r="AL163" s="567"/>
      <c r="AM163" s="573"/>
      <c r="AN163" s="567">
        <f t="shared" si="989"/>
        <v>0</v>
      </c>
      <c r="AO163" s="567"/>
      <c r="AP163" s="575"/>
      <c r="AQ163" s="567"/>
      <c r="AR163" s="573"/>
      <c r="AS163" s="567">
        <f t="shared" si="990"/>
        <v>0</v>
      </c>
      <c r="AT163" s="567"/>
      <c r="AU163" s="575"/>
      <c r="AV163" s="567"/>
      <c r="AW163" s="603"/>
      <c r="AX163" s="410"/>
      <c r="AY163" s="567">
        <f t="shared" si="991"/>
        <v>0</v>
      </c>
      <c r="AZ163" s="567"/>
      <c r="BA163" s="596">
        <f t="shared" si="992"/>
        <v>0</v>
      </c>
      <c r="BB163" s="575"/>
      <c r="BC163" s="576"/>
      <c r="BD163" s="567"/>
      <c r="BE163" s="567"/>
      <c r="BF163" s="567">
        <f t="shared" si="798"/>
        <v>0</v>
      </c>
      <c r="BG163" s="567">
        <f t="shared" si="799"/>
        <v>0</v>
      </c>
      <c r="BH163" s="567">
        <f t="shared" si="800"/>
        <v>0</v>
      </c>
      <c r="BI163" s="567">
        <f t="shared" si="801"/>
        <v>0</v>
      </c>
      <c r="BJ163" s="567">
        <f t="shared" si="802"/>
        <v>0</v>
      </c>
      <c r="BK163" s="567">
        <f t="shared" si="803"/>
        <v>0</v>
      </c>
      <c r="BL163" s="567" t="e">
        <f>#REF!-BE163</f>
        <v>#REF!</v>
      </c>
      <c r="BM163" s="567">
        <f t="shared" si="993"/>
        <v>0</v>
      </c>
      <c r="BN163" s="567"/>
      <c r="BO163" s="575"/>
      <c r="BP163" s="567"/>
      <c r="BQ163" s="567"/>
      <c r="BR163" s="567">
        <f t="shared" si="994"/>
        <v>0</v>
      </c>
      <c r="BS163" s="567"/>
      <c r="BT163" s="575"/>
      <c r="BU163" s="567"/>
      <c r="BV163" s="567"/>
      <c r="BW163" s="567">
        <f t="shared" si="995"/>
        <v>0</v>
      </c>
      <c r="BX163" s="567"/>
      <c r="BY163" s="597">
        <f t="shared" si="804"/>
        <v>0</v>
      </c>
      <c r="BZ163" s="598"/>
      <c r="CA163" s="598"/>
      <c r="CB163" s="567"/>
      <c r="CC163" s="567"/>
      <c r="CD163" s="567">
        <f t="shared" si="996"/>
        <v>0</v>
      </c>
      <c r="CE163" s="567"/>
      <c r="CF163" s="597">
        <f t="shared" si="805"/>
        <v>0</v>
      </c>
      <c r="CG163" s="598"/>
      <c r="CH163" s="598"/>
      <c r="CI163" s="567"/>
      <c r="CJ163" s="567"/>
      <c r="CK163" s="567">
        <f t="shared" si="934"/>
        <v>0</v>
      </c>
      <c r="CL163" s="567"/>
      <c r="CM163" s="567">
        <f t="shared" si="806"/>
        <v>0</v>
      </c>
      <c r="CN163" s="567"/>
      <c r="CO163" s="567"/>
      <c r="CP163" s="567"/>
      <c r="CQ163" s="567"/>
      <c r="CR163" s="573">
        <f t="shared" si="997"/>
        <v>0</v>
      </c>
      <c r="CS163" s="567">
        <f t="shared" si="807"/>
        <v>0</v>
      </c>
      <c r="CT163" s="567">
        <f t="shared" si="808"/>
        <v>0</v>
      </c>
      <c r="CU163" s="567">
        <f t="shared" si="809"/>
        <v>0</v>
      </c>
      <c r="CV163" s="567">
        <f t="shared" si="810"/>
        <v>0</v>
      </c>
      <c r="CW163" s="567">
        <f t="shared" si="998"/>
        <v>0</v>
      </c>
      <c r="CX163" s="567">
        <f t="shared" ca="1" si="899"/>
        <v>0</v>
      </c>
      <c r="CY163" s="567">
        <f t="shared" si="811"/>
        <v>0</v>
      </c>
      <c r="CZ163" s="567">
        <f t="shared" si="812"/>
        <v>0</v>
      </c>
      <c r="DA163" s="567">
        <f t="shared" si="813"/>
        <v>0</v>
      </c>
      <c r="DB163" s="2">
        <f t="shared" si="999"/>
        <v>0</v>
      </c>
      <c r="DC163" s="76"/>
      <c r="DD163" s="253"/>
      <c r="DE163" s="253"/>
      <c r="DF163" s="2">
        <f t="shared" si="1000"/>
        <v>0</v>
      </c>
      <c r="DG163" s="2"/>
      <c r="DH163" s="233"/>
      <c r="DI163" s="2"/>
      <c r="DJ163" s="2"/>
      <c r="DK163" s="2">
        <f t="shared" si="1001"/>
        <v>0</v>
      </c>
      <c r="DL163" s="2"/>
      <c r="DM163" s="233"/>
      <c r="DN163" s="2"/>
      <c r="DO163" s="2"/>
      <c r="DP163" s="2">
        <f t="shared" si="1002"/>
        <v>0</v>
      </c>
      <c r="DQ163" s="2">
        <f t="shared" si="1003"/>
        <v>0</v>
      </c>
      <c r="DR163" s="2">
        <f t="shared" si="1003"/>
        <v>0</v>
      </c>
      <c r="DS163" s="2">
        <f t="shared" si="1003"/>
        <v>0</v>
      </c>
      <c r="DT163" s="2">
        <f t="shared" si="1003"/>
        <v>0</v>
      </c>
      <c r="DU163" s="2"/>
      <c r="DV163" s="2"/>
      <c r="DW163" s="2"/>
      <c r="DX163" s="2">
        <f t="shared" ca="1" si="1004"/>
        <v>0</v>
      </c>
      <c r="DY163" s="46"/>
      <c r="DZ163" s="2">
        <f t="shared" si="1005"/>
        <v>0</v>
      </c>
      <c r="EA163" s="2">
        <f t="shared" si="1006"/>
        <v>0</v>
      </c>
      <c r="EB163" s="46"/>
      <c r="EC163" s="2">
        <f t="shared" si="1007"/>
        <v>0</v>
      </c>
      <c r="ED163" s="2">
        <f t="shared" ca="1" si="1008"/>
        <v>0</v>
      </c>
      <c r="EE163" s="46"/>
      <c r="EF163" s="2"/>
      <c r="EG163" s="46"/>
      <c r="EH163" s="46"/>
      <c r="EI163" s="2">
        <f t="shared" si="794"/>
        <v>0</v>
      </c>
      <c r="EJ163" s="2"/>
      <c r="EK163" s="262">
        <f t="shared" si="814"/>
        <v>0</v>
      </c>
      <c r="EL163" s="498"/>
      <c r="EM163" s="498"/>
      <c r="EN163" s="2"/>
      <c r="EO163" s="2"/>
      <c r="EP163" s="2">
        <f t="shared" si="795"/>
        <v>0</v>
      </c>
      <c r="EQ163" s="2"/>
      <c r="ER163" s="2">
        <f t="shared" si="815"/>
        <v>0</v>
      </c>
      <c r="ES163" s="2"/>
      <c r="ET163" s="2"/>
      <c r="EU163" s="2"/>
      <c r="EV163" s="141"/>
      <c r="EW163" s="310"/>
      <c r="EX163" s="310"/>
      <c r="EY163" s="310"/>
      <c r="EZ163" s="396"/>
      <c r="FA163" s="396"/>
      <c r="FB163" s="310"/>
      <c r="FC163" s="310"/>
      <c r="FD163" s="310"/>
      <c r="FE163" s="396"/>
      <c r="FF163" s="396"/>
      <c r="FG163" s="396"/>
      <c r="FH163" s="311"/>
      <c r="FI163" s="310"/>
      <c r="FJ163" s="296" t="e">
        <f t="shared" si="1009"/>
        <v>#DIV/0!</v>
      </c>
      <c r="FK163" s="353"/>
      <c r="FL163" s="353"/>
      <c r="FM163" s="353"/>
      <c r="FN163" s="388"/>
      <c r="FO163" s="388"/>
      <c r="FP163" s="353"/>
      <c r="FQ163" s="353"/>
      <c r="FR163" s="353"/>
      <c r="FS163" s="388"/>
      <c r="FT163" s="388"/>
      <c r="FU163" s="388"/>
      <c r="FV163" s="353"/>
      <c r="FW163" s="353">
        <f t="shared" si="819"/>
        <v>0</v>
      </c>
      <c r="FX163" s="310"/>
      <c r="FY163" s="310"/>
      <c r="FZ163" s="310"/>
      <c r="GA163" s="396"/>
      <c r="GB163" s="396"/>
      <c r="GC163" s="310"/>
      <c r="GD163" s="310"/>
      <c r="GE163" s="310"/>
      <c r="GF163" s="396"/>
      <c r="GG163" s="396"/>
      <c r="GH163" s="396"/>
      <c r="GI163" s="311"/>
      <c r="GJ163" s="344"/>
      <c r="GK163" s="303" t="e">
        <f t="shared" si="796"/>
        <v>#DIV/0!</v>
      </c>
    </row>
    <row r="164" spans="2:193" s="37" customFormat="1" ht="15.75" customHeight="1" x14ac:dyDescent="0.25">
      <c r="B164" s="29"/>
      <c r="C164" s="30"/>
      <c r="D164" s="30">
        <v>1</v>
      </c>
      <c r="E164" s="493">
        <v>134</v>
      </c>
      <c r="F164" s="29"/>
      <c r="G164" s="30"/>
      <c r="H164" s="30">
        <v>1</v>
      </c>
      <c r="I164" s="493"/>
      <c r="J164" s="494"/>
      <c r="K164" s="494"/>
      <c r="L164" s="53"/>
      <c r="M164" s="493">
        <v>112</v>
      </c>
      <c r="N164" s="494" t="s">
        <v>325</v>
      </c>
      <c r="O164" s="494"/>
      <c r="P164" s="469">
        <f t="shared" si="816"/>
        <v>0</v>
      </c>
      <c r="Q164" s="494" t="s">
        <v>711</v>
      </c>
      <c r="R164" s="469" t="s">
        <v>699</v>
      </c>
      <c r="S164" s="494" t="s">
        <v>600</v>
      </c>
      <c r="T164" s="156">
        <v>2</v>
      </c>
      <c r="U164" s="493">
        <v>1</v>
      </c>
      <c r="V164" s="2">
        <f t="shared" si="797"/>
        <v>5500.5370000000003</v>
      </c>
      <c r="W164" s="2">
        <v>2293.9369999999999</v>
      </c>
      <c r="X164" s="198">
        <f t="shared" si="605"/>
        <v>3206.6000000000004</v>
      </c>
      <c r="Y164" s="198">
        <v>1010.3</v>
      </c>
      <c r="Z164" s="42">
        <v>2196.3000000000002</v>
      </c>
      <c r="AA164" s="2"/>
      <c r="AB164" s="567">
        <f t="shared" si="987"/>
        <v>5500.5370000000003</v>
      </c>
      <c r="AC164" s="567">
        <v>2293.9369999999999</v>
      </c>
      <c r="AD164" s="568">
        <f t="shared" si="606"/>
        <v>3206.6000000000004</v>
      </c>
      <c r="AE164" s="568">
        <v>1010.3</v>
      </c>
      <c r="AF164" s="569">
        <v>2196.3000000000002</v>
      </c>
      <c r="AG164" s="567"/>
      <c r="AH164" s="570"/>
      <c r="AI164" s="567">
        <f t="shared" si="988"/>
        <v>1035</v>
      </c>
      <c r="AJ164" s="567"/>
      <c r="AK164" s="568">
        <v>1035</v>
      </c>
      <c r="AL164" s="567"/>
      <c r="AM164" s="570"/>
      <c r="AN164" s="567">
        <f t="shared" si="989"/>
        <v>1035</v>
      </c>
      <c r="AO164" s="567"/>
      <c r="AP164" s="568">
        <v>1035</v>
      </c>
      <c r="AQ164" s="567"/>
      <c r="AR164" s="570"/>
      <c r="AS164" s="567">
        <f t="shared" si="990"/>
        <v>450</v>
      </c>
      <c r="AT164" s="567"/>
      <c r="AU164" s="568">
        <v>450</v>
      </c>
      <c r="AV164" s="567"/>
      <c r="AW164" s="604"/>
      <c r="AX164" s="410" t="s">
        <v>733</v>
      </c>
      <c r="AY164" s="567">
        <f t="shared" si="991"/>
        <v>5500.5370000000003</v>
      </c>
      <c r="AZ164" s="567">
        <v>2293.9369999999999</v>
      </c>
      <c r="BA164" s="578">
        <f t="shared" si="992"/>
        <v>3206.6000000000004</v>
      </c>
      <c r="BB164" s="568">
        <v>1010.3</v>
      </c>
      <c r="BC164" s="569">
        <v>2196.3000000000002</v>
      </c>
      <c r="BD164" s="567"/>
      <c r="BE164" s="570"/>
      <c r="BF164" s="567">
        <f t="shared" si="798"/>
        <v>0</v>
      </c>
      <c r="BG164" s="567">
        <f t="shared" si="799"/>
        <v>0</v>
      </c>
      <c r="BH164" s="567">
        <f t="shared" si="800"/>
        <v>0</v>
      </c>
      <c r="BI164" s="567">
        <f t="shared" si="801"/>
        <v>0</v>
      </c>
      <c r="BJ164" s="567">
        <f t="shared" si="802"/>
        <v>0</v>
      </c>
      <c r="BK164" s="567">
        <f t="shared" si="803"/>
        <v>0</v>
      </c>
      <c r="BL164" s="567" t="e">
        <f>#REF!-BE164</f>
        <v>#REF!</v>
      </c>
      <c r="BM164" s="567">
        <f t="shared" si="993"/>
        <v>1035</v>
      </c>
      <c r="BN164" s="567"/>
      <c r="BO164" s="568">
        <v>1035</v>
      </c>
      <c r="BP164" s="567"/>
      <c r="BQ164" s="570"/>
      <c r="BR164" s="567">
        <f t="shared" si="994"/>
        <v>0</v>
      </c>
      <c r="BS164" s="567"/>
      <c r="BT164" s="568"/>
      <c r="BU164" s="567"/>
      <c r="BV164" s="570"/>
      <c r="BW164" s="567">
        <f t="shared" si="995"/>
        <v>4935.0201299999999</v>
      </c>
      <c r="BX164" s="567">
        <v>2293.9369999999999</v>
      </c>
      <c r="BY164" s="568">
        <f t="shared" si="804"/>
        <v>2641.08313</v>
      </c>
      <c r="BZ164" s="571">
        <v>856.73809000000006</v>
      </c>
      <c r="CA164" s="571">
        <v>1784.3450399999999</v>
      </c>
      <c r="CB164" s="567"/>
      <c r="CC164" s="577"/>
      <c r="CD164" s="567">
        <f t="shared" si="996"/>
        <v>4935.0201299999999</v>
      </c>
      <c r="CE164" s="567">
        <v>2293.9369999999999</v>
      </c>
      <c r="CF164" s="568">
        <f t="shared" si="805"/>
        <v>2641.08313</v>
      </c>
      <c r="CG164" s="571">
        <v>856.73809000000006</v>
      </c>
      <c r="CH164" s="571">
        <v>1784.3450399999999</v>
      </c>
      <c r="CI164" s="567"/>
      <c r="CJ164" s="577"/>
      <c r="CK164" s="567">
        <f t="shared" si="934"/>
        <v>4039.8605600000001</v>
      </c>
      <c r="CL164" s="567">
        <v>175.54578000000001</v>
      </c>
      <c r="CM164" s="567">
        <v>3864.3147800000002</v>
      </c>
      <c r="CN164" s="567"/>
      <c r="CO164" s="567"/>
      <c r="CP164" s="567"/>
      <c r="CQ164" s="567"/>
      <c r="CR164" s="573">
        <f t="shared" si="997"/>
        <v>8974.88069</v>
      </c>
      <c r="CS164" s="567">
        <f t="shared" si="807"/>
        <v>8974.88069</v>
      </c>
      <c r="CT164" s="567">
        <f t="shared" si="808"/>
        <v>2469.4827799999998</v>
      </c>
      <c r="CU164" s="567">
        <f t="shared" si="809"/>
        <v>6505.3979099999997</v>
      </c>
      <c r="CV164" s="567">
        <f t="shared" si="810"/>
        <v>0</v>
      </c>
      <c r="CW164" s="567">
        <f t="shared" si="998"/>
        <v>0</v>
      </c>
      <c r="CX164" s="567">
        <f t="shared" ca="1" si="899"/>
        <v>0</v>
      </c>
      <c r="CY164" s="567">
        <f t="shared" si="811"/>
        <v>0</v>
      </c>
      <c r="CZ164" s="567">
        <f t="shared" si="812"/>
        <v>0</v>
      </c>
      <c r="DA164" s="567">
        <f t="shared" si="813"/>
        <v>0</v>
      </c>
      <c r="DB164" s="2">
        <f t="shared" si="999"/>
        <v>0</v>
      </c>
      <c r="DC164" s="76"/>
      <c r="DD164" s="253"/>
      <c r="DE164" s="555"/>
      <c r="DF164" s="2">
        <f t="shared" si="1000"/>
        <v>0</v>
      </c>
      <c r="DG164" s="2"/>
      <c r="DH164" s="198"/>
      <c r="DI164" s="2"/>
      <c r="DJ164" s="234"/>
      <c r="DK164" s="2">
        <f t="shared" si="1001"/>
        <v>0</v>
      </c>
      <c r="DL164" s="2"/>
      <c r="DM164" s="198"/>
      <c r="DN164" s="2"/>
      <c r="DO164" s="234"/>
      <c r="DP164" s="2">
        <f t="shared" si="1002"/>
        <v>0</v>
      </c>
      <c r="DQ164" s="2">
        <f t="shared" si="1003"/>
        <v>0</v>
      </c>
      <c r="DR164" s="2">
        <f t="shared" si="1003"/>
        <v>0</v>
      </c>
      <c r="DS164" s="2">
        <f t="shared" si="1003"/>
        <v>0</v>
      </c>
      <c r="DT164" s="2">
        <f t="shared" si="1003"/>
        <v>0</v>
      </c>
      <c r="DU164" s="2"/>
      <c r="DV164" s="2"/>
      <c r="DW164" s="2"/>
      <c r="DX164" s="2">
        <f t="shared" ca="1" si="1004"/>
        <v>0</v>
      </c>
      <c r="DY164" s="46"/>
      <c r="DZ164" s="2">
        <f t="shared" si="1005"/>
        <v>4935.0201299999999</v>
      </c>
      <c r="EA164" s="2">
        <f t="shared" si="1006"/>
        <v>4935.0201299999999</v>
      </c>
      <c r="EB164" s="46"/>
      <c r="EC164" s="2"/>
      <c r="ED164" s="2"/>
      <c r="EE164" s="46"/>
      <c r="EF164" s="2"/>
      <c r="EG164" s="46"/>
      <c r="EH164" s="46"/>
      <c r="EI164" s="2">
        <f t="shared" si="794"/>
        <v>4935.0201299999999</v>
      </c>
      <c r="EJ164" s="2">
        <v>2293.9369999999999</v>
      </c>
      <c r="EK164" s="198">
        <f t="shared" si="814"/>
        <v>2641.08313</v>
      </c>
      <c r="EL164" s="446">
        <v>856.73809000000006</v>
      </c>
      <c r="EM164" s="446">
        <v>1784.3450399999999</v>
      </c>
      <c r="EN164" s="2"/>
      <c r="EO164" s="236"/>
      <c r="EP164" s="2">
        <f t="shared" si="795"/>
        <v>4039.8605600000001</v>
      </c>
      <c r="EQ164" s="2">
        <v>175.54578000000001</v>
      </c>
      <c r="ER164" s="2">
        <v>3864.3147800000002</v>
      </c>
      <c r="ES164" s="2">
        <v>1691.1838499999999</v>
      </c>
      <c r="ET164" s="2">
        <v>2173.1309299999998</v>
      </c>
      <c r="EU164" s="2"/>
      <c r="EV164" s="141"/>
      <c r="EW164" s="310">
        <f t="shared" ref="EW164" si="1022">EX164+EY164</f>
        <v>2293.9369999999999</v>
      </c>
      <c r="EX164" s="310">
        <f>AZ164</f>
        <v>2293.9369999999999</v>
      </c>
      <c r="EY164" s="310"/>
      <c r="EZ164" s="396">
        <f t="shared" ref="EZ164" si="1023">EX164/EW164</f>
        <v>1</v>
      </c>
      <c r="FA164" s="396">
        <f t="shared" ref="FA164" si="1024">EY164/EW164</f>
        <v>0</v>
      </c>
      <c r="FB164" s="310">
        <f t="shared" ref="FB164" si="1025">FC164+FD164</f>
        <v>2469.4827799999998</v>
      </c>
      <c r="FC164" s="310">
        <f t="shared" ref="FC164" si="1026">EJ164</f>
        <v>2293.9369999999999</v>
      </c>
      <c r="FD164" s="310">
        <f t="shared" ref="FD164" si="1027">EQ164</f>
        <v>175.54578000000001</v>
      </c>
      <c r="FE164" s="396">
        <f t="shared" ref="FE164" si="1028">FC164/FB164</f>
        <v>0.92891394853136011</v>
      </c>
      <c r="FF164" s="396">
        <f t="shared" ref="FF164" si="1029">FD164/FB164</f>
        <v>7.108605146863993E-2</v>
      </c>
      <c r="FG164" s="396"/>
      <c r="FH164" s="311">
        <f>FB164*EZ164</f>
        <v>2469.4827799999998</v>
      </c>
      <c r="FI164" s="310">
        <f>FC164-FH164</f>
        <v>-175.54577999999992</v>
      </c>
      <c r="FJ164" s="296">
        <f t="shared" si="1009"/>
        <v>2658.4623730802232</v>
      </c>
      <c r="FK164" s="353">
        <f t="shared" si="817"/>
        <v>3206.6000000000004</v>
      </c>
      <c r="FL164" s="353">
        <f t="shared" ref="FL164:FL180" si="1030">BA164</f>
        <v>3206.6000000000004</v>
      </c>
      <c r="FM164" s="353"/>
      <c r="FN164" s="388">
        <f t="shared" si="1010"/>
        <v>1</v>
      </c>
      <c r="FO164" s="388">
        <f t="shared" si="1011"/>
        <v>0</v>
      </c>
      <c r="FP164" s="353">
        <f t="shared" si="818"/>
        <v>6505.3979099999997</v>
      </c>
      <c r="FQ164" s="353">
        <f t="shared" si="1012"/>
        <v>2641.08313</v>
      </c>
      <c r="FR164" s="353">
        <f t="shared" si="1013"/>
        <v>3864.3147800000002</v>
      </c>
      <c r="FS164" s="388">
        <f t="shared" si="1014"/>
        <v>0.4059833336159448</v>
      </c>
      <c r="FT164" s="388">
        <f t="shared" si="1015"/>
        <v>0.59401666638405526</v>
      </c>
      <c r="FU164" s="388"/>
      <c r="FV164" s="353">
        <f t="shared" si="1016"/>
        <v>6505.3979099999997</v>
      </c>
      <c r="FW164" s="353">
        <f t="shared" si="819"/>
        <v>-3864.3147799999997</v>
      </c>
      <c r="FX164" s="310"/>
      <c r="FY164" s="310"/>
      <c r="FZ164" s="310"/>
      <c r="GA164" s="396"/>
      <c r="GB164" s="396"/>
      <c r="GC164" s="310"/>
      <c r="GD164" s="310"/>
      <c r="GE164" s="310"/>
      <c r="GF164" s="396"/>
      <c r="GG164" s="396"/>
      <c r="GH164" s="396"/>
      <c r="GI164" s="311"/>
      <c r="GJ164" s="344"/>
      <c r="GK164" s="303">
        <f t="shared" si="796"/>
        <v>0.89718878902187182</v>
      </c>
    </row>
    <row r="165" spans="2:193" s="37" customFormat="1" ht="15.6" customHeight="1" x14ac:dyDescent="0.25">
      <c r="B165" s="29"/>
      <c r="C165" s="30">
        <v>1</v>
      </c>
      <c r="D165" s="30"/>
      <c r="E165" s="493">
        <v>135</v>
      </c>
      <c r="F165" s="29"/>
      <c r="G165" s="30"/>
      <c r="H165" s="30">
        <v>1</v>
      </c>
      <c r="I165" s="493"/>
      <c r="J165" s="494"/>
      <c r="K165" s="494"/>
      <c r="L165" s="53"/>
      <c r="M165" s="493">
        <v>113</v>
      </c>
      <c r="N165" s="494" t="s">
        <v>58</v>
      </c>
      <c r="O165" s="494" t="s">
        <v>338</v>
      </c>
      <c r="P165" s="494">
        <f t="shared" si="816"/>
        <v>0</v>
      </c>
      <c r="Q165" s="494"/>
      <c r="R165" s="494"/>
      <c r="S165" s="494" t="s">
        <v>629</v>
      </c>
      <c r="T165" s="156">
        <v>2</v>
      </c>
      <c r="U165" s="493"/>
      <c r="V165" s="2">
        <f t="shared" si="797"/>
        <v>960.1</v>
      </c>
      <c r="W165" s="2"/>
      <c r="X165" s="198">
        <f t="shared" si="605"/>
        <v>960.1</v>
      </c>
      <c r="Y165" s="198">
        <v>302.5</v>
      </c>
      <c r="Z165" s="42">
        <v>657.6</v>
      </c>
      <c r="AA165" s="2"/>
      <c r="AB165" s="567">
        <f t="shared" si="987"/>
        <v>960.1</v>
      </c>
      <c r="AC165" s="567"/>
      <c r="AD165" s="568">
        <f t="shared" si="606"/>
        <v>960.1</v>
      </c>
      <c r="AE165" s="568">
        <v>302.5</v>
      </c>
      <c r="AF165" s="569">
        <v>657.6</v>
      </c>
      <c r="AG165" s="567"/>
      <c r="AH165" s="570"/>
      <c r="AI165" s="567">
        <f t="shared" si="988"/>
        <v>310.5</v>
      </c>
      <c r="AJ165" s="567"/>
      <c r="AK165" s="568">
        <v>310.5</v>
      </c>
      <c r="AL165" s="567"/>
      <c r="AM165" s="570"/>
      <c r="AN165" s="567">
        <f t="shared" si="989"/>
        <v>310.5</v>
      </c>
      <c r="AO165" s="567"/>
      <c r="AP165" s="568">
        <v>310.5</v>
      </c>
      <c r="AQ165" s="567"/>
      <c r="AR165" s="570"/>
      <c r="AS165" s="567">
        <f t="shared" si="990"/>
        <v>135</v>
      </c>
      <c r="AT165" s="567"/>
      <c r="AU165" s="568">
        <v>135</v>
      </c>
      <c r="AV165" s="567"/>
      <c r="AW165" s="604"/>
      <c r="AX165" s="410" t="s">
        <v>480</v>
      </c>
      <c r="AY165" s="567">
        <f t="shared" si="991"/>
        <v>960.1</v>
      </c>
      <c r="AZ165" s="567"/>
      <c r="BA165" s="568">
        <f t="shared" si="992"/>
        <v>960.1</v>
      </c>
      <c r="BB165" s="568">
        <v>302.5</v>
      </c>
      <c r="BC165" s="569">
        <v>657.6</v>
      </c>
      <c r="BD165" s="567"/>
      <c r="BE165" s="570"/>
      <c r="BF165" s="567">
        <f t="shared" si="798"/>
        <v>0</v>
      </c>
      <c r="BG165" s="567">
        <f t="shared" si="799"/>
        <v>0</v>
      </c>
      <c r="BH165" s="567">
        <f t="shared" si="800"/>
        <v>0</v>
      </c>
      <c r="BI165" s="567">
        <f t="shared" si="801"/>
        <v>0</v>
      </c>
      <c r="BJ165" s="567">
        <f t="shared" si="802"/>
        <v>0</v>
      </c>
      <c r="BK165" s="567">
        <f t="shared" si="803"/>
        <v>0</v>
      </c>
      <c r="BL165" s="567" t="e">
        <f>#REF!-BE165</f>
        <v>#REF!</v>
      </c>
      <c r="BM165" s="567">
        <f t="shared" si="993"/>
        <v>310.5</v>
      </c>
      <c r="BN165" s="567"/>
      <c r="BO165" s="568">
        <v>310.5</v>
      </c>
      <c r="BP165" s="567"/>
      <c r="BQ165" s="570"/>
      <c r="BR165" s="567">
        <f t="shared" si="994"/>
        <v>0</v>
      </c>
      <c r="BS165" s="567"/>
      <c r="BT165" s="570"/>
      <c r="BU165" s="567"/>
      <c r="BV165" s="570"/>
      <c r="BW165" s="567">
        <f t="shared" si="995"/>
        <v>878.49149999999997</v>
      </c>
      <c r="BX165" s="567"/>
      <c r="BY165" s="578">
        <f t="shared" si="804"/>
        <v>878.49149999999997</v>
      </c>
      <c r="BZ165" s="571">
        <v>276.78750000000002</v>
      </c>
      <c r="CA165" s="571">
        <v>601.70399999999995</v>
      </c>
      <c r="CB165" s="567"/>
      <c r="CC165" s="577"/>
      <c r="CD165" s="567">
        <f t="shared" si="996"/>
        <v>878.49149999999997</v>
      </c>
      <c r="CE165" s="567"/>
      <c r="CF165" s="578">
        <f t="shared" si="805"/>
        <v>878.49149999999997</v>
      </c>
      <c r="CG165" s="571">
        <v>276.78750000000002</v>
      </c>
      <c r="CH165" s="571">
        <v>601.70399999999995</v>
      </c>
      <c r="CI165" s="567"/>
      <c r="CJ165" s="577"/>
      <c r="CK165" s="567">
        <f t="shared" si="934"/>
        <v>1194.07502</v>
      </c>
      <c r="CL165" s="567"/>
      <c r="CM165" s="567">
        <v>1194.07502</v>
      </c>
      <c r="CN165" s="567"/>
      <c r="CO165" s="567"/>
      <c r="CP165" s="567"/>
      <c r="CQ165" s="567"/>
      <c r="CR165" s="573">
        <f t="shared" si="997"/>
        <v>2072.5665199999999</v>
      </c>
      <c r="CS165" s="567">
        <f t="shared" si="807"/>
        <v>2072.5665199999999</v>
      </c>
      <c r="CT165" s="567">
        <f t="shared" si="808"/>
        <v>0</v>
      </c>
      <c r="CU165" s="567">
        <f t="shared" si="809"/>
        <v>2072.5665199999999</v>
      </c>
      <c r="CV165" s="567">
        <f t="shared" si="810"/>
        <v>0</v>
      </c>
      <c r="CW165" s="567">
        <f t="shared" si="998"/>
        <v>0</v>
      </c>
      <c r="CX165" s="567">
        <f t="shared" ca="1" si="899"/>
        <v>0</v>
      </c>
      <c r="CY165" s="567">
        <f t="shared" si="811"/>
        <v>0</v>
      </c>
      <c r="CZ165" s="567">
        <f t="shared" si="812"/>
        <v>0</v>
      </c>
      <c r="DA165" s="567">
        <f t="shared" si="813"/>
        <v>0</v>
      </c>
      <c r="DB165" s="2">
        <f t="shared" si="999"/>
        <v>0</v>
      </c>
      <c r="DC165" s="76"/>
      <c r="DD165" s="545">
        <f>BM165+BM172</f>
        <v>1679.768</v>
      </c>
      <c r="DE165" s="545">
        <f>DD165</f>
        <v>1679.768</v>
      </c>
      <c r="DF165" s="2">
        <f t="shared" si="1000"/>
        <v>0</v>
      </c>
      <c r="DG165" s="2"/>
      <c r="DH165" s="234"/>
      <c r="DI165" s="2"/>
      <c r="DJ165" s="234"/>
      <c r="DK165" s="2">
        <f t="shared" si="1001"/>
        <v>0</v>
      </c>
      <c r="DL165" s="2"/>
      <c r="DM165" s="234"/>
      <c r="DN165" s="2"/>
      <c r="DO165" s="234"/>
      <c r="DP165" s="2">
        <f t="shared" si="1002"/>
        <v>0</v>
      </c>
      <c r="DQ165" s="2">
        <f t="shared" si="1003"/>
        <v>0</v>
      </c>
      <c r="DR165" s="2">
        <f t="shared" si="1003"/>
        <v>0</v>
      </c>
      <c r="DS165" s="2">
        <f t="shared" si="1003"/>
        <v>0</v>
      </c>
      <c r="DT165" s="2">
        <f t="shared" si="1003"/>
        <v>0</v>
      </c>
      <c r="DU165" s="2"/>
      <c r="DV165" s="2"/>
      <c r="DW165" s="2"/>
      <c r="DX165" s="2">
        <f t="shared" ca="1" si="1004"/>
        <v>0</v>
      </c>
      <c r="DY165" s="46"/>
      <c r="DZ165" s="2">
        <f t="shared" si="1005"/>
        <v>878.49149999999997</v>
      </c>
      <c r="EA165" s="2">
        <f t="shared" si="1006"/>
        <v>878.49149999999997</v>
      </c>
      <c r="EB165" s="46"/>
      <c r="EC165" s="546">
        <f>EA165+EA172</f>
        <v>5100.1872000000003</v>
      </c>
      <c r="ED165" s="546">
        <f ca="1">DX165+DX172</f>
        <v>0</v>
      </c>
      <c r="EE165" s="46"/>
      <c r="EF165" s="2">
        <f>DE165-EC165</f>
        <v>-3420.4192000000003</v>
      </c>
      <c r="EG165" s="46"/>
      <c r="EH165" s="46"/>
      <c r="EI165" s="2">
        <f t="shared" si="794"/>
        <v>878.49149999999997</v>
      </c>
      <c r="EJ165" s="2"/>
      <c r="EK165" s="433">
        <f t="shared" si="814"/>
        <v>878.49149999999997</v>
      </c>
      <c r="EL165" s="446">
        <v>276.78750000000002</v>
      </c>
      <c r="EM165" s="446">
        <v>601.70399999999995</v>
      </c>
      <c r="EN165" s="2"/>
      <c r="EO165" s="236"/>
      <c r="EP165" s="2">
        <f t="shared" si="795"/>
        <v>1194.07502</v>
      </c>
      <c r="EQ165" s="2"/>
      <c r="ER165" s="2">
        <v>1194.07502</v>
      </c>
      <c r="ES165" s="2">
        <v>279.07501000000002</v>
      </c>
      <c r="ET165" s="2">
        <v>915.00000999999997</v>
      </c>
      <c r="EU165" s="2"/>
      <c r="EV165" s="141"/>
      <c r="EW165" s="310"/>
      <c r="EX165" s="310"/>
      <c r="EY165" s="310"/>
      <c r="EZ165" s="396"/>
      <c r="FA165" s="396"/>
      <c r="FB165" s="310"/>
      <c r="FC165" s="310"/>
      <c r="FD165" s="310"/>
      <c r="FE165" s="396"/>
      <c r="FF165" s="396"/>
      <c r="FG165" s="396"/>
      <c r="FH165" s="311"/>
      <c r="FI165" s="310"/>
      <c r="FJ165" s="296" t="e">
        <f t="shared" si="1009"/>
        <v>#DIV/0!</v>
      </c>
      <c r="FK165" s="353">
        <f t="shared" si="817"/>
        <v>960.1</v>
      </c>
      <c r="FL165" s="353">
        <f t="shared" si="1030"/>
        <v>960.1</v>
      </c>
      <c r="FM165" s="353"/>
      <c r="FN165" s="388">
        <f t="shared" si="1010"/>
        <v>1</v>
      </c>
      <c r="FO165" s="388">
        <f t="shared" si="1011"/>
        <v>0</v>
      </c>
      <c r="FP165" s="353">
        <f t="shared" si="818"/>
        <v>2072.5665199999999</v>
      </c>
      <c r="FQ165" s="353">
        <f t="shared" si="1012"/>
        <v>878.49149999999997</v>
      </c>
      <c r="FR165" s="353">
        <f t="shared" si="1013"/>
        <v>1194.07502</v>
      </c>
      <c r="FS165" s="388">
        <f t="shared" si="1014"/>
        <v>0.42386649187018616</v>
      </c>
      <c r="FT165" s="388">
        <f t="shared" si="1015"/>
        <v>0.5761335081298139</v>
      </c>
      <c r="FU165" s="388"/>
      <c r="FV165" s="353">
        <f t="shared" si="1016"/>
        <v>2072.5665199999999</v>
      </c>
      <c r="FW165" s="353">
        <f t="shared" si="819"/>
        <v>-1194.0750199999998</v>
      </c>
      <c r="FX165" s="310"/>
      <c r="FY165" s="310"/>
      <c r="FZ165" s="310"/>
      <c r="GA165" s="396"/>
      <c r="GB165" s="396"/>
      <c r="GC165" s="310"/>
      <c r="GD165" s="310"/>
      <c r="GE165" s="310"/>
      <c r="GF165" s="396"/>
      <c r="GG165" s="396"/>
      <c r="GH165" s="396"/>
      <c r="GI165" s="311"/>
      <c r="GJ165" s="344"/>
      <c r="GK165" s="303">
        <f t="shared" si="796"/>
        <v>0.91499999999999992</v>
      </c>
    </row>
    <row r="166" spans="2:193" s="37" customFormat="1" ht="15.6" customHeight="1" x14ac:dyDescent="0.25">
      <c r="B166" s="29"/>
      <c r="C166" s="30"/>
      <c r="D166" s="30">
        <v>1</v>
      </c>
      <c r="E166" s="493">
        <v>136</v>
      </c>
      <c r="F166" s="29"/>
      <c r="G166" s="30"/>
      <c r="H166" s="30">
        <v>1</v>
      </c>
      <c r="M166" s="493">
        <v>114</v>
      </c>
      <c r="N166" s="494" t="s">
        <v>327</v>
      </c>
      <c r="O166" s="494"/>
      <c r="P166" s="494">
        <f t="shared" si="816"/>
        <v>0</v>
      </c>
      <c r="Q166" s="494" t="s">
        <v>701</v>
      </c>
      <c r="R166" s="494" t="s">
        <v>699</v>
      </c>
      <c r="S166" s="494">
        <v>73</v>
      </c>
      <c r="T166" s="156">
        <v>2</v>
      </c>
      <c r="U166" s="493"/>
      <c r="V166" s="2">
        <f t="shared" si="797"/>
        <v>1446.5</v>
      </c>
      <c r="W166" s="2"/>
      <c r="X166" s="198">
        <f t="shared" si="605"/>
        <v>1446.5</v>
      </c>
      <c r="Y166" s="198">
        <v>455.7</v>
      </c>
      <c r="Z166" s="42">
        <v>990.8</v>
      </c>
      <c r="AA166" s="2"/>
      <c r="AB166" s="567">
        <f t="shared" si="987"/>
        <v>1446.5</v>
      </c>
      <c r="AC166" s="567"/>
      <c r="AD166" s="568">
        <f t="shared" si="606"/>
        <v>1446.5</v>
      </c>
      <c r="AE166" s="568">
        <v>455.7</v>
      </c>
      <c r="AF166" s="569">
        <v>990.8</v>
      </c>
      <c r="AG166" s="567"/>
      <c r="AH166" s="580"/>
      <c r="AI166" s="567">
        <f t="shared" si="988"/>
        <v>285.2</v>
      </c>
      <c r="AJ166" s="567"/>
      <c r="AK166" s="568">
        <v>285.2</v>
      </c>
      <c r="AL166" s="567"/>
      <c r="AM166" s="580"/>
      <c r="AN166" s="567">
        <f t="shared" si="989"/>
        <v>285.2</v>
      </c>
      <c r="AO166" s="567"/>
      <c r="AP166" s="568">
        <v>285.2</v>
      </c>
      <c r="AQ166" s="567"/>
      <c r="AR166" s="580"/>
      <c r="AS166" s="567">
        <f t="shared" si="990"/>
        <v>124</v>
      </c>
      <c r="AT166" s="567"/>
      <c r="AU166" s="568">
        <v>124</v>
      </c>
      <c r="AV166" s="567"/>
      <c r="AW166" s="581"/>
      <c r="AX166" s="410" t="s">
        <v>657</v>
      </c>
      <c r="AY166" s="567">
        <f t="shared" si="991"/>
        <v>1032.66588</v>
      </c>
      <c r="AZ166" s="567"/>
      <c r="BA166" s="568">
        <f t="shared" si="992"/>
        <v>1032.66588</v>
      </c>
      <c r="BB166" s="568">
        <f>455.7-413.83412</f>
        <v>41.865880000000004</v>
      </c>
      <c r="BC166" s="569">
        <f>576.96588+413.83412</f>
        <v>990.8</v>
      </c>
      <c r="BD166" s="567"/>
      <c r="BE166" s="567"/>
      <c r="BF166" s="567">
        <f t="shared" si="798"/>
        <v>413.83411999999998</v>
      </c>
      <c r="BG166" s="567">
        <f t="shared" si="799"/>
        <v>0</v>
      </c>
      <c r="BH166" s="567">
        <f t="shared" si="800"/>
        <v>413.83411999999998</v>
      </c>
      <c r="BI166" s="567">
        <f t="shared" si="801"/>
        <v>413.83411999999998</v>
      </c>
      <c r="BJ166" s="567">
        <f t="shared" si="802"/>
        <v>0</v>
      </c>
      <c r="BK166" s="567">
        <f t="shared" si="803"/>
        <v>0</v>
      </c>
      <c r="BL166" s="567" t="e">
        <f>#REF!-BE166</f>
        <v>#REF!</v>
      </c>
      <c r="BM166" s="567">
        <f t="shared" si="993"/>
        <v>285.2</v>
      </c>
      <c r="BN166" s="567"/>
      <c r="BO166" s="568">
        <v>285.2</v>
      </c>
      <c r="BP166" s="567"/>
      <c r="BQ166" s="567"/>
      <c r="BR166" s="567">
        <f t="shared" si="994"/>
        <v>0</v>
      </c>
      <c r="BS166" s="567"/>
      <c r="BT166" s="568"/>
      <c r="BU166" s="567"/>
      <c r="BV166" s="567"/>
      <c r="BW166" s="567">
        <f t="shared" si="995"/>
        <v>455.7</v>
      </c>
      <c r="BX166" s="567"/>
      <c r="BY166" s="578">
        <f t="shared" si="804"/>
        <v>455.7</v>
      </c>
      <c r="BZ166" s="571">
        <f>455.7-413.83412</f>
        <v>41.865880000000004</v>
      </c>
      <c r="CA166" s="571">
        <v>413.83411999999998</v>
      </c>
      <c r="CB166" s="567"/>
      <c r="CC166" s="567"/>
      <c r="CD166" s="567">
        <f t="shared" si="996"/>
        <v>455.7</v>
      </c>
      <c r="CE166" s="567"/>
      <c r="CF166" s="578">
        <f t="shared" si="805"/>
        <v>455.7</v>
      </c>
      <c r="CG166" s="571">
        <f>455.7-413.83412</f>
        <v>41.865880000000004</v>
      </c>
      <c r="CH166" s="571">
        <v>413.83411999999998</v>
      </c>
      <c r="CI166" s="567"/>
      <c r="CJ166" s="567"/>
      <c r="CK166" s="567">
        <f t="shared" si="934"/>
        <v>493.57400000000001</v>
      </c>
      <c r="CL166" s="567"/>
      <c r="CM166" s="567">
        <f t="shared" si="806"/>
        <v>493.57400000000001</v>
      </c>
      <c r="CN166" s="567">
        <v>493.57400000000001</v>
      </c>
      <c r="CO166" s="567"/>
      <c r="CP166" s="567"/>
      <c r="CQ166" s="567"/>
      <c r="CR166" s="573">
        <f t="shared" si="997"/>
        <v>949.274</v>
      </c>
      <c r="CS166" s="567">
        <f t="shared" si="807"/>
        <v>949.274</v>
      </c>
      <c r="CT166" s="567">
        <f t="shared" si="808"/>
        <v>0</v>
      </c>
      <c r="CU166" s="567">
        <f t="shared" si="809"/>
        <v>949.274</v>
      </c>
      <c r="CV166" s="567">
        <f t="shared" si="810"/>
        <v>0</v>
      </c>
      <c r="CW166" s="567">
        <f t="shared" si="998"/>
        <v>0</v>
      </c>
      <c r="CX166" s="567">
        <f t="shared" ca="1" si="899"/>
        <v>0</v>
      </c>
      <c r="CY166" s="567">
        <f t="shared" si="811"/>
        <v>0</v>
      </c>
      <c r="CZ166" s="567">
        <f t="shared" si="812"/>
        <v>0</v>
      </c>
      <c r="DA166" s="567">
        <f t="shared" si="813"/>
        <v>0</v>
      </c>
      <c r="DB166" s="2">
        <f t="shared" si="999"/>
        <v>0</v>
      </c>
      <c r="DC166" s="76"/>
      <c r="DD166" s="253">
        <f>BM161-DD162-DD165</f>
        <v>14329.072000000006</v>
      </c>
      <c r="DE166" s="253">
        <f>DD166+DF175-BR176</f>
        <v>14329.072000000006</v>
      </c>
      <c r="DF166" s="2">
        <f t="shared" si="1000"/>
        <v>0</v>
      </c>
      <c r="DG166" s="2"/>
      <c r="DH166" s="198"/>
      <c r="DI166" s="2"/>
      <c r="DJ166" s="2"/>
      <c r="DK166" s="2">
        <f t="shared" si="1001"/>
        <v>0</v>
      </c>
      <c r="DL166" s="2"/>
      <c r="DM166" s="198"/>
      <c r="DN166" s="2"/>
      <c r="DO166" s="2"/>
      <c r="DP166" s="2">
        <f t="shared" si="1002"/>
        <v>0</v>
      </c>
      <c r="DQ166" s="2">
        <f t="shared" si="1003"/>
        <v>0</v>
      </c>
      <c r="DR166" s="2">
        <f t="shared" si="1003"/>
        <v>0</v>
      </c>
      <c r="DS166" s="2">
        <f t="shared" si="1003"/>
        <v>0</v>
      </c>
      <c r="DT166" s="2">
        <f t="shared" si="1003"/>
        <v>0</v>
      </c>
      <c r="DU166" s="2"/>
      <c r="DV166" s="2"/>
      <c r="DW166" s="2"/>
      <c r="DX166" s="2">
        <f t="shared" ca="1" si="1004"/>
        <v>0</v>
      </c>
      <c r="DY166" s="46"/>
      <c r="DZ166" s="2">
        <f t="shared" si="1005"/>
        <v>455.7</v>
      </c>
      <c r="EA166" s="2">
        <f t="shared" si="1006"/>
        <v>455.7</v>
      </c>
      <c r="EB166" s="46"/>
      <c r="EC166" s="2">
        <f>EA164+EA166+EA167+EA168+EA169+EA170+EA171+EA173+EA174+EA175+EA176+EA177+EA178</f>
        <v>35863.210869999995</v>
      </c>
      <c r="ED166" s="2">
        <f ca="1">DX164+DX166+DX167+DX168+DX169+DX170+DX171+DX173+DX174+DX175+DX176+DX177+DX178</f>
        <v>0</v>
      </c>
      <c r="EE166" s="46"/>
      <c r="EF166" s="2">
        <f>DE166-EC166</f>
        <v>-21534.138869999988</v>
      </c>
      <c r="EG166" s="46"/>
      <c r="EH166" s="46"/>
      <c r="EI166" s="2">
        <f t="shared" si="794"/>
        <v>455.7</v>
      </c>
      <c r="EJ166" s="2"/>
      <c r="EK166" s="433">
        <f t="shared" si="814"/>
        <v>455.7</v>
      </c>
      <c r="EL166" s="446">
        <f>455.7-413.83412</f>
        <v>41.865880000000004</v>
      </c>
      <c r="EM166" s="446">
        <v>413.83411999999998</v>
      </c>
      <c r="EN166" s="2"/>
      <c r="EO166" s="2"/>
      <c r="EP166" s="2">
        <f t="shared" si="795"/>
        <v>493.57400000000001</v>
      </c>
      <c r="EQ166" s="2"/>
      <c r="ER166" s="2">
        <f t="shared" si="815"/>
        <v>493.57400000000001</v>
      </c>
      <c r="ES166" s="2">
        <v>493.57400000000001</v>
      </c>
      <c r="ET166" s="2"/>
      <c r="EU166" s="2"/>
      <c r="EV166" s="141"/>
      <c r="EW166" s="310"/>
      <c r="EX166" s="310"/>
      <c r="EY166" s="310"/>
      <c r="EZ166" s="396"/>
      <c r="FA166" s="396"/>
      <c r="FB166" s="310"/>
      <c r="FC166" s="310"/>
      <c r="FD166" s="310"/>
      <c r="FE166" s="396"/>
      <c r="FF166" s="396"/>
      <c r="FG166" s="396"/>
      <c r="FH166" s="311"/>
      <c r="FI166" s="310"/>
      <c r="FJ166" s="296" t="e">
        <f t="shared" si="1009"/>
        <v>#DIV/0!</v>
      </c>
      <c r="FK166" s="353">
        <f t="shared" si="817"/>
        <v>1032.66588</v>
      </c>
      <c r="FL166" s="353">
        <f t="shared" si="1030"/>
        <v>1032.66588</v>
      </c>
      <c r="FM166" s="353"/>
      <c r="FN166" s="388">
        <f t="shared" si="1010"/>
        <v>1</v>
      </c>
      <c r="FO166" s="388">
        <f t="shared" si="1011"/>
        <v>0</v>
      </c>
      <c r="FP166" s="353">
        <f t="shared" si="818"/>
        <v>949.274</v>
      </c>
      <c r="FQ166" s="353">
        <f t="shared" si="1012"/>
        <v>455.7</v>
      </c>
      <c r="FR166" s="353">
        <f t="shared" si="1013"/>
        <v>493.57400000000001</v>
      </c>
      <c r="FS166" s="388">
        <f t="shared" si="1014"/>
        <v>0.48005107060764329</v>
      </c>
      <c r="FT166" s="388">
        <f t="shared" si="1015"/>
        <v>0.51994892939235671</v>
      </c>
      <c r="FU166" s="388"/>
      <c r="FV166" s="353">
        <f t="shared" si="1016"/>
        <v>949.274</v>
      </c>
      <c r="FW166" s="353">
        <f t="shared" si="819"/>
        <v>-493.57400000000001</v>
      </c>
      <c r="FX166" s="310"/>
      <c r="FY166" s="310"/>
      <c r="FZ166" s="310"/>
      <c r="GA166" s="396"/>
      <c r="GB166" s="396"/>
      <c r="GC166" s="310"/>
      <c r="GD166" s="310"/>
      <c r="GE166" s="310"/>
      <c r="GF166" s="396"/>
      <c r="GG166" s="396"/>
      <c r="GH166" s="396"/>
      <c r="GI166" s="311"/>
      <c r="GJ166" s="344"/>
      <c r="GK166" s="303">
        <f t="shared" si="796"/>
        <v>0.31503629450397508</v>
      </c>
    </row>
    <row r="167" spans="2:193" s="37" customFormat="1" ht="15.6" customHeight="1" x14ac:dyDescent="0.25">
      <c r="B167" s="29"/>
      <c r="C167" s="30"/>
      <c r="D167" s="30">
        <v>1</v>
      </c>
      <c r="E167" s="493">
        <v>137</v>
      </c>
      <c r="F167" s="29"/>
      <c r="G167" s="30"/>
      <c r="H167" s="30">
        <v>1</v>
      </c>
      <c r="I167" s="493"/>
      <c r="J167" s="494"/>
      <c r="K167" s="494"/>
      <c r="L167" s="53"/>
      <c r="M167" s="493">
        <v>115</v>
      </c>
      <c r="N167" s="494" t="s">
        <v>118</v>
      </c>
      <c r="O167" s="494"/>
      <c r="P167" s="494">
        <f t="shared" si="816"/>
        <v>0</v>
      </c>
      <c r="Q167" s="494"/>
      <c r="R167" s="494"/>
      <c r="S167" s="494" t="s">
        <v>618</v>
      </c>
      <c r="T167" s="156">
        <v>3</v>
      </c>
      <c r="U167" s="493"/>
      <c r="V167" s="2">
        <f t="shared" si="797"/>
        <v>10917.603999999999</v>
      </c>
      <c r="W167" s="2"/>
      <c r="X167" s="198">
        <f t="shared" si="605"/>
        <v>2157</v>
      </c>
      <c r="Y167" s="198">
        <v>679.6</v>
      </c>
      <c r="Z167" s="42">
        <v>1477.4</v>
      </c>
      <c r="AA167" s="2">
        <v>8760.6039999999994</v>
      </c>
      <c r="AB167" s="567">
        <f t="shared" si="987"/>
        <v>10917.603999999999</v>
      </c>
      <c r="AC167" s="567"/>
      <c r="AD167" s="568">
        <f t="shared" si="606"/>
        <v>2157</v>
      </c>
      <c r="AE167" s="568">
        <v>679.6</v>
      </c>
      <c r="AF167" s="569">
        <v>1477.4</v>
      </c>
      <c r="AG167" s="567">
        <v>8760.6039999999994</v>
      </c>
      <c r="AH167" s="570"/>
      <c r="AI167" s="567">
        <f t="shared" si="988"/>
        <v>696.9</v>
      </c>
      <c r="AJ167" s="567"/>
      <c r="AK167" s="568">
        <v>696.9</v>
      </c>
      <c r="AL167" s="567"/>
      <c r="AM167" s="570"/>
      <c r="AN167" s="567">
        <f t="shared" si="989"/>
        <v>696.9</v>
      </c>
      <c r="AO167" s="567"/>
      <c r="AP167" s="568">
        <v>696.9</v>
      </c>
      <c r="AQ167" s="567"/>
      <c r="AR167" s="570"/>
      <c r="AS167" s="567">
        <f t="shared" si="990"/>
        <v>303</v>
      </c>
      <c r="AT167" s="567"/>
      <c r="AU167" s="568">
        <v>303</v>
      </c>
      <c r="AV167" s="567"/>
      <c r="AW167" s="604"/>
      <c r="AX167" s="410" t="s">
        <v>471</v>
      </c>
      <c r="AY167" s="567">
        <f t="shared" si="991"/>
        <v>10650.53975</v>
      </c>
      <c r="AZ167" s="567"/>
      <c r="BA167" s="568">
        <f t="shared" si="992"/>
        <v>2157</v>
      </c>
      <c r="BB167" s="568">
        <v>679.6</v>
      </c>
      <c r="BC167" s="569">
        <v>1477.4</v>
      </c>
      <c r="BD167" s="567">
        <v>8493.5397499999999</v>
      </c>
      <c r="BE167" s="570"/>
      <c r="BF167" s="567">
        <f t="shared" si="798"/>
        <v>267.06424999999945</v>
      </c>
      <c r="BG167" s="567">
        <f t="shared" si="799"/>
        <v>0</v>
      </c>
      <c r="BH167" s="567">
        <f t="shared" si="800"/>
        <v>0</v>
      </c>
      <c r="BI167" s="567">
        <f t="shared" si="801"/>
        <v>0</v>
      </c>
      <c r="BJ167" s="567">
        <f t="shared" si="802"/>
        <v>0</v>
      </c>
      <c r="BK167" s="567">
        <f t="shared" si="803"/>
        <v>267.06424999999945</v>
      </c>
      <c r="BL167" s="567" t="e">
        <f>#REF!-BE167</f>
        <v>#REF!</v>
      </c>
      <c r="BM167" s="567">
        <f t="shared" si="993"/>
        <v>696.9</v>
      </c>
      <c r="BN167" s="567"/>
      <c r="BO167" s="568">
        <f>303+393.9</f>
        <v>696.9</v>
      </c>
      <c r="BP167" s="567"/>
      <c r="BQ167" s="570"/>
      <c r="BR167" s="567">
        <f t="shared" si="994"/>
        <v>0</v>
      </c>
      <c r="BS167" s="567"/>
      <c r="BT167" s="568"/>
      <c r="BU167" s="567"/>
      <c r="BV167" s="570"/>
      <c r="BW167" s="567">
        <f t="shared" si="995"/>
        <v>10084.04052</v>
      </c>
      <c r="BX167" s="567"/>
      <c r="BY167" s="578">
        <f t="shared" si="804"/>
        <v>2113.86</v>
      </c>
      <c r="BZ167" s="571">
        <v>666.00800000000004</v>
      </c>
      <c r="CA167" s="571">
        <v>1447.8520000000001</v>
      </c>
      <c r="CB167" s="567">
        <v>7970.1805199999999</v>
      </c>
      <c r="CC167" s="577"/>
      <c r="CD167" s="567">
        <f t="shared" si="996"/>
        <v>10084.04052</v>
      </c>
      <c r="CE167" s="567"/>
      <c r="CF167" s="578">
        <f t="shared" si="805"/>
        <v>2113.86</v>
      </c>
      <c r="CG167" s="571">
        <v>666.00800000000004</v>
      </c>
      <c r="CH167" s="571">
        <v>1447.8520000000001</v>
      </c>
      <c r="CI167" s="567">
        <v>7970.1805199999999</v>
      </c>
      <c r="CJ167" s="577"/>
      <c r="CK167" s="567">
        <f t="shared" si="934"/>
        <v>1627.03124</v>
      </c>
      <c r="CL167" s="567"/>
      <c r="CM167" s="567">
        <v>641.95272</v>
      </c>
      <c r="CN167" s="567"/>
      <c r="CO167" s="567"/>
      <c r="CP167" s="567">
        <v>985.07852000000003</v>
      </c>
      <c r="CQ167" s="567"/>
      <c r="CR167" s="573">
        <f t="shared" si="997"/>
        <v>11711.071760000001</v>
      </c>
      <c r="CS167" s="567">
        <f t="shared" si="807"/>
        <v>11711.071760000001</v>
      </c>
      <c r="CT167" s="567">
        <f t="shared" si="808"/>
        <v>0</v>
      </c>
      <c r="CU167" s="567">
        <f t="shared" si="809"/>
        <v>2755.8127199999999</v>
      </c>
      <c r="CV167" s="567">
        <f t="shared" si="810"/>
        <v>8955.2590400000008</v>
      </c>
      <c r="CW167" s="567">
        <f t="shared" si="998"/>
        <v>0</v>
      </c>
      <c r="CX167" s="567">
        <f t="shared" ca="1" si="899"/>
        <v>0</v>
      </c>
      <c r="CY167" s="567">
        <f t="shared" si="811"/>
        <v>0</v>
      </c>
      <c r="CZ167" s="567">
        <f t="shared" si="812"/>
        <v>0</v>
      </c>
      <c r="DA167" s="567">
        <f t="shared" si="813"/>
        <v>0</v>
      </c>
      <c r="DB167" s="2">
        <f t="shared" si="999"/>
        <v>0</v>
      </c>
      <c r="DC167" s="76"/>
      <c r="DD167" s="253"/>
      <c r="DE167" s="253"/>
      <c r="DF167" s="2">
        <f t="shared" si="1000"/>
        <v>0</v>
      </c>
      <c r="DG167" s="2"/>
      <c r="DH167" s="198"/>
      <c r="DI167" s="2"/>
      <c r="DJ167" s="234"/>
      <c r="DK167" s="2">
        <f t="shared" si="1001"/>
        <v>0</v>
      </c>
      <c r="DL167" s="2"/>
      <c r="DM167" s="198"/>
      <c r="DN167" s="2"/>
      <c r="DO167" s="234"/>
      <c r="DP167" s="2">
        <f t="shared" si="1002"/>
        <v>0</v>
      </c>
      <c r="DQ167" s="2">
        <f t="shared" si="1003"/>
        <v>0</v>
      </c>
      <c r="DR167" s="2">
        <f t="shared" si="1003"/>
        <v>0</v>
      </c>
      <c r="DS167" s="2">
        <f t="shared" si="1003"/>
        <v>0</v>
      </c>
      <c r="DT167" s="2">
        <f t="shared" si="1003"/>
        <v>0</v>
      </c>
      <c r="DU167" s="2"/>
      <c r="DV167" s="2"/>
      <c r="DW167" s="2"/>
      <c r="DX167" s="2">
        <f t="shared" ca="1" si="1004"/>
        <v>0</v>
      </c>
      <c r="DY167" s="46"/>
      <c r="DZ167" s="2">
        <f t="shared" si="1005"/>
        <v>10084.04052</v>
      </c>
      <c r="EA167" s="2">
        <f t="shared" si="1006"/>
        <v>10084.04052</v>
      </c>
      <c r="EB167" s="46"/>
      <c r="EC167" s="2"/>
      <c r="ED167" s="2"/>
      <c r="EE167" s="46"/>
      <c r="EF167" s="2"/>
      <c r="EG167" s="46"/>
      <c r="EH167" s="46"/>
      <c r="EI167" s="2">
        <f t="shared" si="794"/>
        <v>10084.04052</v>
      </c>
      <c r="EJ167" s="2"/>
      <c r="EK167" s="433">
        <f t="shared" si="814"/>
        <v>2113.86</v>
      </c>
      <c r="EL167" s="446">
        <v>666.00800000000004</v>
      </c>
      <c r="EM167" s="446">
        <v>1447.8520000000001</v>
      </c>
      <c r="EN167" s="2">
        <v>7970.1805199999999</v>
      </c>
      <c r="EO167" s="236"/>
      <c r="EP167" s="2">
        <f t="shared" si="795"/>
        <v>1627.03124</v>
      </c>
      <c r="EQ167" s="2"/>
      <c r="ER167" s="2">
        <v>641.95272</v>
      </c>
      <c r="ES167" s="2">
        <v>125.00958</v>
      </c>
      <c r="ET167" s="2">
        <v>516.94313999999997</v>
      </c>
      <c r="EU167" s="2">
        <v>985.07852000000003</v>
      </c>
      <c r="EV167" s="141"/>
      <c r="EW167" s="310"/>
      <c r="EX167" s="310"/>
      <c r="EY167" s="310"/>
      <c r="EZ167" s="396"/>
      <c r="FA167" s="396"/>
      <c r="FB167" s="310"/>
      <c r="FC167" s="310"/>
      <c r="FD167" s="310"/>
      <c r="FE167" s="396"/>
      <c r="FF167" s="396"/>
      <c r="FG167" s="396"/>
      <c r="FH167" s="311"/>
      <c r="FI167" s="310"/>
      <c r="FJ167" s="296" t="e">
        <f t="shared" si="1009"/>
        <v>#DIV/0!</v>
      </c>
      <c r="FK167" s="353">
        <f t="shared" si="817"/>
        <v>2157</v>
      </c>
      <c r="FL167" s="353">
        <f t="shared" si="1030"/>
        <v>2157</v>
      </c>
      <c r="FM167" s="353"/>
      <c r="FN167" s="388">
        <f t="shared" si="1010"/>
        <v>1</v>
      </c>
      <c r="FO167" s="388">
        <f t="shared" si="1011"/>
        <v>0</v>
      </c>
      <c r="FP167" s="353">
        <f t="shared" si="818"/>
        <v>2755.8127199999999</v>
      </c>
      <c r="FQ167" s="353">
        <f t="shared" si="1012"/>
        <v>2113.86</v>
      </c>
      <c r="FR167" s="353">
        <f t="shared" si="1013"/>
        <v>641.95272</v>
      </c>
      <c r="FS167" s="388">
        <f t="shared" si="1014"/>
        <v>0.76705502687425009</v>
      </c>
      <c r="FT167" s="388">
        <f t="shared" si="1015"/>
        <v>0.23294497312574999</v>
      </c>
      <c r="FU167" s="388"/>
      <c r="FV167" s="353">
        <f t="shared" si="1016"/>
        <v>2755.8127199999999</v>
      </c>
      <c r="FW167" s="353">
        <f t="shared" si="819"/>
        <v>-641.95271999999977</v>
      </c>
      <c r="FX167" s="310"/>
      <c r="FY167" s="310"/>
      <c r="FZ167" s="310"/>
      <c r="GA167" s="396"/>
      <c r="GB167" s="396"/>
      <c r="GC167" s="310"/>
      <c r="GD167" s="310"/>
      <c r="GE167" s="310"/>
      <c r="GF167" s="396"/>
      <c r="GG167" s="396"/>
      <c r="GH167" s="396"/>
      <c r="GI167" s="311"/>
      <c r="GJ167" s="344"/>
      <c r="GK167" s="303">
        <f t="shared" si="796"/>
        <v>0.9236495956438795</v>
      </c>
    </row>
    <row r="168" spans="2:193" s="37" customFormat="1" ht="15.75" customHeight="1" x14ac:dyDescent="0.25">
      <c r="B168" s="29"/>
      <c r="C168" s="30"/>
      <c r="D168" s="30">
        <v>1</v>
      </c>
      <c r="E168" s="493">
        <v>138</v>
      </c>
      <c r="F168" s="29"/>
      <c r="G168" s="30"/>
      <c r="H168" s="30">
        <v>1</v>
      </c>
      <c r="I168" s="493"/>
      <c r="J168" s="494"/>
      <c r="K168" s="494"/>
      <c r="L168" s="53"/>
      <c r="M168" s="493">
        <v>116</v>
      </c>
      <c r="N168" s="494" t="s">
        <v>119</v>
      </c>
      <c r="O168" s="494"/>
      <c r="P168" s="494">
        <f t="shared" si="816"/>
        <v>0</v>
      </c>
      <c r="Q168" s="494" t="s">
        <v>701</v>
      </c>
      <c r="R168" s="494" t="s">
        <v>699</v>
      </c>
      <c r="S168" s="494" t="s">
        <v>521</v>
      </c>
      <c r="T168" s="156">
        <v>2</v>
      </c>
      <c r="U168" s="493"/>
      <c r="V168" s="2">
        <f t="shared" si="797"/>
        <v>1068.9000000000001</v>
      </c>
      <c r="W168" s="2"/>
      <c r="X168" s="198">
        <f t="shared" si="605"/>
        <v>1068.9000000000001</v>
      </c>
      <c r="Y168" s="198">
        <v>336.8</v>
      </c>
      <c r="Z168" s="42">
        <v>732.1</v>
      </c>
      <c r="AA168" s="2"/>
      <c r="AB168" s="567">
        <f t="shared" si="987"/>
        <v>1068.9000000000001</v>
      </c>
      <c r="AC168" s="567"/>
      <c r="AD168" s="568">
        <f t="shared" si="606"/>
        <v>1068.9000000000001</v>
      </c>
      <c r="AE168" s="568">
        <v>336.8</v>
      </c>
      <c r="AF168" s="569">
        <v>732.1</v>
      </c>
      <c r="AG168" s="567"/>
      <c r="AH168" s="570"/>
      <c r="AI168" s="567">
        <f t="shared" si="988"/>
        <v>345</v>
      </c>
      <c r="AJ168" s="567"/>
      <c r="AK168" s="568">
        <v>345</v>
      </c>
      <c r="AL168" s="567"/>
      <c r="AM168" s="570"/>
      <c r="AN168" s="567">
        <f t="shared" si="989"/>
        <v>345</v>
      </c>
      <c r="AO168" s="567"/>
      <c r="AP168" s="568">
        <v>345</v>
      </c>
      <c r="AQ168" s="567"/>
      <c r="AR168" s="570"/>
      <c r="AS168" s="567">
        <f t="shared" si="990"/>
        <v>150</v>
      </c>
      <c r="AT168" s="567"/>
      <c r="AU168" s="568">
        <v>150</v>
      </c>
      <c r="AV168" s="567"/>
      <c r="AW168" s="604"/>
      <c r="AX168" s="410" t="s">
        <v>394</v>
      </c>
      <c r="AY168" s="567">
        <f t="shared" si="991"/>
        <v>1068.9000000000001</v>
      </c>
      <c r="AZ168" s="567"/>
      <c r="BA168" s="578">
        <f t="shared" si="992"/>
        <v>1068.9000000000001</v>
      </c>
      <c r="BB168" s="568">
        <v>336.8</v>
      </c>
      <c r="BC168" s="569">
        <v>732.1</v>
      </c>
      <c r="BD168" s="567"/>
      <c r="BE168" s="570"/>
      <c r="BF168" s="567">
        <f t="shared" si="798"/>
        <v>0</v>
      </c>
      <c r="BG168" s="567">
        <f t="shared" si="799"/>
        <v>0</v>
      </c>
      <c r="BH168" s="567">
        <f t="shared" si="800"/>
        <v>0</v>
      </c>
      <c r="BI168" s="567">
        <f t="shared" si="801"/>
        <v>0</v>
      </c>
      <c r="BJ168" s="567">
        <f t="shared" si="802"/>
        <v>0</v>
      </c>
      <c r="BK168" s="567">
        <f t="shared" si="803"/>
        <v>0</v>
      </c>
      <c r="BL168" s="567" t="e">
        <f>#REF!-BE168</f>
        <v>#REF!</v>
      </c>
      <c r="BM168" s="567">
        <f t="shared" si="993"/>
        <v>345</v>
      </c>
      <c r="BN168" s="567"/>
      <c r="BO168" s="568">
        <v>345</v>
      </c>
      <c r="BP168" s="567"/>
      <c r="BQ168" s="570"/>
      <c r="BR168" s="567">
        <f t="shared" si="994"/>
        <v>0</v>
      </c>
      <c r="BS168" s="567"/>
      <c r="BT168" s="570"/>
      <c r="BU168" s="567"/>
      <c r="BV168" s="570"/>
      <c r="BW168" s="567">
        <f t="shared" si="995"/>
        <v>871.15350000000001</v>
      </c>
      <c r="BX168" s="567"/>
      <c r="BY168" s="568">
        <f t="shared" si="804"/>
        <v>871.15350000000001</v>
      </c>
      <c r="BZ168" s="571">
        <v>274.49180999999999</v>
      </c>
      <c r="CA168" s="571">
        <v>596.66169000000002</v>
      </c>
      <c r="CB168" s="567"/>
      <c r="CC168" s="577"/>
      <c r="CD168" s="567">
        <f t="shared" si="996"/>
        <v>871.15350000000001</v>
      </c>
      <c r="CE168" s="567"/>
      <c r="CF168" s="568">
        <f t="shared" si="805"/>
        <v>871.15350000000001</v>
      </c>
      <c r="CG168" s="571">
        <v>274.49180999999999</v>
      </c>
      <c r="CH168" s="571">
        <v>596.66169000000002</v>
      </c>
      <c r="CI168" s="567"/>
      <c r="CJ168" s="577"/>
      <c r="CK168" s="567">
        <f t="shared" si="934"/>
        <v>163.8965</v>
      </c>
      <c r="CL168" s="567"/>
      <c r="CM168" s="567">
        <v>163.8965</v>
      </c>
      <c r="CN168" s="567"/>
      <c r="CO168" s="567"/>
      <c r="CP168" s="567"/>
      <c r="CQ168" s="567"/>
      <c r="CR168" s="573">
        <f t="shared" si="997"/>
        <v>1035.05</v>
      </c>
      <c r="CS168" s="567">
        <f t="shared" si="807"/>
        <v>1035.05</v>
      </c>
      <c r="CT168" s="567">
        <f t="shared" si="808"/>
        <v>0</v>
      </c>
      <c r="CU168" s="567">
        <f t="shared" si="809"/>
        <v>1035.05</v>
      </c>
      <c r="CV168" s="567">
        <f t="shared" si="810"/>
        <v>0</v>
      </c>
      <c r="CW168" s="567">
        <f t="shared" si="998"/>
        <v>0</v>
      </c>
      <c r="CX168" s="567">
        <f t="shared" ca="1" si="899"/>
        <v>0</v>
      </c>
      <c r="CY168" s="567">
        <f t="shared" si="811"/>
        <v>0</v>
      </c>
      <c r="CZ168" s="567">
        <f t="shared" si="812"/>
        <v>0</v>
      </c>
      <c r="DA168" s="567">
        <f t="shared" si="813"/>
        <v>0</v>
      </c>
      <c r="DB168" s="2">
        <f t="shared" si="999"/>
        <v>0</v>
      </c>
      <c r="DC168" s="76"/>
      <c r="DD168" s="253"/>
      <c r="DE168" s="253"/>
      <c r="DF168" s="2">
        <f t="shared" si="1000"/>
        <v>0</v>
      </c>
      <c r="DG168" s="2"/>
      <c r="DH168" s="234"/>
      <c r="DI168" s="2"/>
      <c r="DJ168" s="234"/>
      <c r="DK168" s="2">
        <f t="shared" si="1001"/>
        <v>0</v>
      </c>
      <c r="DL168" s="2"/>
      <c r="DM168" s="234"/>
      <c r="DN168" s="2"/>
      <c r="DO168" s="234"/>
      <c r="DP168" s="2">
        <f t="shared" si="1002"/>
        <v>0</v>
      </c>
      <c r="DQ168" s="2">
        <f t="shared" si="1003"/>
        <v>0</v>
      </c>
      <c r="DR168" s="2">
        <f t="shared" si="1003"/>
        <v>0</v>
      </c>
      <c r="DS168" s="2">
        <f t="shared" si="1003"/>
        <v>0</v>
      </c>
      <c r="DT168" s="2">
        <f t="shared" si="1003"/>
        <v>0</v>
      </c>
      <c r="DU168" s="2"/>
      <c r="DV168" s="2"/>
      <c r="DW168" s="2"/>
      <c r="DX168" s="2">
        <f t="shared" ca="1" si="1004"/>
        <v>0</v>
      </c>
      <c r="DY168" s="46"/>
      <c r="DZ168" s="2">
        <f t="shared" si="1005"/>
        <v>871.15350000000001</v>
      </c>
      <c r="EA168" s="2">
        <f t="shared" si="1006"/>
        <v>871.15350000000001</v>
      </c>
      <c r="EB168" s="46"/>
      <c r="EC168" s="2"/>
      <c r="ED168" s="2"/>
      <c r="EE168" s="46"/>
      <c r="EF168" s="2"/>
      <c r="EG168" s="46"/>
      <c r="EH168" s="46"/>
      <c r="EI168" s="2">
        <f t="shared" si="794"/>
        <v>871.15350000000001</v>
      </c>
      <c r="EJ168" s="2"/>
      <c r="EK168" s="198">
        <f t="shared" si="814"/>
        <v>871.15350000000001</v>
      </c>
      <c r="EL168" s="446">
        <v>274.49180999999999</v>
      </c>
      <c r="EM168" s="446">
        <v>596.66169000000002</v>
      </c>
      <c r="EN168" s="2"/>
      <c r="EO168" s="236"/>
      <c r="EP168" s="2">
        <f t="shared" si="795"/>
        <v>163.8965</v>
      </c>
      <c r="EQ168" s="2"/>
      <c r="ER168" s="2">
        <v>163.8965</v>
      </c>
      <c r="ES168" s="2">
        <v>51.50797</v>
      </c>
      <c r="ET168" s="2">
        <v>112.38853</v>
      </c>
      <c r="EU168" s="2"/>
      <c r="EV168" s="141"/>
      <c r="EW168" s="310"/>
      <c r="EX168" s="310"/>
      <c r="EY168" s="310"/>
      <c r="EZ168" s="396"/>
      <c r="FA168" s="396"/>
      <c r="FB168" s="310"/>
      <c r="FC168" s="310"/>
      <c r="FD168" s="310"/>
      <c r="FE168" s="396"/>
      <c r="FF168" s="396"/>
      <c r="FG168" s="396"/>
      <c r="FH168" s="311"/>
      <c r="FI168" s="310"/>
      <c r="FJ168" s="296" t="e">
        <f t="shared" si="1009"/>
        <v>#DIV/0!</v>
      </c>
      <c r="FK168" s="353">
        <f t="shared" si="817"/>
        <v>1068.9000000000001</v>
      </c>
      <c r="FL168" s="353">
        <f t="shared" si="1030"/>
        <v>1068.9000000000001</v>
      </c>
      <c r="FM168" s="353"/>
      <c r="FN168" s="388">
        <f t="shared" si="1010"/>
        <v>1</v>
      </c>
      <c r="FO168" s="388">
        <f t="shared" si="1011"/>
        <v>0</v>
      </c>
      <c r="FP168" s="353">
        <f t="shared" si="818"/>
        <v>1035.05</v>
      </c>
      <c r="FQ168" s="353">
        <f t="shared" si="1012"/>
        <v>871.15350000000001</v>
      </c>
      <c r="FR168" s="353">
        <f t="shared" si="1013"/>
        <v>163.8965</v>
      </c>
      <c r="FS168" s="388">
        <f t="shared" si="1014"/>
        <v>0.84165354330708664</v>
      </c>
      <c r="FT168" s="388">
        <f t="shared" si="1015"/>
        <v>0.15834645669291339</v>
      </c>
      <c r="FU168" s="388"/>
      <c r="FV168" s="353">
        <f t="shared" si="1016"/>
        <v>1035.05</v>
      </c>
      <c r="FW168" s="353">
        <f t="shared" si="819"/>
        <v>-163.89649999999995</v>
      </c>
      <c r="FX168" s="310"/>
      <c r="FY168" s="310"/>
      <c r="FZ168" s="310"/>
      <c r="GA168" s="396"/>
      <c r="GB168" s="396"/>
      <c r="GC168" s="310"/>
      <c r="GD168" s="310"/>
      <c r="GE168" s="310"/>
      <c r="GF168" s="396"/>
      <c r="GG168" s="396"/>
      <c r="GH168" s="396"/>
      <c r="GI168" s="311"/>
      <c r="GJ168" s="344"/>
      <c r="GK168" s="303">
        <f t="shared" si="796"/>
        <v>0.81499999999999995</v>
      </c>
    </row>
    <row r="169" spans="2:193" s="37" customFormat="1" ht="15.75" customHeight="1" x14ac:dyDescent="0.25">
      <c r="B169" s="29"/>
      <c r="C169" s="30"/>
      <c r="D169" s="30">
        <v>1</v>
      </c>
      <c r="E169" s="493">
        <v>139</v>
      </c>
      <c r="F169" s="29"/>
      <c r="G169" s="30"/>
      <c r="H169" s="30"/>
      <c r="M169" s="493">
        <v>117</v>
      </c>
      <c r="N169" s="494" t="s">
        <v>120</v>
      </c>
      <c r="O169" s="494"/>
      <c r="P169" s="494">
        <f t="shared" si="816"/>
        <v>0</v>
      </c>
      <c r="Q169" s="494" t="s">
        <v>701</v>
      </c>
      <c r="R169" s="494" t="s">
        <v>699</v>
      </c>
      <c r="S169" s="494" t="s">
        <v>597</v>
      </c>
      <c r="T169" s="156">
        <v>2</v>
      </c>
      <c r="U169" s="493"/>
      <c r="V169" s="2">
        <f t="shared" si="797"/>
        <v>2144.1999999999998</v>
      </c>
      <c r="W169" s="2"/>
      <c r="X169" s="198">
        <f t="shared" si="605"/>
        <v>2144.1999999999998</v>
      </c>
      <c r="Y169" s="198">
        <v>675.6</v>
      </c>
      <c r="Z169" s="42">
        <v>1468.6</v>
      </c>
      <c r="AA169" s="2"/>
      <c r="AB169" s="567">
        <f t="shared" si="987"/>
        <v>2144.1999999999998</v>
      </c>
      <c r="AC169" s="567"/>
      <c r="AD169" s="568">
        <f t="shared" si="606"/>
        <v>2144.1999999999998</v>
      </c>
      <c r="AE169" s="568">
        <v>675.6</v>
      </c>
      <c r="AF169" s="569">
        <v>1468.6</v>
      </c>
      <c r="AG169" s="567"/>
      <c r="AH169" s="580"/>
      <c r="AI169" s="567">
        <f t="shared" si="988"/>
        <v>692.3</v>
      </c>
      <c r="AJ169" s="567"/>
      <c r="AK169" s="568">
        <v>692.3</v>
      </c>
      <c r="AL169" s="567"/>
      <c r="AM169" s="580"/>
      <c r="AN169" s="567">
        <f t="shared" si="989"/>
        <v>692.3</v>
      </c>
      <c r="AO169" s="567"/>
      <c r="AP169" s="568">
        <v>692.3</v>
      </c>
      <c r="AQ169" s="567"/>
      <c r="AR169" s="580"/>
      <c r="AS169" s="567">
        <f t="shared" si="990"/>
        <v>301</v>
      </c>
      <c r="AT169" s="567"/>
      <c r="AU169" s="568">
        <v>301</v>
      </c>
      <c r="AV169" s="567"/>
      <c r="AW169" s="581"/>
      <c r="AX169" s="410" t="s">
        <v>453</v>
      </c>
      <c r="AY169" s="567">
        <f t="shared" si="991"/>
        <v>1935.6769999999999</v>
      </c>
      <c r="AZ169" s="567"/>
      <c r="BA169" s="568">
        <f t="shared" si="992"/>
        <v>1935.6769999999999</v>
      </c>
      <c r="BB169" s="568">
        <f>675.6-208.523</f>
        <v>467.077</v>
      </c>
      <c r="BC169" s="569">
        <f>1260.077+208.523</f>
        <v>1468.6</v>
      </c>
      <c r="BD169" s="567"/>
      <c r="BE169" s="567"/>
      <c r="BF169" s="567">
        <f t="shared" si="798"/>
        <v>208.52300000000002</v>
      </c>
      <c r="BG169" s="567">
        <f t="shared" si="799"/>
        <v>0</v>
      </c>
      <c r="BH169" s="567">
        <f t="shared" si="800"/>
        <v>208.52300000000002</v>
      </c>
      <c r="BI169" s="567">
        <f t="shared" si="801"/>
        <v>208.52300000000002</v>
      </c>
      <c r="BJ169" s="567">
        <f t="shared" si="802"/>
        <v>0</v>
      </c>
      <c r="BK169" s="567">
        <f t="shared" si="803"/>
        <v>0</v>
      </c>
      <c r="BL169" s="567" t="e">
        <f>#REF!-BE169</f>
        <v>#REF!</v>
      </c>
      <c r="BM169" s="567">
        <f t="shared" si="993"/>
        <v>562.99199999999996</v>
      </c>
      <c r="BN169" s="567"/>
      <c r="BO169" s="567">
        <v>562.99199999999996</v>
      </c>
      <c r="BP169" s="567"/>
      <c r="BQ169" s="567"/>
      <c r="BR169" s="567">
        <f t="shared" si="994"/>
        <v>0</v>
      </c>
      <c r="BS169" s="567"/>
      <c r="BT169" s="567"/>
      <c r="BU169" s="567"/>
      <c r="BV169" s="567"/>
      <c r="BW169" s="567">
        <f t="shared" si="995"/>
        <v>1665.7838099999999</v>
      </c>
      <c r="BX169" s="567"/>
      <c r="BY169" s="568">
        <f t="shared" si="804"/>
        <v>1665.7838099999999</v>
      </c>
      <c r="BZ169" s="571">
        <f>550.61571-208.523</f>
        <v>342.09271000000001</v>
      </c>
      <c r="CA169" s="571">
        <f>1115.1681+208.523</f>
        <v>1323.6911</v>
      </c>
      <c r="CB169" s="567"/>
      <c r="CC169" s="567"/>
      <c r="CD169" s="567">
        <f t="shared" si="996"/>
        <v>1665.7838099999999</v>
      </c>
      <c r="CE169" s="567"/>
      <c r="CF169" s="568">
        <f t="shared" si="805"/>
        <v>1665.7838099999999</v>
      </c>
      <c r="CG169" s="571">
        <f>550.61571-208.523</f>
        <v>342.09271000000001</v>
      </c>
      <c r="CH169" s="571">
        <f>1115.1681+208.523</f>
        <v>1323.6911</v>
      </c>
      <c r="CI169" s="567"/>
      <c r="CJ169" s="567"/>
      <c r="CK169" s="567">
        <f t="shared" si="934"/>
        <v>209.0907</v>
      </c>
      <c r="CL169" s="567"/>
      <c r="CM169" s="567">
        <v>209.0907</v>
      </c>
      <c r="CN169" s="567">
        <v>85.183090000000007</v>
      </c>
      <c r="CO169" s="569"/>
      <c r="CP169" s="567"/>
      <c r="CQ169" s="567"/>
      <c r="CR169" s="573">
        <f t="shared" si="997"/>
        <v>1874.8745099999999</v>
      </c>
      <c r="CS169" s="567">
        <f t="shared" si="807"/>
        <v>1874.8745099999999</v>
      </c>
      <c r="CT169" s="567">
        <f t="shared" si="808"/>
        <v>0</v>
      </c>
      <c r="CU169" s="567">
        <f t="shared" si="809"/>
        <v>1874.8745099999999</v>
      </c>
      <c r="CV169" s="567">
        <f t="shared" si="810"/>
        <v>0</v>
      </c>
      <c r="CW169" s="567">
        <f t="shared" si="998"/>
        <v>0</v>
      </c>
      <c r="CX169" s="567">
        <f t="shared" ca="1" si="899"/>
        <v>0</v>
      </c>
      <c r="CY169" s="567">
        <f t="shared" si="811"/>
        <v>0</v>
      </c>
      <c r="CZ169" s="567">
        <f t="shared" si="812"/>
        <v>0</v>
      </c>
      <c r="DA169" s="567">
        <f t="shared" si="813"/>
        <v>0</v>
      </c>
      <c r="DB169" s="2">
        <f t="shared" si="999"/>
        <v>0</v>
      </c>
      <c r="DC169" s="76"/>
      <c r="DD169" s="253"/>
      <c r="DE169" s="253"/>
      <c r="DF169" s="2">
        <f t="shared" si="1000"/>
        <v>0</v>
      </c>
      <c r="DG169" s="2"/>
      <c r="DH169" s="2"/>
      <c r="DI169" s="2"/>
      <c r="DJ169" s="2"/>
      <c r="DK169" s="2">
        <f t="shared" si="1001"/>
        <v>0</v>
      </c>
      <c r="DL169" s="2"/>
      <c r="DM169" s="2"/>
      <c r="DN169" s="2"/>
      <c r="DO169" s="2"/>
      <c r="DP169" s="2">
        <f t="shared" si="1002"/>
        <v>0</v>
      </c>
      <c r="DQ169" s="2">
        <f t="shared" si="1003"/>
        <v>0</v>
      </c>
      <c r="DR169" s="2">
        <f t="shared" si="1003"/>
        <v>0</v>
      </c>
      <c r="DS169" s="2">
        <f t="shared" si="1003"/>
        <v>0</v>
      </c>
      <c r="DT169" s="2">
        <f t="shared" si="1003"/>
        <v>0</v>
      </c>
      <c r="DU169" s="2"/>
      <c r="DV169" s="2"/>
      <c r="DW169" s="2"/>
      <c r="DX169" s="2">
        <f t="shared" ca="1" si="1004"/>
        <v>0</v>
      </c>
      <c r="DY169" s="46"/>
      <c r="DZ169" s="2">
        <f t="shared" si="1005"/>
        <v>1665.7838099999999</v>
      </c>
      <c r="EA169" s="2">
        <f t="shared" si="1006"/>
        <v>1665.7838099999999</v>
      </c>
      <c r="EB169" s="46"/>
      <c r="EC169" s="2"/>
      <c r="ED169" s="2"/>
      <c r="EE169" s="46"/>
      <c r="EF169" s="2"/>
      <c r="EG169" s="46"/>
      <c r="EH169" s="46"/>
      <c r="EI169" s="2">
        <f t="shared" si="794"/>
        <v>1665.7838099999999</v>
      </c>
      <c r="EJ169" s="2"/>
      <c r="EK169" s="198">
        <f t="shared" si="814"/>
        <v>1665.7838099999999</v>
      </c>
      <c r="EL169" s="446">
        <f>550.61571-208.523</f>
        <v>342.09271000000001</v>
      </c>
      <c r="EM169" s="446">
        <f>1115.1681+208.523</f>
        <v>1323.6911</v>
      </c>
      <c r="EN169" s="2"/>
      <c r="EO169" s="2"/>
      <c r="EP169" s="2">
        <f t="shared" si="795"/>
        <v>209.0907</v>
      </c>
      <c r="EQ169" s="2"/>
      <c r="ER169" s="2">
        <v>209.0907</v>
      </c>
      <c r="ES169" s="2">
        <v>85.183090000000007</v>
      </c>
      <c r="ET169" s="2">
        <v>123.90761000000001</v>
      </c>
      <c r="EU169" s="2"/>
      <c r="EV169" s="141"/>
      <c r="EW169" s="310"/>
      <c r="EX169" s="310"/>
      <c r="EY169" s="310"/>
      <c r="EZ169" s="396"/>
      <c r="FA169" s="396"/>
      <c r="FB169" s="310"/>
      <c r="FC169" s="310"/>
      <c r="FD169" s="310"/>
      <c r="FE169" s="396"/>
      <c r="FF169" s="396"/>
      <c r="FG169" s="396"/>
      <c r="FH169" s="311"/>
      <c r="FI169" s="310"/>
      <c r="FJ169" s="296" t="e">
        <f t="shared" si="1009"/>
        <v>#DIV/0!</v>
      </c>
      <c r="FK169" s="353">
        <f t="shared" si="817"/>
        <v>1935.6769999999999</v>
      </c>
      <c r="FL169" s="353">
        <f t="shared" si="1030"/>
        <v>1935.6769999999999</v>
      </c>
      <c r="FM169" s="353"/>
      <c r="FN169" s="388">
        <f t="shared" si="1010"/>
        <v>1</v>
      </c>
      <c r="FO169" s="388">
        <f t="shared" si="1011"/>
        <v>0</v>
      </c>
      <c r="FP169" s="353">
        <f t="shared" si="818"/>
        <v>1874.8745099999999</v>
      </c>
      <c r="FQ169" s="353">
        <f t="shared" si="1012"/>
        <v>1665.7838099999999</v>
      </c>
      <c r="FR169" s="353">
        <f t="shared" si="1013"/>
        <v>209.0907</v>
      </c>
      <c r="FS169" s="388">
        <f t="shared" si="1014"/>
        <v>0.88847749602185377</v>
      </c>
      <c r="FT169" s="388">
        <f t="shared" si="1015"/>
        <v>0.11152250397814625</v>
      </c>
      <c r="FU169" s="388"/>
      <c r="FV169" s="353">
        <f t="shared" si="1016"/>
        <v>1874.8745099999999</v>
      </c>
      <c r="FW169" s="353">
        <f t="shared" si="819"/>
        <v>-209.09069999999997</v>
      </c>
      <c r="FX169" s="310"/>
      <c r="FY169" s="310"/>
      <c r="FZ169" s="310"/>
      <c r="GA169" s="396"/>
      <c r="GB169" s="396"/>
      <c r="GC169" s="310"/>
      <c r="GD169" s="310"/>
      <c r="GE169" s="310"/>
      <c r="GF169" s="396"/>
      <c r="GG169" s="396"/>
      <c r="GH169" s="396"/>
      <c r="GI169" s="311"/>
      <c r="GJ169" s="344"/>
      <c r="GK169" s="303">
        <f t="shared" si="796"/>
        <v>0.77687893386810936</v>
      </c>
    </row>
    <row r="170" spans="2:193" s="37" customFormat="1" ht="15.6" customHeight="1" x14ac:dyDescent="0.25">
      <c r="B170" s="29"/>
      <c r="C170" s="30"/>
      <c r="D170" s="30">
        <v>1</v>
      </c>
      <c r="E170" s="493">
        <v>140</v>
      </c>
      <c r="F170" s="29"/>
      <c r="G170" s="30"/>
      <c r="H170" s="30">
        <v>1</v>
      </c>
      <c r="I170" s="493"/>
      <c r="J170" s="494"/>
      <c r="K170" s="494"/>
      <c r="L170" s="53"/>
      <c r="M170" s="493">
        <v>118</v>
      </c>
      <c r="N170" s="494" t="s">
        <v>121</v>
      </c>
      <c r="O170" s="494" t="s">
        <v>336</v>
      </c>
      <c r="P170" s="494">
        <f t="shared" si="816"/>
        <v>0</v>
      </c>
      <c r="Q170" s="494"/>
      <c r="R170" s="494"/>
      <c r="S170" s="494" t="s">
        <v>505</v>
      </c>
      <c r="T170" s="156">
        <v>2</v>
      </c>
      <c r="U170" s="493"/>
      <c r="V170" s="2">
        <f t="shared" si="797"/>
        <v>3379.5</v>
      </c>
      <c r="W170" s="2"/>
      <c r="X170" s="198">
        <f t="shared" ref="X170:X233" si="1031">Y170+Z170</f>
        <v>3379.5</v>
      </c>
      <c r="Y170" s="198">
        <v>1064.8</v>
      </c>
      <c r="Z170" s="42">
        <v>2314.6999999999998</v>
      </c>
      <c r="AA170" s="2"/>
      <c r="AB170" s="567">
        <f t="shared" si="987"/>
        <v>3379.5</v>
      </c>
      <c r="AC170" s="567"/>
      <c r="AD170" s="568">
        <f t="shared" ref="AD170:AD233" si="1032">AE170+AF170</f>
        <v>3379.5</v>
      </c>
      <c r="AE170" s="568">
        <v>1064.8</v>
      </c>
      <c r="AF170" s="569">
        <v>2314.6999999999998</v>
      </c>
      <c r="AG170" s="567"/>
      <c r="AH170" s="570"/>
      <c r="AI170" s="567">
        <f t="shared" si="988"/>
        <v>690</v>
      </c>
      <c r="AJ170" s="567"/>
      <c r="AK170" s="568">
        <v>690</v>
      </c>
      <c r="AL170" s="567"/>
      <c r="AM170" s="570"/>
      <c r="AN170" s="567">
        <f t="shared" si="989"/>
        <v>690</v>
      </c>
      <c r="AO170" s="567"/>
      <c r="AP170" s="568">
        <v>690</v>
      </c>
      <c r="AQ170" s="567"/>
      <c r="AR170" s="570"/>
      <c r="AS170" s="567">
        <f t="shared" si="990"/>
        <v>300</v>
      </c>
      <c r="AT170" s="567"/>
      <c r="AU170" s="568">
        <v>300</v>
      </c>
      <c r="AV170" s="567"/>
      <c r="AW170" s="604"/>
      <c r="AX170" s="410" t="s">
        <v>382</v>
      </c>
      <c r="AY170" s="567">
        <f t="shared" si="991"/>
        <v>3379.5</v>
      </c>
      <c r="AZ170" s="567"/>
      <c r="BA170" s="568">
        <f t="shared" si="992"/>
        <v>3379.5</v>
      </c>
      <c r="BB170" s="568">
        <v>1064.8</v>
      </c>
      <c r="BC170" s="569">
        <v>2314.6999999999998</v>
      </c>
      <c r="BD170" s="567"/>
      <c r="BE170" s="570"/>
      <c r="BF170" s="567">
        <f t="shared" si="798"/>
        <v>0</v>
      </c>
      <c r="BG170" s="567">
        <f t="shared" si="799"/>
        <v>0</v>
      </c>
      <c r="BH170" s="567">
        <f t="shared" si="800"/>
        <v>0</v>
      </c>
      <c r="BI170" s="567">
        <f t="shared" si="801"/>
        <v>0</v>
      </c>
      <c r="BJ170" s="567">
        <f t="shared" si="802"/>
        <v>0</v>
      </c>
      <c r="BK170" s="567">
        <f t="shared" si="803"/>
        <v>0</v>
      </c>
      <c r="BL170" s="567" t="e">
        <f>#REF!-BE170</f>
        <v>#REF!</v>
      </c>
      <c r="BM170" s="567">
        <f t="shared" si="993"/>
        <v>690</v>
      </c>
      <c r="BN170" s="567"/>
      <c r="BO170" s="568">
        <f>300+390</f>
        <v>690</v>
      </c>
      <c r="BP170" s="567"/>
      <c r="BQ170" s="570"/>
      <c r="BR170" s="567">
        <f t="shared" si="994"/>
        <v>0</v>
      </c>
      <c r="BS170" s="567"/>
      <c r="BT170" s="568"/>
      <c r="BU170" s="567"/>
      <c r="BV170" s="570"/>
      <c r="BW170" s="567">
        <f t="shared" si="995"/>
        <v>2926.1846599999999</v>
      </c>
      <c r="BX170" s="567"/>
      <c r="BY170" s="568">
        <f t="shared" si="804"/>
        <v>2926.1846599999999</v>
      </c>
      <c r="BZ170" s="571">
        <v>770.34185000000002</v>
      </c>
      <c r="CA170" s="571">
        <v>2155.8428100000001</v>
      </c>
      <c r="CB170" s="567"/>
      <c r="CC170" s="577"/>
      <c r="CD170" s="567">
        <f t="shared" si="996"/>
        <v>2926.1846599999999</v>
      </c>
      <c r="CE170" s="567"/>
      <c r="CF170" s="568">
        <f t="shared" si="805"/>
        <v>2926.1846599999999</v>
      </c>
      <c r="CG170" s="571">
        <v>770.34185000000002</v>
      </c>
      <c r="CH170" s="571">
        <v>2155.8428100000001</v>
      </c>
      <c r="CI170" s="567"/>
      <c r="CJ170" s="577"/>
      <c r="CK170" s="567">
        <f t="shared" si="934"/>
        <v>289.47287</v>
      </c>
      <c r="CL170" s="567"/>
      <c r="CM170" s="567">
        <v>289.47287</v>
      </c>
      <c r="CN170" s="567"/>
      <c r="CO170" s="567"/>
      <c r="CP170" s="567"/>
      <c r="CQ170" s="567"/>
      <c r="CR170" s="573">
        <f t="shared" si="997"/>
        <v>3215.65753</v>
      </c>
      <c r="CS170" s="567">
        <f t="shared" si="807"/>
        <v>3215.65753</v>
      </c>
      <c r="CT170" s="567">
        <f t="shared" si="808"/>
        <v>0</v>
      </c>
      <c r="CU170" s="567">
        <f t="shared" si="809"/>
        <v>3215.65753</v>
      </c>
      <c r="CV170" s="567">
        <f t="shared" si="810"/>
        <v>0</v>
      </c>
      <c r="CW170" s="567">
        <f t="shared" si="998"/>
        <v>0</v>
      </c>
      <c r="CX170" s="567">
        <f t="shared" ca="1" si="899"/>
        <v>0</v>
      </c>
      <c r="CY170" s="567">
        <f t="shared" si="811"/>
        <v>0</v>
      </c>
      <c r="CZ170" s="567">
        <f t="shared" si="812"/>
        <v>0</v>
      </c>
      <c r="DA170" s="567">
        <f t="shared" si="813"/>
        <v>0</v>
      </c>
      <c r="DB170" s="2">
        <f t="shared" si="999"/>
        <v>0</v>
      </c>
      <c r="DC170" s="76"/>
      <c r="DD170" s="253"/>
      <c r="DE170" s="253"/>
      <c r="DF170" s="2">
        <f t="shared" si="1000"/>
        <v>0</v>
      </c>
      <c r="DG170" s="2"/>
      <c r="DH170" s="198"/>
      <c r="DI170" s="2"/>
      <c r="DJ170" s="234"/>
      <c r="DK170" s="2">
        <f t="shared" si="1001"/>
        <v>0</v>
      </c>
      <c r="DL170" s="2"/>
      <c r="DM170" s="198"/>
      <c r="DN170" s="2"/>
      <c r="DO170" s="234"/>
      <c r="DP170" s="2">
        <f t="shared" si="1002"/>
        <v>0</v>
      </c>
      <c r="DQ170" s="2">
        <f t="shared" si="1003"/>
        <v>0</v>
      </c>
      <c r="DR170" s="2">
        <f t="shared" si="1003"/>
        <v>0</v>
      </c>
      <c r="DS170" s="2">
        <f t="shared" si="1003"/>
        <v>0</v>
      </c>
      <c r="DT170" s="2">
        <f t="shared" si="1003"/>
        <v>0</v>
      </c>
      <c r="DU170" s="2"/>
      <c r="DV170" s="2"/>
      <c r="DW170" s="2"/>
      <c r="DX170" s="2">
        <f t="shared" ca="1" si="1004"/>
        <v>0</v>
      </c>
      <c r="DY170" s="46"/>
      <c r="DZ170" s="2">
        <f t="shared" si="1005"/>
        <v>2926.1846599999999</v>
      </c>
      <c r="EA170" s="2">
        <f t="shared" si="1006"/>
        <v>2926.1846599999999</v>
      </c>
      <c r="EB170" s="46"/>
      <c r="EC170" s="2"/>
      <c r="ED170" s="2"/>
      <c r="EE170" s="46"/>
      <c r="EF170" s="2"/>
      <c r="EG170" s="46"/>
      <c r="EH170" s="46"/>
      <c r="EI170" s="2">
        <f t="shared" si="794"/>
        <v>2926.1846599999999</v>
      </c>
      <c r="EJ170" s="2"/>
      <c r="EK170" s="198">
        <f t="shared" si="814"/>
        <v>2926.1846599999999</v>
      </c>
      <c r="EL170" s="446">
        <v>770.34185000000002</v>
      </c>
      <c r="EM170" s="446">
        <v>2155.8428100000001</v>
      </c>
      <c r="EN170" s="2"/>
      <c r="EO170" s="236"/>
      <c r="EP170" s="2">
        <f t="shared" si="795"/>
        <v>289.47287</v>
      </c>
      <c r="EQ170" s="2"/>
      <c r="ER170" s="2">
        <v>289.47287</v>
      </c>
      <c r="ES170" s="2">
        <v>76.253709999999998</v>
      </c>
      <c r="ET170" s="2">
        <v>213.21915999999999</v>
      </c>
      <c r="EU170" s="2"/>
      <c r="EV170" s="141"/>
      <c r="EW170" s="310"/>
      <c r="EX170" s="310"/>
      <c r="EY170" s="310"/>
      <c r="EZ170" s="396"/>
      <c r="FA170" s="396"/>
      <c r="FB170" s="310"/>
      <c r="FC170" s="310"/>
      <c r="FD170" s="310"/>
      <c r="FE170" s="396"/>
      <c r="FF170" s="396"/>
      <c r="FG170" s="396"/>
      <c r="FH170" s="311"/>
      <c r="FI170" s="310"/>
      <c r="FJ170" s="296" t="e">
        <f t="shared" si="1009"/>
        <v>#DIV/0!</v>
      </c>
      <c r="FK170" s="353">
        <f t="shared" si="817"/>
        <v>3379.5</v>
      </c>
      <c r="FL170" s="353">
        <f t="shared" si="1030"/>
        <v>3379.5</v>
      </c>
      <c r="FM170" s="353"/>
      <c r="FN170" s="388">
        <f t="shared" si="1010"/>
        <v>1</v>
      </c>
      <c r="FO170" s="388">
        <f t="shared" si="1011"/>
        <v>0</v>
      </c>
      <c r="FP170" s="353">
        <f t="shared" si="818"/>
        <v>3215.65753</v>
      </c>
      <c r="FQ170" s="353">
        <f t="shared" si="1012"/>
        <v>2926.1846599999999</v>
      </c>
      <c r="FR170" s="353">
        <f t="shared" si="1013"/>
        <v>289.47287</v>
      </c>
      <c r="FS170" s="388">
        <f t="shared" si="1014"/>
        <v>0.90998019307111977</v>
      </c>
      <c r="FT170" s="388">
        <f t="shared" si="1015"/>
        <v>9.0019806928880272E-2</v>
      </c>
      <c r="FU170" s="388"/>
      <c r="FV170" s="353">
        <f t="shared" si="1016"/>
        <v>3215.65753</v>
      </c>
      <c r="FW170" s="353">
        <f t="shared" si="819"/>
        <v>-289.47287000000006</v>
      </c>
      <c r="FX170" s="310"/>
      <c r="FY170" s="310"/>
      <c r="FZ170" s="310"/>
      <c r="GA170" s="396"/>
      <c r="GB170" s="396"/>
      <c r="GC170" s="310"/>
      <c r="GD170" s="310"/>
      <c r="GE170" s="310"/>
      <c r="GF170" s="396"/>
      <c r="GG170" s="396"/>
      <c r="GH170" s="396"/>
      <c r="GI170" s="311"/>
      <c r="GJ170" s="344"/>
      <c r="GK170" s="303">
        <f t="shared" si="796"/>
        <v>0.86586319277999702</v>
      </c>
    </row>
    <row r="171" spans="2:193" s="37" customFormat="1" ht="15.75" customHeight="1" x14ac:dyDescent="0.25">
      <c r="B171" s="29"/>
      <c r="C171" s="30"/>
      <c r="D171" s="30">
        <v>1</v>
      </c>
      <c r="E171" s="493">
        <v>141</v>
      </c>
      <c r="F171" s="29"/>
      <c r="G171" s="30"/>
      <c r="H171" s="30">
        <v>1</v>
      </c>
      <c r="I171" s="493"/>
      <c r="J171" s="494"/>
      <c r="K171" s="494"/>
      <c r="L171" s="53"/>
      <c r="M171" s="493">
        <v>119</v>
      </c>
      <c r="N171" s="494" t="s">
        <v>228</v>
      </c>
      <c r="O171" s="494"/>
      <c r="P171" s="494">
        <f t="shared" si="816"/>
        <v>0</v>
      </c>
      <c r="Q171" s="494"/>
      <c r="R171" s="494"/>
      <c r="S171" s="494" t="s">
        <v>625</v>
      </c>
      <c r="T171" s="156">
        <v>3</v>
      </c>
      <c r="U171" s="493"/>
      <c r="V171" s="2">
        <f t="shared" si="797"/>
        <v>6653.174</v>
      </c>
      <c r="W171" s="2"/>
      <c r="X171" s="198">
        <f t="shared" si="1031"/>
        <v>768.1</v>
      </c>
      <c r="Y171" s="198">
        <v>242</v>
      </c>
      <c r="Z171" s="42">
        <v>526.1</v>
      </c>
      <c r="AA171" s="2">
        <v>5885.0739999999996</v>
      </c>
      <c r="AB171" s="567">
        <f t="shared" si="987"/>
        <v>6653.174</v>
      </c>
      <c r="AC171" s="567"/>
      <c r="AD171" s="568">
        <f t="shared" si="1032"/>
        <v>768.1</v>
      </c>
      <c r="AE171" s="568">
        <v>242</v>
      </c>
      <c r="AF171" s="569">
        <v>526.1</v>
      </c>
      <c r="AG171" s="567">
        <v>5885.0739999999996</v>
      </c>
      <c r="AH171" s="570"/>
      <c r="AI171" s="567">
        <f t="shared" si="988"/>
        <v>6634.1180000000004</v>
      </c>
      <c r="AJ171" s="567"/>
      <c r="AK171" s="568">
        <v>0</v>
      </c>
      <c r="AL171" s="567">
        <v>6634.1180000000004</v>
      </c>
      <c r="AM171" s="570"/>
      <c r="AN171" s="567">
        <f t="shared" si="989"/>
        <v>8250</v>
      </c>
      <c r="AO171" s="567"/>
      <c r="AP171" s="568">
        <v>0</v>
      </c>
      <c r="AQ171" s="567">
        <v>8250</v>
      </c>
      <c r="AR171" s="570"/>
      <c r="AS171" s="567">
        <f t="shared" si="990"/>
        <v>8254</v>
      </c>
      <c r="AT171" s="567"/>
      <c r="AU171" s="568">
        <v>4</v>
      </c>
      <c r="AV171" s="567">
        <v>8250</v>
      </c>
      <c r="AW171" s="604"/>
      <c r="AX171" s="410" t="s">
        <v>475</v>
      </c>
      <c r="AY171" s="567">
        <f t="shared" si="991"/>
        <v>6653.174</v>
      </c>
      <c r="AZ171" s="567"/>
      <c r="BA171" s="568">
        <f t="shared" si="992"/>
        <v>768.1</v>
      </c>
      <c r="BB171" s="568">
        <v>242</v>
      </c>
      <c r="BC171" s="569">
        <v>526.1</v>
      </c>
      <c r="BD171" s="567">
        <v>5885.0739999999996</v>
      </c>
      <c r="BE171" s="567"/>
      <c r="BF171" s="567">
        <f t="shared" si="798"/>
        <v>0</v>
      </c>
      <c r="BG171" s="567">
        <f t="shared" si="799"/>
        <v>0</v>
      </c>
      <c r="BH171" s="567">
        <f t="shared" si="800"/>
        <v>0</v>
      </c>
      <c r="BI171" s="567">
        <f t="shared" si="801"/>
        <v>0</v>
      </c>
      <c r="BJ171" s="567">
        <f t="shared" si="802"/>
        <v>0</v>
      </c>
      <c r="BK171" s="567">
        <f t="shared" si="803"/>
        <v>0</v>
      </c>
      <c r="BL171" s="567" t="e">
        <f>#REF!-BE171</f>
        <v>#REF!</v>
      </c>
      <c r="BM171" s="567">
        <f t="shared" si="993"/>
        <v>6633.78</v>
      </c>
      <c r="BN171" s="567"/>
      <c r="BO171" s="568"/>
      <c r="BP171" s="567">
        <f>6146.616+487.164</f>
        <v>6633.78</v>
      </c>
      <c r="BQ171" s="567"/>
      <c r="BR171" s="567">
        <f t="shared" si="994"/>
        <v>0</v>
      </c>
      <c r="BS171" s="567"/>
      <c r="BT171" s="568"/>
      <c r="BU171" s="567"/>
      <c r="BV171" s="567"/>
      <c r="BW171" s="567">
        <f t="shared" si="995"/>
        <v>4476.6647599999997</v>
      </c>
      <c r="BX171" s="567"/>
      <c r="BY171" s="577">
        <f t="shared" si="804"/>
        <v>765.46950000000004</v>
      </c>
      <c r="BZ171" s="578">
        <v>242</v>
      </c>
      <c r="CA171" s="601">
        <v>523.46950000000004</v>
      </c>
      <c r="CB171" s="567">
        <v>3711.19526</v>
      </c>
      <c r="CC171" s="567"/>
      <c r="CD171" s="567">
        <f t="shared" si="996"/>
        <v>4476.6647599999997</v>
      </c>
      <c r="CE171" s="567"/>
      <c r="CF171" s="577">
        <f t="shared" si="805"/>
        <v>765.46950000000004</v>
      </c>
      <c r="CG171" s="578">
        <v>242</v>
      </c>
      <c r="CH171" s="601">
        <v>523.46950000000004</v>
      </c>
      <c r="CI171" s="567">
        <v>3711.19526</v>
      </c>
      <c r="CJ171" s="567"/>
      <c r="CK171" s="567">
        <f t="shared" si="934"/>
        <v>1254.8373300000001</v>
      </c>
      <c r="CL171" s="567"/>
      <c r="CM171" s="567">
        <v>796.15021000000002</v>
      </c>
      <c r="CN171" s="567"/>
      <c r="CO171" s="567"/>
      <c r="CP171" s="567">
        <v>458.68711999999999</v>
      </c>
      <c r="CQ171" s="567"/>
      <c r="CR171" s="573">
        <f t="shared" si="997"/>
        <v>5731.50209</v>
      </c>
      <c r="CS171" s="567">
        <f t="shared" si="807"/>
        <v>5731.50209</v>
      </c>
      <c r="CT171" s="567">
        <f t="shared" si="808"/>
        <v>0</v>
      </c>
      <c r="CU171" s="567">
        <f t="shared" si="809"/>
        <v>1561.6197099999999</v>
      </c>
      <c r="CV171" s="567">
        <f t="shared" si="810"/>
        <v>4169.88238</v>
      </c>
      <c r="CW171" s="567">
        <f t="shared" si="998"/>
        <v>0</v>
      </c>
      <c r="CX171" s="567">
        <f t="shared" ca="1" si="899"/>
        <v>0</v>
      </c>
      <c r="CY171" s="567">
        <f t="shared" si="811"/>
        <v>0</v>
      </c>
      <c r="CZ171" s="567">
        <f t="shared" si="812"/>
        <v>0</v>
      </c>
      <c r="DA171" s="567">
        <f t="shared" si="813"/>
        <v>0</v>
      </c>
      <c r="DB171" s="2">
        <f t="shared" si="999"/>
        <v>0</v>
      </c>
      <c r="DC171" s="76"/>
      <c r="DD171" s="253"/>
      <c r="DE171" s="253"/>
      <c r="DF171" s="2">
        <f t="shared" si="1000"/>
        <v>0</v>
      </c>
      <c r="DG171" s="2"/>
      <c r="DH171" s="198"/>
      <c r="DI171" s="2"/>
      <c r="DJ171" s="2"/>
      <c r="DK171" s="2">
        <f t="shared" si="1001"/>
        <v>0</v>
      </c>
      <c r="DL171" s="2"/>
      <c r="DM171" s="198"/>
      <c r="DN171" s="2"/>
      <c r="DO171" s="2"/>
      <c r="DP171" s="2">
        <f t="shared" si="1002"/>
        <v>0</v>
      </c>
      <c r="DQ171" s="2">
        <f t="shared" si="1003"/>
        <v>0</v>
      </c>
      <c r="DR171" s="2">
        <f t="shared" si="1003"/>
        <v>0</v>
      </c>
      <c r="DS171" s="2">
        <f t="shared" si="1003"/>
        <v>0</v>
      </c>
      <c r="DT171" s="2">
        <f t="shared" si="1003"/>
        <v>0</v>
      </c>
      <c r="DU171" s="2"/>
      <c r="DV171" s="2"/>
      <c r="DW171" s="2"/>
      <c r="DX171" s="2">
        <f t="shared" ca="1" si="1004"/>
        <v>0</v>
      </c>
      <c r="DY171" s="46"/>
      <c r="DZ171" s="2">
        <f t="shared" si="1005"/>
        <v>4476.6647599999997</v>
      </c>
      <c r="EA171" s="2">
        <f t="shared" si="1006"/>
        <v>4476.6647599999997</v>
      </c>
      <c r="EB171" s="46"/>
      <c r="EC171" s="2"/>
      <c r="ED171" s="2"/>
      <c r="EE171" s="46"/>
      <c r="EF171" s="2"/>
      <c r="EG171" s="46"/>
      <c r="EH171" s="46"/>
      <c r="EI171" s="2">
        <f t="shared" si="794"/>
        <v>4476.6647599999997</v>
      </c>
      <c r="EJ171" s="2"/>
      <c r="EK171" s="236">
        <f t="shared" si="814"/>
        <v>765.46950000000004</v>
      </c>
      <c r="EL171" s="433">
        <v>242</v>
      </c>
      <c r="EM171" s="499">
        <v>523.46950000000004</v>
      </c>
      <c r="EN171" s="2">
        <v>3711.19526</v>
      </c>
      <c r="EO171" s="2"/>
      <c r="EP171" s="2">
        <f t="shared" si="795"/>
        <v>1254.8373300000001</v>
      </c>
      <c r="EQ171" s="2"/>
      <c r="ER171" s="2">
        <v>796.15021000000002</v>
      </c>
      <c r="ES171" s="2">
        <v>173.08240000000001</v>
      </c>
      <c r="ET171" s="2">
        <v>623.01678100000004</v>
      </c>
      <c r="EU171" s="2">
        <v>458.68711999999999</v>
      </c>
      <c r="EV171" s="141"/>
      <c r="EW171" s="310"/>
      <c r="EX171" s="310"/>
      <c r="EY171" s="310"/>
      <c r="EZ171" s="396"/>
      <c r="FA171" s="396"/>
      <c r="FB171" s="310"/>
      <c r="FC171" s="310"/>
      <c r="FD171" s="310"/>
      <c r="FE171" s="396"/>
      <c r="FF171" s="396"/>
      <c r="FG171" s="396"/>
      <c r="FH171" s="311"/>
      <c r="FI171" s="310"/>
      <c r="FJ171" s="296" t="e">
        <f t="shared" si="1009"/>
        <v>#DIV/0!</v>
      </c>
      <c r="FK171" s="353">
        <f t="shared" si="817"/>
        <v>768.1</v>
      </c>
      <c r="FL171" s="353">
        <f t="shared" si="1030"/>
        <v>768.1</v>
      </c>
      <c r="FM171" s="353"/>
      <c r="FN171" s="388">
        <f t="shared" si="1010"/>
        <v>1</v>
      </c>
      <c r="FO171" s="388">
        <f t="shared" si="1011"/>
        <v>0</v>
      </c>
      <c r="FP171" s="353">
        <f t="shared" si="818"/>
        <v>1561.6197099999999</v>
      </c>
      <c r="FQ171" s="353">
        <f t="shared" si="1012"/>
        <v>765.46950000000004</v>
      </c>
      <c r="FR171" s="353">
        <f t="shared" si="1013"/>
        <v>796.15021000000002</v>
      </c>
      <c r="FS171" s="388">
        <f t="shared" si="1014"/>
        <v>0.49017663845956455</v>
      </c>
      <c r="FT171" s="388">
        <f t="shared" si="1015"/>
        <v>0.5098233615404355</v>
      </c>
      <c r="FU171" s="388"/>
      <c r="FV171" s="353">
        <f t="shared" si="1016"/>
        <v>1561.6197099999999</v>
      </c>
      <c r="FW171" s="353">
        <f t="shared" si="819"/>
        <v>-796.1502099999999</v>
      </c>
      <c r="FX171" s="310"/>
      <c r="FY171" s="310"/>
      <c r="FZ171" s="310"/>
      <c r="GA171" s="396"/>
      <c r="GB171" s="396"/>
      <c r="GC171" s="310"/>
      <c r="GD171" s="310"/>
      <c r="GE171" s="310"/>
      <c r="GF171" s="396"/>
      <c r="GG171" s="396"/>
      <c r="GH171" s="396"/>
      <c r="GI171" s="311"/>
      <c r="GJ171" s="344"/>
      <c r="GK171" s="303">
        <f t="shared" si="796"/>
        <v>0.6728615184271447</v>
      </c>
    </row>
    <row r="172" spans="2:193" s="37" customFormat="1" ht="15.6" customHeight="1" x14ac:dyDescent="0.25">
      <c r="B172" s="29"/>
      <c r="C172" s="30">
        <v>1</v>
      </c>
      <c r="D172" s="30"/>
      <c r="E172" s="493">
        <v>142</v>
      </c>
      <c r="F172" s="29"/>
      <c r="G172" s="30">
        <v>1</v>
      </c>
      <c r="H172" s="30"/>
      <c r="I172" s="493"/>
      <c r="J172" s="494"/>
      <c r="K172" s="494"/>
      <c r="L172" s="53"/>
      <c r="M172" s="493">
        <v>120</v>
      </c>
      <c r="N172" s="494" t="s">
        <v>59</v>
      </c>
      <c r="O172" s="494"/>
      <c r="P172" s="494">
        <f t="shared" si="816"/>
        <v>0</v>
      </c>
      <c r="Q172" s="494" t="s">
        <v>701</v>
      </c>
      <c r="R172" s="494" t="s">
        <v>699</v>
      </c>
      <c r="S172" s="494" t="s">
        <v>610</v>
      </c>
      <c r="T172" s="156">
        <v>2</v>
      </c>
      <c r="U172" s="493"/>
      <c r="V172" s="2">
        <f t="shared" si="797"/>
        <v>4730</v>
      </c>
      <c r="W172" s="2"/>
      <c r="X172" s="198">
        <f t="shared" si="1031"/>
        <v>4730</v>
      </c>
      <c r="Y172" s="198">
        <v>1490.3</v>
      </c>
      <c r="Z172" s="42">
        <v>3239.7</v>
      </c>
      <c r="AA172" s="2"/>
      <c r="AB172" s="567">
        <f t="shared" si="987"/>
        <v>4730</v>
      </c>
      <c r="AC172" s="567"/>
      <c r="AD172" s="568">
        <f t="shared" si="1032"/>
        <v>4730</v>
      </c>
      <c r="AE172" s="568">
        <v>1490.3</v>
      </c>
      <c r="AF172" s="569">
        <v>3239.7</v>
      </c>
      <c r="AG172" s="567"/>
      <c r="AH172" s="570"/>
      <c r="AI172" s="567">
        <f t="shared" si="988"/>
        <v>1389.2</v>
      </c>
      <c r="AJ172" s="567"/>
      <c r="AK172" s="568">
        <v>1389.2</v>
      </c>
      <c r="AL172" s="567"/>
      <c r="AM172" s="570"/>
      <c r="AN172" s="567">
        <f t="shared" si="989"/>
        <v>1389.2</v>
      </c>
      <c r="AO172" s="567"/>
      <c r="AP172" s="568">
        <v>1389.2</v>
      </c>
      <c r="AQ172" s="567"/>
      <c r="AR172" s="570"/>
      <c r="AS172" s="567">
        <f t="shared" si="990"/>
        <v>604</v>
      </c>
      <c r="AT172" s="567"/>
      <c r="AU172" s="568">
        <v>604</v>
      </c>
      <c r="AV172" s="567"/>
      <c r="AW172" s="604"/>
      <c r="AX172" s="410" t="s">
        <v>464</v>
      </c>
      <c r="AY172" s="567">
        <f t="shared" si="991"/>
        <v>4730</v>
      </c>
      <c r="AZ172" s="567"/>
      <c r="BA172" s="578">
        <f t="shared" si="992"/>
        <v>4730</v>
      </c>
      <c r="BB172" s="568">
        <v>1490.3</v>
      </c>
      <c r="BC172" s="569">
        <v>3239.7</v>
      </c>
      <c r="BD172" s="567"/>
      <c r="BE172" s="567"/>
      <c r="BF172" s="567">
        <f t="shared" si="798"/>
        <v>0</v>
      </c>
      <c r="BG172" s="567">
        <f t="shared" si="799"/>
        <v>0</v>
      </c>
      <c r="BH172" s="567">
        <f t="shared" si="800"/>
        <v>0</v>
      </c>
      <c r="BI172" s="567">
        <f t="shared" si="801"/>
        <v>0</v>
      </c>
      <c r="BJ172" s="567">
        <f t="shared" si="802"/>
        <v>0</v>
      </c>
      <c r="BK172" s="567">
        <f t="shared" si="803"/>
        <v>0</v>
      </c>
      <c r="BL172" s="567" t="e">
        <f>#REF!-BE172</f>
        <v>#REF!</v>
      </c>
      <c r="BM172" s="567">
        <f t="shared" si="993"/>
        <v>1369.268</v>
      </c>
      <c r="BN172" s="567"/>
      <c r="BO172" s="568">
        <f>566.999+802.269</f>
        <v>1369.268</v>
      </c>
      <c r="BP172" s="567"/>
      <c r="BQ172" s="567"/>
      <c r="BR172" s="567">
        <f t="shared" si="994"/>
        <v>0</v>
      </c>
      <c r="BS172" s="567"/>
      <c r="BT172" s="567"/>
      <c r="BU172" s="567"/>
      <c r="BV172" s="567"/>
      <c r="BW172" s="567">
        <f t="shared" si="995"/>
        <v>4221.6957000000002</v>
      </c>
      <c r="BX172" s="567"/>
      <c r="BY172" s="568">
        <f t="shared" si="804"/>
        <v>4221.6957000000002</v>
      </c>
      <c r="BZ172" s="571">
        <v>1423.23649</v>
      </c>
      <c r="CA172" s="571">
        <f>1931.51731+866.9419</f>
        <v>2798.45921</v>
      </c>
      <c r="CB172" s="567"/>
      <c r="CC172" s="567"/>
      <c r="CD172" s="567">
        <f t="shared" si="996"/>
        <v>4221.6957000000002</v>
      </c>
      <c r="CE172" s="567"/>
      <c r="CF172" s="568">
        <f t="shared" si="805"/>
        <v>4221.6957000000002</v>
      </c>
      <c r="CG172" s="571">
        <v>1423.23649</v>
      </c>
      <c r="CH172" s="571">
        <f>1931.51731+866.9419</f>
        <v>2798.45921</v>
      </c>
      <c r="CI172" s="567"/>
      <c r="CJ172" s="567"/>
      <c r="CK172" s="567">
        <f t="shared" si="934"/>
        <v>1310.8355200000001</v>
      </c>
      <c r="CL172" s="567"/>
      <c r="CM172" s="567">
        <v>1310.8355200000001</v>
      </c>
      <c r="CN172" s="567"/>
      <c r="CO172" s="567"/>
      <c r="CP172" s="567"/>
      <c r="CQ172" s="567"/>
      <c r="CR172" s="573">
        <f t="shared" si="997"/>
        <v>5532.5312200000008</v>
      </c>
      <c r="CS172" s="567">
        <f t="shared" si="807"/>
        <v>5532.5312200000008</v>
      </c>
      <c r="CT172" s="567">
        <f t="shared" si="808"/>
        <v>0</v>
      </c>
      <c r="CU172" s="567">
        <f t="shared" si="809"/>
        <v>5532.5312200000008</v>
      </c>
      <c r="CV172" s="567">
        <f t="shared" si="810"/>
        <v>0</v>
      </c>
      <c r="CW172" s="567">
        <f t="shared" si="998"/>
        <v>0</v>
      </c>
      <c r="CX172" s="567">
        <f t="shared" ca="1" si="899"/>
        <v>0</v>
      </c>
      <c r="CY172" s="567">
        <f t="shared" si="811"/>
        <v>0</v>
      </c>
      <c r="CZ172" s="567">
        <f t="shared" si="812"/>
        <v>0</v>
      </c>
      <c r="DA172" s="567">
        <f t="shared" si="813"/>
        <v>0</v>
      </c>
      <c r="DB172" s="2">
        <f t="shared" si="999"/>
        <v>0</v>
      </c>
      <c r="DC172" s="76"/>
      <c r="DD172" s="253"/>
      <c r="DE172" s="253"/>
      <c r="DF172" s="2">
        <f t="shared" si="1000"/>
        <v>0</v>
      </c>
      <c r="DG172" s="2"/>
      <c r="DH172" s="2"/>
      <c r="DI172" s="2"/>
      <c r="DJ172" s="2"/>
      <c r="DK172" s="2">
        <f t="shared" si="1001"/>
        <v>0</v>
      </c>
      <c r="DL172" s="2"/>
      <c r="DM172" s="2"/>
      <c r="DN172" s="2"/>
      <c r="DO172" s="2"/>
      <c r="DP172" s="2">
        <f t="shared" si="1002"/>
        <v>0</v>
      </c>
      <c r="DQ172" s="2">
        <f t="shared" si="1003"/>
        <v>0</v>
      </c>
      <c r="DR172" s="2">
        <f t="shared" si="1003"/>
        <v>0</v>
      </c>
      <c r="DS172" s="2">
        <f t="shared" si="1003"/>
        <v>0</v>
      </c>
      <c r="DT172" s="2">
        <f t="shared" si="1003"/>
        <v>0</v>
      </c>
      <c r="DU172" s="2"/>
      <c r="DV172" s="2"/>
      <c r="DW172" s="2"/>
      <c r="DX172" s="2">
        <f t="shared" ca="1" si="1004"/>
        <v>0</v>
      </c>
      <c r="DY172" s="46"/>
      <c r="DZ172" s="2">
        <f t="shared" si="1005"/>
        <v>4221.6957000000002</v>
      </c>
      <c r="EA172" s="2">
        <f t="shared" si="1006"/>
        <v>4221.6957000000002</v>
      </c>
      <c r="EB172" s="46"/>
      <c r="EC172" s="2"/>
      <c r="ED172" s="2"/>
      <c r="EE172" s="46"/>
      <c r="EF172" s="2"/>
      <c r="EG172" s="46"/>
      <c r="EH172" s="46"/>
      <c r="EI172" s="2">
        <f t="shared" si="794"/>
        <v>4221.6957000000002</v>
      </c>
      <c r="EJ172" s="2"/>
      <c r="EK172" s="198">
        <f t="shared" si="814"/>
        <v>4221.6957000000002</v>
      </c>
      <c r="EL172" s="446">
        <v>1423.23649</v>
      </c>
      <c r="EM172" s="446">
        <f>1931.51731+866.9419</f>
        <v>2798.45921</v>
      </c>
      <c r="EN172" s="2"/>
      <c r="EO172" s="2"/>
      <c r="EP172" s="2">
        <f t="shared" si="795"/>
        <v>1310.8355200000001</v>
      </c>
      <c r="EQ172" s="2"/>
      <c r="ER172" s="2">
        <v>1310.8355200000001</v>
      </c>
      <c r="ES172" s="2">
        <v>422.11158</v>
      </c>
      <c r="ET172" s="2">
        <f>613.40385+275.32009</f>
        <v>888.72394000000008</v>
      </c>
      <c r="EU172" s="2"/>
      <c r="EV172" s="141"/>
      <c r="EW172" s="310"/>
      <c r="EX172" s="310"/>
      <c r="EY172" s="310"/>
      <c r="EZ172" s="396"/>
      <c r="FA172" s="396"/>
      <c r="FB172" s="310"/>
      <c r="FC172" s="310"/>
      <c r="FD172" s="310"/>
      <c r="FE172" s="396"/>
      <c r="FF172" s="396"/>
      <c r="FG172" s="396"/>
      <c r="FH172" s="311"/>
      <c r="FI172" s="310"/>
      <c r="FJ172" s="296" t="e">
        <f t="shared" si="1009"/>
        <v>#DIV/0!</v>
      </c>
      <c r="FK172" s="353">
        <f t="shared" ref="FK172" si="1033">FL172+FM172</f>
        <v>4730</v>
      </c>
      <c r="FL172" s="353">
        <f t="shared" si="1030"/>
        <v>4730</v>
      </c>
      <c r="FM172" s="353"/>
      <c r="FN172" s="388">
        <f t="shared" ref="FN172" si="1034">FL172/FK172</f>
        <v>1</v>
      </c>
      <c r="FO172" s="388">
        <f t="shared" ref="FO172" si="1035">FM172/FK172</f>
        <v>0</v>
      </c>
      <c r="FP172" s="353">
        <f t="shared" ref="FP172" si="1036">FQ172+FR172</f>
        <v>5532.5312200000008</v>
      </c>
      <c r="FQ172" s="353">
        <f t="shared" ref="FQ172" si="1037">EK172</f>
        <v>4221.6957000000002</v>
      </c>
      <c r="FR172" s="353">
        <f t="shared" ref="FR172" si="1038">ER172</f>
        <v>1310.8355200000001</v>
      </c>
      <c r="FS172" s="388">
        <f t="shared" ref="FS172" si="1039">FQ172/FP172</f>
        <v>0.76306766868999243</v>
      </c>
      <c r="FT172" s="388">
        <f t="shared" ref="FT172" si="1040">FR172/FP172</f>
        <v>0.23693233131000749</v>
      </c>
      <c r="FU172" s="388"/>
      <c r="FV172" s="353">
        <f t="shared" ref="FV172" si="1041">FP172*FN172</f>
        <v>5532.5312200000008</v>
      </c>
      <c r="FW172" s="353">
        <f t="shared" si="819"/>
        <v>-1310.8355200000005</v>
      </c>
      <c r="FX172" s="310"/>
      <c r="FY172" s="310"/>
      <c r="FZ172" s="310"/>
      <c r="GA172" s="396"/>
      <c r="GB172" s="396"/>
      <c r="GC172" s="310"/>
      <c r="GD172" s="310"/>
      <c r="GE172" s="310"/>
      <c r="GF172" s="396"/>
      <c r="GG172" s="396"/>
      <c r="GH172" s="396"/>
      <c r="GI172" s="311"/>
      <c r="GJ172" s="344"/>
      <c r="GK172" s="303">
        <f t="shared" si="796"/>
        <v>0.89253608879492607</v>
      </c>
    </row>
    <row r="173" spans="2:193" s="37" customFormat="1" ht="14.45" customHeight="1" x14ac:dyDescent="0.25">
      <c r="B173" s="29"/>
      <c r="C173" s="30"/>
      <c r="D173" s="30">
        <v>1</v>
      </c>
      <c r="E173" s="493">
        <v>143</v>
      </c>
      <c r="F173" s="29"/>
      <c r="G173" s="30"/>
      <c r="H173" s="30">
        <v>1</v>
      </c>
      <c r="I173" s="493"/>
      <c r="J173" s="494"/>
      <c r="K173" s="494"/>
      <c r="L173" s="53"/>
      <c r="M173" s="493">
        <v>121</v>
      </c>
      <c r="N173" s="494" t="s">
        <v>122</v>
      </c>
      <c r="O173" s="494"/>
      <c r="P173" s="494">
        <f t="shared" si="816"/>
        <v>0</v>
      </c>
      <c r="Q173" s="494"/>
      <c r="R173" s="494"/>
      <c r="S173" s="494" t="s">
        <v>532</v>
      </c>
      <c r="T173" s="156">
        <v>3</v>
      </c>
      <c r="U173" s="493"/>
      <c r="V173" s="2">
        <f t="shared" si="797"/>
        <v>4106.3209999999999</v>
      </c>
      <c r="W173" s="2"/>
      <c r="X173" s="198">
        <f t="shared" si="1031"/>
        <v>3673.9</v>
      </c>
      <c r="Y173" s="198">
        <v>1157.5</v>
      </c>
      <c r="Z173" s="42">
        <v>2516.4</v>
      </c>
      <c r="AA173" s="2">
        <v>432.42099999999999</v>
      </c>
      <c r="AB173" s="567">
        <f t="shared" si="987"/>
        <v>4106.3209999999999</v>
      </c>
      <c r="AC173" s="567"/>
      <c r="AD173" s="568">
        <f t="shared" si="1032"/>
        <v>3673.9</v>
      </c>
      <c r="AE173" s="568">
        <v>1157.5</v>
      </c>
      <c r="AF173" s="569">
        <v>2516.4</v>
      </c>
      <c r="AG173" s="567">
        <v>432.42099999999999</v>
      </c>
      <c r="AH173" s="570"/>
      <c r="AI173" s="567">
        <f t="shared" si="988"/>
        <v>1281.0999999999999</v>
      </c>
      <c r="AJ173" s="567"/>
      <c r="AK173" s="568">
        <v>1281.0999999999999</v>
      </c>
      <c r="AL173" s="567"/>
      <c r="AM173" s="570"/>
      <c r="AN173" s="567">
        <f t="shared" si="989"/>
        <v>1281.0999999999999</v>
      </c>
      <c r="AO173" s="567"/>
      <c r="AP173" s="568">
        <v>1281.0999999999999</v>
      </c>
      <c r="AQ173" s="567"/>
      <c r="AR173" s="570"/>
      <c r="AS173" s="567">
        <f t="shared" si="990"/>
        <v>557</v>
      </c>
      <c r="AT173" s="567"/>
      <c r="AU173" s="568">
        <v>557</v>
      </c>
      <c r="AV173" s="567"/>
      <c r="AW173" s="604"/>
      <c r="AX173" s="410" t="s">
        <v>404</v>
      </c>
      <c r="AY173" s="567">
        <f t="shared" si="991"/>
        <v>4106.317</v>
      </c>
      <c r="AZ173" s="567"/>
      <c r="BA173" s="578">
        <f t="shared" si="992"/>
        <v>3673.8960000000002</v>
      </c>
      <c r="BB173" s="568">
        <f>1157.5-0.004</f>
        <v>1157.4960000000001</v>
      </c>
      <c r="BC173" s="569">
        <f>2516.396+0.004</f>
        <v>2516.4</v>
      </c>
      <c r="BD173" s="567">
        <v>432.42099999999999</v>
      </c>
      <c r="BE173" s="570"/>
      <c r="BF173" s="567">
        <f t="shared" si="798"/>
        <v>3.9999999999054126E-3</v>
      </c>
      <c r="BG173" s="567">
        <f t="shared" si="799"/>
        <v>0</v>
      </c>
      <c r="BH173" s="567">
        <f t="shared" si="800"/>
        <v>3.9999999999054126E-3</v>
      </c>
      <c r="BI173" s="567">
        <f t="shared" si="801"/>
        <v>3.9999999999054126E-3</v>
      </c>
      <c r="BJ173" s="567">
        <f t="shared" si="802"/>
        <v>0</v>
      </c>
      <c r="BK173" s="567">
        <f t="shared" si="803"/>
        <v>0</v>
      </c>
      <c r="BL173" s="567" t="e">
        <f>#REF!-BE173</f>
        <v>#REF!</v>
      </c>
      <c r="BM173" s="567">
        <f t="shared" si="993"/>
        <v>1281.0999999999999</v>
      </c>
      <c r="BN173" s="567"/>
      <c r="BO173" s="568">
        <f>557+724.1</f>
        <v>1281.0999999999999</v>
      </c>
      <c r="BP173" s="567"/>
      <c r="BQ173" s="570"/>
      <c r="BR173" s="567">
        <f t="shared" si="994"/>
        <v>0</v>
      </c>
      <c r="BS173" s="567"/>
      <c r="BT173" s="570"/>
      <c r="BU173" s="567"/>
      <c r="BV173" s="570"/>
      <c r="BW173" s="567">
        <f t="shared" si="995"/>
        <v>3498.9720699999998</v>
      </c>
      <c r="BX173" s="567"/>
      <c r="BY173" s="568">
        <f t="shared" si="804"/>
        <v>3066.55107</v>
      </c>
      <c r="BZ173" s="571">
        <f>954.93747-0.004</f>
        <v>954.93346999999994</v>
      </c>
      <c r="CA173" s="571">
        <f>0.004+2111.6136</f>
        <v>2111.6176</v>
      </c>
      <c r="CB173" s="567">
        <v>432.42099999999999</v>
      </c>
      <c r="CC173" s="577"/>
      <c r="CD173" s="567">
        <f t="shared" si="996"/>
        <v>3498.9720699999998</v>
      </c>
      <c r="CE173" s="567"/>
      <c r="CF173" s="568">
        <f t="shared" si="805"/>
        <v>3066.55107</v>
      </c>
      <c r="CG173" s="571">
        <f>954.93747-0.004</f>
        <v>954.93346999999994</v>
      </c>
      <c r="CH173" s="571">
        <f>0.004+2111.6136</f>
        <v>2111.6176</v>
      </c>
      <c r="CI173" s="567">
        <v>432.42099999999999</v>
      </c>
      <c r="CJ173" s="577"/>
      <c r="CK173" s="567">
        <f t="shared" si="934"/>
        <v>522.83637999999996</v>
      </c>
      <c r="CL173" s="567"/>
      <c r="CM173" s="567">
        <v>458.22098</v>
      </c>
      <c r="CN173" s="567"/>
      <c r="CO173" s="567"/>
      <c r="CP173" s="567">
        <v>64.615399999999994</v>
      </c>
      <c r="CQ173" s="567"/>
      <c r="CR173" s="573">
        <f t="shared" si="997"/>
        <v>4021.80845</v>
      </c>
      <c r="CS173" s="567">
        <f t="shared" si="807"/>
        <v>4021.80845</v>
      </c>
      <c r="CT173" s="567">
        <f t="shared" si="808"/>
        <v>0</v>
      </c>
      <c r="CU173" s="567">
        <f t="shared" si="809"/>
        <v>3524.77205</v>
      </c>
      <c r="CV173" s="567">
        <f t="shared" si="810"/>
        <v>497.03639999999996</v>
      </c>
      <c r="CW173" s="567">
        <f t="shared" si="998"/>
        <v>0</v>
      </c>
      <c r="CX173" s="567">
        <f t="shared" ca="1" si="899"/>
        <v>0</v>
      </c>
      <c r="CY173" s="567">
        <f t="shared" si="811"/>
        <v>0</v>
      </c>
      <c r="CZ173" s="567">
        <f t="shared" si="812"/>
        <v>0</v>
      </c>
      <c r="DA173" s="567">
        <f t="shared" si="813"/>
        <v>0</v>
      </c>
      <c r="DB173" s="2">
        <f t="shared" si="999"/>
        <v>0</v>
      </c>
      <c r="DC173" s="76"/>
      <c r="DD173" s="253"/>
      <c r="DE173" s="253"/>
      <c r="DF173" s="2">
        <f t="shared" si="1000"/>
        <v>0</v>
      </c>
      <c r="DG173" s="2"/>
      <c r="DH173" s="234"/>
      <c r="DI173" s="2"/>
      <c r="DJ173" s="234"/>
      <c r="DK173" s="2">
        <f t="shared" si="1001"/>
        <v>0</v>
      </c>
      <c r="DL173" s="2"/>
      <c r="DM173" s="234"/>
      <c r="DN173" s="2"/>
      <c r="DO173" s="234"/>
      <c r="DP173" s="2">
        <f t="shared" si="1002"/>
        <v>0</v>
      </c>
      <c r="DQ173" s="2">
        <f t="shared" si="1003"/>
        <v>0</v>
      </c>
      <c r="DR173" s="2">
        <f t="shared" si="1003"/>
        <v>0</v>
      </c>
      <c r="DS173" s="2">
        <f t="shared" si="1003"/>
        <v>0</v>
      </c>
      <c r="DT173" s="2">
        <f t="shared" si="1003"/>
        <v>0</v>
      </c>
      <c r="DU173" s="2"/>
      <c r="DV173" s="2"/>
      <c r="DW173" s="2"/>
      <c r="DX173" s="2">
        <f t="shared" ca="1" si="1004"/>
        <v>0</v>
      </c>
      <c r="DY173" s="46"/>
      <c r="DZ173" s="2">
        <f t="shared" si="1005"/>
        <v>3498.9720699999998</v>
      </c>
      <c r="EA173" s="2">
        <f t="shared" si="1006"/>
        <v>3498.9720699999998</v>
      </c>
      <c r="EB173" s="46"/>
      <c r="EC173" s="2"/>
      <c r="ED173" s="2"/>
      <c r="EE173" s="46"/>
      <c r="EF173" s="2"/>
      <c r="EG173" s="46"/>
      <c r="EH173" s="46"/>
      <c r="EI173" s="2">
        <f t="shared" si="794"/>
        <v>3498.9720699999998</v>
      </c>
      <c r="EJ173" s="2"/>
      <c r="EK173" s="198">
        <f t="shared" si="814"/>
        <v>3066.55107</v>
      </c>
      <c r="EL173" s="446">
        <f>954.93747-0.004</f>
        <v>954.93346999999994</v>
      </c>
      <c r="EM173" s="446">
        <f>0.004+2111.6136</f>
        <v>2111.6176</v>
      </c>
      <c r="EN173" s="2">
        <v>432.42099999999999</v>
      </c>
      <c r="EO173" s="236"/>
      <c r="EP173" s="2">
        <f t="shared" si="795"/>
        <v>522.83637999999996</v>
      </c>
      <c r="EQ173" s="2"/>
      <c r="ER173" s="2">
        <v>458.22098</v>
      </c>
      <c r="ES173" s="2">
        <v>142.69183000000001</v>
      </c>
      <c r="ET173" s="2">
        <v>315.52915000000002</v>
      </c>
      <c r="EU173" s="2">
        <v>64.615399999999994</v>
      </c>
      <c r="EV173" s="141"/>
      <c r="EW173" s="310"/>
      <c r="EX173" s="310"/>
      <c r="EY173" s="310"/>
      <c r="EZ173" s="396"/>
      <c r="FA173" s="396"/>
      <c r="FB173" s="310"/>
      <c r="FC173" s="310"/>
      <c r="FD173" s="310"/>
      <c r="FE173" s="396"/>
      <c r="FF173" s="396"/>
      <c r="FG173" s="396"/>
      <c r="FH173" s="311"/>
      <c r="FI173" s="310"/>
      <c r="FJ173" s="296" t="e">
        <f t="shared" si="1009"/>
        <v>#DIV/0!</v>
      </c>
      <c r="FK173" s="353">
        <f t="shared" si="817"/>
        <v>3673.8960000000002</v>
      </c>
      <c r="FL173" s="353">
        <f t="shared" si="1030"/>
        <v>3673.8960000000002</v>
      </c>
      <c r="FM173" s="353"/>
      <c r="FN173" s="388">
        <f t="shared" si="1010"/>
        <v>1</v>
      </c>
      <c r="FO173" s="388">
        <f t="shared" si="1011"/>
        <v>0</v>
      </c>
      <c r="FP173" s="353">
        <f t="shared" si="818"/>
        <v>3524.77205</v>
      </c>
      <c r="FQ173" s="353">
        <f t="shared" si="1012"/>
        <v>3066.55107</v>
      </c>
      <c r="FR173" s="353">
        <f t="shared" si="1013"/>
        <v>458.22098</v>
      </c>
      <c r="FS173" s="388">
        <f t="shared" si="1014"/>
        <v>0.8699998259461913</v>
      </c>
      <c r="FT173" s="388">
        <f t="shared" si="1015"/>
        <v>0.13000017405380868</v>
      </c>
      <c r="FU173" s="388"/>
      <c r="FV173" s="353">
        <f t="shared" si="1016"/>
        <v>3524.77205</v>
      </c>
      <c r="FW173" s="353">
        <f t="shared" si="819"/>
        <v>-458.22098000000005</v>
      </c>
      <c r="FX173" s="310">
        <f t="shared" ref="FX173" si="1042">FY173+FZ173</f>
        <v>432.42099999999999</v>
      </c>
      <c r="FY173" s="310">
        <f>BD173</f>
        <v>432.42099999999999</v>
      </c>
      <c r="FZ173" s="310"/>
      <c r="GA173" s="396">
        <f t="shared" ref="GA173" si="1043">FY173/FX173</f>
        <v>1</v>
      </c>
      <c r="GB173" s="396">
        <f t="shared" ref="GB173" si="1044">FZ173/FX173</f>
        <v>0</v>
      </c>
      <c r="GC173" s="310">
        <f t="shared" ref="GC173" si="1045">GD173+GE173</f>
        <v>497.03639999999996</v>
      </c>
      <c r="GD173" s="310">
        <f t="shared" ref="GD173" si="1046">EN173</f>
        <v>432.42099999999999</v>
      </c>
      <c r="GE173" s="310">
        <f t="shared" ref="GE173" si="1047">EU173</f>
        <v>64.615399999999994</v>
      </c>
      <c r="GF173" s="396">
        <f t="shared" ref="GF173" si="1048">GD173/GC173</f>
        <v>0.86999865603404503</v>
      </c>
      <c r="GG173" s="396">
        <f t="shared" ref="GG173" si="1049">GE173/GC173</f>
        <v>0.130001343965955</v>
      </c>
      <c r="GH173" s="396"/>
      <c r="GI173" s="311">
        <f t="shared" ref="GI173" si="1050">GC173*GA173</f>
        <v>497.03639999999996</v>
      </c>
      <c r="GJ173" s="344">
        <f t="shared" ref="GJ173" si="1051">GD173-GI173</f>
        <v>-64.615399999999966</v>
      </c>
      <c r="GK173" s="303">
        <f t="shared" si="796"/>
        <v>0.85209414217738944</v>
      </c>
    </row>
    <row r="174" spans="2:193" s="37" customFormat="1" ht="16.149999999999999" customHeight="1" x14ac:dyDescent="0.25">
      <c r="B174" s="29"/>
      <c r="C174" s="30"/>
      <c r="D174" s="30">
        <v>1</v>
      </c>
      <c r="E174" s="493">
        <v>144</v>
      </c>
      <c r="F174" s="29"/>
      <c r="G174" s="30"/>
      <c r="H174" s="30">
        <v>1</v>
      </c>
      <c r="M174" s="493">
        <v>122</v>
      </c>
      <c r="N174" s="494" t="s">
        <v>123</v>
      </c>
      <c r="O174" s="494"/>
      <c r="P174" s="494">
        <f t="shared" si="816"/>
        <v>0</v>
      </c>
      <c r="Q174" s="494" t="s">
        <v>701</v>
      </c>
      <c r="R174" s="494" t="s">
        <v>699</v>
      </c>
      <c r="S174" s="494" t="s">
        <v>534</v>
      </c>
      <c r="T174" s="156">
        <v>2</v>
      </c>
      <c r="U174" s="493"/>
      <c r="V174" s="2">
        <f t="shared" si="797"/>
        <v>1632.1000000000001</v>
      </c>
      <c r="W174" s="2"/>
      <c r="X174" s="2">
        <f t="shared" si="1031"/>
        <v>1632.1000000000001</v>
      </c>
      <c r="Y174" s="2">
        <v>514.20000000000005</v>
      </c>
      <c r="Z174" s="2">
        <v>1117.9000000000001</v>
      </c>
      <c r="AA174" s="2"/>
      <c r="AB174" s="567">
        <f t="shared" si="987"/>
        <v>1632.1000000000001</v>
      </c>
      <c r="AC174" s="567"/>
      <c r="AD174" s="567">
        <f t="shared" si="1032"/>
        <v>1632.1000000000001</v>
      </c>
      <c r="AE174" s="567">
        <v>514.20000000000005</v>
      </c>
      <c r="AF174" s="567">
        <v>1117.9000000000001</v>
      </c>
      <c r="AG174" s="567"/>
      <c r="AH174" s="580"/>
      <c r="AI174" s="567">
        <f t="shared" si="988"/>
        <v>526.70000000000005</v>
      </c>
      <c r="AJ174" s="567"/>
      <c r="AK174" s="567">
        <v>526.70000000000005</v>
      </c>
      <c r="AL174" s="567"/>
      <c r="AM174" s="580"/>
      <c r="AN174" s="567">
        <f t="shared" si="989"/>
        <v>526.70000000000005</v>
      </c>
      <c r="AO174" s="567"/>
      <c r="AP174" s="567">
        <v>526.70000000000005</v>
      </c>
      <c r="AQ174" s="567"/>
      <c r="AR174" s="580"/>
      <c r="AS174" s="567">
        <f t="shared" si="990"/>
        <v>229</v>
      </c>
      <c r="AT174" s="567"/>
      <c r="AU174" s="567">
        <v>229</v>
      </c>
      <c r="AV174" s="567"/>
      <c r="AW174" s="581"/>
      <c r="AX174" s="410" t="s">
        <v>406</v>
      </c>
      <c r="AY174" s="567">
        <f t="shared" si="991"/>
        <v>1632.1000000000001</v>
      </c>
      <c r="AZ174" s="567"/>
      <c r="BA174" s="567">
        <f t="shared" si="992"/>
        <v>1632.1000000000001</v>
      </c>
      <c r="BB174" s="567">
        <v>514.20000000000005</v>
      </c>
      <c r="BC174" s="567">
        <v>1117.9000000000001</v>
      </c>
      <c r="BD174" s="567"/>
      <c r="BE174" s="567"/>
      <c r="BF174" s="567">
        <f t="shared" si="798"/>
        <v>0</v>
      </c>
      <c r="BG174" s="567">
        <f t="shared" si="799"/>
        <v>0</v>
      </c>
      <c r="BH174" s="567">
        <f t="shared" si="800"/>
        <v>0</v>
      </c>
      <c r="BI174" s="567">
        <f t="shared" si="801"/>
        <v>0</v>
      </c>
      <c r="BJ174" s="567">
        <f t="shared" si="802"/>
        <v>0</v>
      </c>
      <c r="BK174" s="567">
        <f t="shared" si="803"/>
        <v>0</v>
      </c>
      <c r="BL174" s="567" t="e">
        <f>#REF!-BE174</f>
        <v>#REF!</v>
      </c>
      <c r="BM174" s="567">
        <f t="shared" si="993"/>
        <v>526.70000000000005</v>
      </c>
      <c r="BN174" s="567"/>
      <c r="BO174" s="567">
        <v>526.70000000000005</v>
      </c>
      <c r="BP174" s="567"/>
      <c r="BQ174" s="567"/>
      <c r="BR174" s="567">
        <f t="shared" si="994"/>
        <v>0</v>
      </c>
      <c r="BS174" s="567"/>
      <c r="BT174" s="568"/>
      <c r="BU174" s="567"/>
      <c r="BV174" s="567"/>
      <c r="BW174" s="567">
        <f t="shared" si="995"/>
        <v>0</v>
      </c>
      <c r="BX174" s="567"/>
      <c r="BY174" s="567">
        <f t="shared" si="804"/>
        <v>0</v>
      </c>
      <c r="BZ174" s="574"/>
      <c r="CA174" s="574"/>
      <c r="CB174" s="567"/>
      <c r="CC174" s="567"/>
      <c r="CD174" s="567">
        <f t="shared" si="996"/>
        <v>0</v>
      </c>
      <c r="CE174" s="567"/>
      <c r="CF174" s="567">
        <f t="shared" si="805"/>
        <v>0</v>
      </c>
      <c r="CG174" s="574"/>
      <c r="CH174" s="574"/>
      <c r="CI174" s="567"/>
      <c r="CJ174" s="567"/>
      <c r="CK174" s="567">
        <f t="shared" si="934"/>
        <v>0</v>
      </c>
      <c r="CL174" s="567"/>
      <c r="CM174" s="567">
        <f t="shared" si="806"/>
        <v>0</v>
      </c>
      <c r="CN174" s="567"/>
      <c r="CO174" s="567"/>
      <c r="CP174" s="567"/>
      <c r="CQ174" s="567"/>
      <c r="CR174" s="573">
        <f t="shared" si="997"/>
        <v>0</v>
      </c>
      <c r="CS174" s="567">
        <f t="shared" si="807"/>
        <v>0</v>
      </c>
      <c r="CT174" s="567">
        <f t="shared" si="808"/>
        <v>0</v>
      </c>
      <c r="CU174" s="567">
        <f t="shared" si="809"/>
        <v>0</v>
      </c>
      <c r="CV174" s="567">
        <f t="shared" si="810"/>
        <v>0</v>
      </c>
      <c r="CW174" s="567">
        <f t="shared" si="998"/>
        <v>0</v>
      </c>
      <c r="CX174" s="567">
        <f t="shared" ca="1" si="899"/>
        <v>0</v>
      </c>
      <c r="CY174" s="567">
        <f t="shared" si="811"/>
        <v>0</v>
      </c>
      <c r="CZ174" s="567">
        <f t="shared" si="812"/>
        <v>0</v>
      </c>
      <c r="DA174" s="567">
        <f t="shared" si="813"/>
        <v>0</v>
      </c>
      <c r="DB174" s="2">
        <f t="shared" si="999"/>
        <v>0</v>
      </c>
      <c r="DC174" s="76"/>
      <c r="DD174" s="253"/>
      <c r="DE174" s="253"/>
      <c r="DF174" s="2">
        <f t="shared" si="1000"/>
        <v>0</v>
      </c>
      <c r="DG174" s="2"/>
      <c r="DH174" s="198"/>
      <c r="DI174" s="2"/>
      <c r="DJ174" s="2"/>
      <c r="DK174" s="2">
        <f t="shared" si="1001"/>
        <v>0</v>
      </c>
      <c r="DL174" s="2"/>
      <c r="DM174" s="198"/>
      <c r="DN174" s="2"/>
      <c r="DO174" s="2"/>
      <c r="DP174" s="2">
        <f t="shared" si="1002"/>
        <v>0</v>
      </c>
      <c r="DQ174" s="2">
        <f t="shared" si="1003"/>
        <v>0</v>
      </c>
      <c r="DR174" s="2">
        <f t="shared" si="1003"/>
        <v>0</v>
      </c>
      <c r="DS174" s="2">
        <f t="shared" si="1003"/>
        <v>0</v>
      </c>
      <c r="DT174" s="2">
        <f t="shared" si="1003"/>
        <v>0</v>
      </c>
      <c r="DU174" s="2"/>
      <c r="DV174" s="2"/>
      <c r="DW174" s="2"/>
      <c r="DX174" s="2">
        <f t="shared" ca="1" si="1004"/>
        <v>0</v>
      </c>
      <c r="DY174" s="46"/>
      <c r="DZ174" s="2">
        <f t="shared" si="1005"/>
        <v>0</v>
      </c>
      <c r="EA174" s="2">
        <f t="shared" si="1006"/>
        <v>0</v>
      </c>
      <c r="EB174" s="46"/>
      <c r="EC174" s="2"/>
      <c r="ED174" s="2"/>
      <c r="EE174" s="46"/>
      <c r="EF174" s="2"/>
      <c r="EG174" s="46"/>
      <c r="EH174" s="46"/>
      <c r="EI174" s="2">
        <f t="shared" si="794"/>
        <v>0</v>
      </c>
      <c r="EJ174" s="2"/>
      <c r="EK174" s="2">
        <f t="shared" si="814"/>
        <v>0</v>
      </c>
      <c r="EL174" s="432"/>
      <c r="EM174" s="432"/>
      <c r="EN174" s="2"/>
      <c r="EO174" s="2"/>
      <c r="EP174" s="2">
        <f t="shared" si="795"/>
        <v>0</v>
      </c>
      <c r="EQ174" s="2"/>
      <c r="ER174" s="2">
        <f t="shared" si="815"/>
        <v>0</v>
      </c>
      <c r="ES174" s="2"/>
      <c r="ET174" s="2"/>
      <c r="EU174" s="2"/>
      <c r="EV174" s="141"/>
      <c r="EW174" s="310"/>
      <c r="EX174" s="310"/>
      <c r="EY174" s="310"/>
      <c r="EZ174" s="396"/>
      <c r="FA174" s="396"/>
      <c r="FB174" s="310"/>
      <c r="FC174" s="310"/>
      <c r="FD174" s="310"/>
      <c r="FE174" s="396"/>
      <c r="FF174" s="396"/>
      <c r="FG174" s="396"/>
      <c r="FH174" s="311"/>
      <c r="FI174" s="310"/>
      <c r="FJ174" s="296" t="e">
        <f t="shared" si="1009"/>
        <v>#DIV/0!</v>
      </c>
      <c r="FK174" s="353">
        <f t="shared" si="817"/>
        <v>1632.1000000000001</v>
      </c>
      <c r="FL174" s="353">
        <f t="shared" si="1030"/>
        <v>1632.1000000000001</v>
      </c>
      <c r="FM174" s="353"/>
      <c r="FN174" s="388">
        <f t="shared" si="1010"/>
        <v>1</v>
      </c>
      <c r="FO174" s="388">
        <f t="shared" si="1011"/>
        <v>0</v>
      </c>
      <c r="FP174" s="353">
        <f t="shared" si="818"/>
        <v>0</v>
      </c>
      <c r="FQ174" s="353">
        <f t="shared" si="1012"/>
        <v>0</v>
      </c>
      <c r="FR174" s="353">
        <f t="shared" si="1013"/>
        <v>0</v>
      </c>
      <c r="FS174" s="388" t="e">
        <f t="shared" si="1014"/>
        <v>#DIV/0!</v>
      </c>
      <c r="FT174" s="388" t="e">
        <f t="shared" si="1015"/>
        <v>#DIV/0!</v>
      </c>
      <c r="FU174" s="388"/>
      <c r="FV174" s="353">
        <f t="shared" si="1016"/>
        <v>0</v>
      </c>
      <c r="FW174" s="353">
        <f t="shared" si="819"/>
        <v>0</v>
      </c>
      <c r="FX174" s="310"/>
      <c r="FY174" s="310"/>
      <c r="FZ174" s="310"/>
      <c r="GA174" s="396"/>
      <c r="GB174" s="396"/>
      <c r="GC174" s="310"/>
      <c r="GD174" s="310"/>
      <c r="GE174" s="310"/>
      <c r="GF174" s="396"/>
      <c r="GG174" s="396"/>
      <c r="GH174" s="396"/>
      <c r="GI174" s="311"/>
      <c r="GJ174" s="344"/>
      <c r="GK174" s="303">
        <f t="shared" si="796"/>
        <v>0</v>
      </c>
    </row>
    <row r="175" spans="2:193" s="37" customFormat="1" ht="15" customHeight="1" x14ac:dyDescent="0.25">
      <c r="B175" s="29"/>
      <c r="C175" s="30"/>
      <c r="D175" s="30">
        <v>1</v>
      </c>
      <c r="E175" s="493">
        <v>145</v>
      </c>
      <c r="F175" s="29"/>
      <c r="G175" s="30"/>
      <c r="H175" s="30">
        <v>1</v>
      </c>
      <c r="I175" s="493"/>
      <c r="J175" s="494"/>
      <c r="K175" s="494"/>
      <c r="L175" s="53"/>
      <c r="M175" s="493">
        <v>123</v>
      </c>
      <c r="N175" s="494" t="s">
        <v>124</v>
      </c>
      <c r="O175" s="494"/>
      <c r="P175" s="494">
        <f t="shared" si="816"/>
        <v>0</v>
      </c>
      <c r="Q175" s="494"/>
      <c r="R175" s="494"/>
      <c r="S175" s="494" t="s">
        <v>599</v>
      </c>
      <c r="T175" s="156">
        <v>2</v>
      </c>
      <c r="U175" s="493"/>
      <c r="V175" s="2">
        <f t="shared" si="797"/>
        <v>742.4</v>
      </c>
      <c r="W175" s="2"/>
      <c r="X175" s="198">
        <f t="shared" si="1031"/>
        <v>742.4</v>
      </c>
      <c r="Y175" s="198">
        <v>233.9</v>
      </c>
      <c r="Z175" s="42">
        <v>508.5</v>
      </c>
      <c r="AA175" s="2"/>
      <c r="AB175" s="567">
        <f t="shared" si="987"/>
        <v>742.4</v>
      </c>
      <c r="AC175" s="567"/>
      <c r="AD175" s="568">
        <f t="shared" si="1032"/>
        <v>742.4</v>
      </c>
      <c r="AE175" s="568">
        <v>233.9</v>
      </c>
      <c r="AF175" s="569">
        <v>508.5</v>
      </c>
      <c r="AG175" s="567"/>
      <c r="AH175" s="570"/>
      <c r="AI175" s="567">
        <f t="shared" si="988"/>
        <v>239.2</v>
      </c>
      <c r="AJ175" s="567"/>
      <c r="AK175" s="568">
        <v>239.2</v>
      </c>
      <c r="AL175" s="567"/>
      <c r="AM175" s="570"/>
      <c r="AN175" s="567">
        <f t="shared" si="989"/>
        <v>239.2</v>
      </c>
      <c r="AO175" s="567"/>
      <c r="AP175" s="568">
        <v>239.2</v>
      </c>
      <c r="AQ175" s="567"/>
      <c r="AR175" s="570"/>
      <c r="AS175" s="567">
        <f t="shared" si="990"/>
        <v>104</v>
      </c>
      <c r="AT175" s="567"/>
      <c r="AU175" s="568">
        <v>104</v>
      </c>
      <c r="AV175" s="567"/>
      <c r="AW175" s="604"/>
      <c r="AX175" s="410" t="s">
        <v>455</v>
      </c>
      <c r="AY175" s="567">
        <f t="shared" si="991"/>
        <v>742.4</v>
      </c>
      <c r="AZ175" s="567"/>
      <c r="BA175" s="568">
        <f t="shared" si="992"/>
        <v>742.4</v>
      </c>
      <c r="BB175" s="568">
        <v>233.9</v>
      </c>
      <c r="BC175" s="569">
        <v>508.5</v>
      </c>
      <c r="BD175" s="567"/>
      <c r="BE175" s="570"/>
      <c r="BF175" s="567">
        <f t="shared" si="798"/>
        <v>0</v>
      </c>
      <c r="BG175" s="567">
        <f t="shared" si="799"/>
        <v>0</v>
      </c>
      <c r="BH175" s="567">
        <f t="shared" si="800"/>
        <v>0</v>
      </c>
      <c r="BI175" s="567">
        <f t="shared" si="801"/>
        <v>0</v>
      </c>
      <c r="BJ175" s="567">
        <f t="shared" si="802"/>
        <v>0</v>
      </c>
      <c r="BK175" s="567">
        <f t="shared" si="803"/>
        <v>0</v>
      </c>
      <c r="BL175" s="567" t="e">
        <f>#REF!-BE175</f>
        <v>#REF!</v>
      </c>
      <c r="BM175" s="567">
        <f t="shared" si="993"/>
        <v>239.2</v>
      </c>
      <c r="BN175" s="567"/>
      <c r="BO175" s="568">
        <f>104+135.2</f>
        <v>239.2</v>
      </c>
      <c r="BP175" s="567"/>
      <c r="BQ175" s="570"/>
      <c r="BR175" s="567">
        <f t="shared" si="994"/>
        <v>0</v>
      </c>
      <c r="BS175" s="567"/>
      <c r="BT175" s="568"/>
      <c r="BU175" s="567"/>
      <c r="BV175" s="570"/>
      <c r="BW175" s="567">
        <f t="shared" si="995"/>
        <v>712.70400000000006</v>
      </c>
      <c r="BX175" s="567"/>
      <c r="BY175" s="568">
        <f t="shared" si="804"/>
        <v>712.70400000000006</v>
      </c>
      <c r="BZ175" s="571">
        <v>224.54400000000001</v>
      </c>
      <c r="CA175" s="571">
        <v>488.16</v>
      </c>
      <c r="CB175" s="567"/>
      <c r="CC175" s="577"/>
      <c r="CD175" s="567">
        <f t="shared" si="996"/>
        <v>712.70400000000006</v>
      </c>
      <c r="CE175" s="567"/>
      <c r="CF175" s="568">
        <f t="shared" si="805"/>
        <v>712.70400000000006</v>
      </c>
      <c r="CG175" s="571">
        <v>224.54400000000001</v>
      </c>
      <c r="CH175" s="571">
        <v>488.16</v>
      </c>
      <c r="CI175" s="567"/>
      <c r="CJ175" s="577"/>
      <c r="CK175" s="567">
        <f t="shared" si="934"/>
        <v>79.2</v>
      </c>
      <c r="CL175" s="567"/>
      <c r="CM175" s="567">
        <v>79.2</v>
      </c>
      <c r="CN175" s="567"/>
      <c r="CO175" s="567"/>
      <c r="CP175" s="567"/>
      <c r="CQ175" s="567"/>
      <c r="CR175" s="573">
        <f t="shared" si="997"/>
        <v>791.90400000000011</v>
      </c>
      <c r="CS175" s="567">
        <f t="shared" si="807"/>
        <v>791.90400000000011</v>
      </c>
      <c r="CT175" s="567">
        <f t="shared" si="808"/>
        <v>0</v>
      </c>
      <c r="CU175" s="567">
        <f t="shared" si="809"/>
        <v>791.90400000000011</v>
      </c>
      <c r="CV175" s="567">
        <f t="shared" si="810"/>
        <v>0</v>
      </c>
      <c r="CW175" s="567">
        <f t="shared" si="998"/>
        <v>0</v>
      </c>
      <c r="CX175" s="567">
        <f t="shared" ca="1" si="899"/>
        <v>0</v>
      </c>
      <c r="CY175" s="567">
        <f t="shared" si="811"/>
        <v>0</v>
      </c>
      <c r="CZ175" s="567">
        <f t="shared" si="812"/>
        <v>0</v>
      </c>
      <c r="DA175" s="567">
        <f t="shared" si="813"/>
        <v>0</v>
      </c>
      <c r="DB175" s="2">
        <f t="shared" si="999"/>
        <v>0</v>
      </c>
      <c r="DC175" s="76"/>
      <c r="DD175" s="253"/>
      <c r="DE175" s="253"/>
      <c r="DF175" s="2">
        <f t="shared" si="1000"/>
        <v>0</v>
      </c>
      <c r="DG175" s="2"/>
      <c r="DH175" s="198"/>
      <c r="DI175" s="2"/>
      <c r="DJ175" s="234"/>
      <c r="DK175" s="2">
        <f t="shared" si="1001"/>
        <v>0</v>
      </c>
      <c r="DL175" s="2"/>
      <c r="DM175" s="198"/>
      <c r="DN175" s="2"/>
      <c r="DO175" s="234"/>
      <c r="DP175" s="2">
        <f t="shared" si="1002"/>
        <v>0</v>
      </c>
      <c r="DQ175" s="2">
        <f t="shared" si="1003"/>
        <v>0</v>
      </c>
      <c r="DR175" s="2">
        <f t="shared" si="1003"/>
        <v>0</v>
      </c>
      <c r="DS175" s="2">
        <f t="shared" si="1003"/>
        <v>0</v>
      </c>
      <c r="DT175" s="2">
        <f t="shared" si="1003"/>
        <v>0</v>
      </c>
      <c r="DU175" s="2"/>
      <c r="DV175" s="2"/>
      <c r="DW175" s="2"/>
      <c r="DX175" s="2">
        <f t="shared" ca="1" si="1004"/>
        <v>0</v>
      </c>
      <c r="DY175" s="46"/>
      <c r="DZ175" s="2">
        <f t="shared" si="1005"/>
        <v>712.70400000000006</v>
      </c>
      <c r="EA175" s="2">
        <f t="shared" si="1006"/>
        <v>712.70400000000006</v>
      </c>
      <c r="EB175" s="46"/>
      <c r="EC175" s="2"/>
      <c r="ED175" s="2"/>
      <c r="EE175" s="46"/>
      <c r="EF175" s="2"/>
      <c r="EG175" s="46"/>
      <c r="EH175" s="46"/>
      <c r="EI175" s="2">
        <f t="shared" si="794"/>
        <v>712.70400000000006</v>
      </c>
      <c r="EJ175" s="2"/>
      <c r="EK175" s="198">
        <f t="shared" si="814"/>
        <v>712.70400000000006</v>
      </c>
      <c r="EL175" s="446">
        <v>224.54400000000001</v>
      </c>
      <c r="EM175" s="446">
        <v>488.16</v>
      </c>
      <c r="EN175" s="2"/>
      <c r="EO175" s="236"/>
      <c r="EP175" s="2">
        <f t="shared" si="795"/>
        <v>79.2</v>
      </c>
      <c r="EQ175" s="2"/>
      <c r="ER175" s="2">
        <v>79.2</v>
      </c>
      <c r="ES175" s="2">
        <v>24.96</v>
      </c>
      <c r="ET175" s="2">
        <v>54.24</v>
      </c>
      <c r="EU175" s="2"/>
      <c r="EV175" s="141"/>
      <c r="EW175" s="310"/>
      <c r="EX175" s="310"/>
      <c r="EY175" s="310"/>
      <c r="EZ175" s="396"/>
      <c r="FA175" s="396"/>
      <c r="FB175" s="310"/>
      <c r="FC175" s="310"/>
      <c r="FD175" s="310"/>
      <c r="FE175" s="396"/>
      <c r="FF175" s="396"/>
      <c r="FG175" s="396"/>
      <c r="FH175" s="311"/>
      <c r="FI175" s="310"/>
      <c r="FJ175" s="296" t="e">
        <f t="shared" si="1009"/>
        <v>#DIV/0!</v>
      </c>
      <c r="FK175" s="353">
        <f t="shared" si="817"/>
        <v>742.4</v>
      </c>
      <c r="FL175" s="353">
        <f t="shared" si="1030"/>
        <v>742.4</v>
      </c>
      <c r="FM175" s="353"/>
      <c r="FN175" s="388">
        <f t="shared" si="1010"/>
        <v>1</v>
      </c>
      <c r="FO175" s="388">
        <f t="shared" si="1011"/>
        <v>0</v>
      </c>
      <c r="FP175" s="353">
        <f t="shared" si="818"/>
        <v>791.90400000000011</v>
      </c>
      <c r="FQ175" s="353">
        <f t="shared" si="1012"/>
        <v>712.70400000000006</v>
      </c>
      <c r="FR175" s="353">
        <f t="shared" si="1013"/>
        <v>79.2</v>
      </c>
      <c r="FS175" s="388">
        <f t="shared" si="1014"/>
        <v>0.89998787731846275</v>
      </c>
      <c r="FT175" s="388">
        <f t="shared" si="1015"/>
        <v>0.10001212268153714</v>
      </c>
      <c r="FU175" s="388"/>
      <c r="FV175" s="353">
        <f t="shared" si="1016"/>
        <v>791.90400000000011</v>
      </c>
      <c r="FW175" s="353">
        <f t="shared" si="819"/>
        <v>-79.200000000000045</v>
      </c>
      <c r="FX175" s="310"/>
      <c r="FY175" s="310"/>
      <c r="FZ175" s="310"/>
      <c r="GA175" s="396"/>
      <c r="GB175" s="396"/>
      <c r="GC175" s="310"/>
      <c r="GD175" s="310"/>
      <c r="GE175" s="310"/>
      <c r="GF175" s="396"/>
      <c r="GG175" s="396"/>
      <c r="GH175" s="396"/>
      <c r="GI175" s="311"/>
      <c r="GJ175" s="344"/>
      <c r="GK175" s="303">
        <f t="shared" si="796"/>
        <v>0.96000000000000008</v>
      </c>
    </row>
    <row r="176" spans="2:193" s="37" customFormat="1" ht="15" customHeight="1" x14ac:dyDescent="0.25">
      <c r="B176" s="29"/>
      <c r="C176" s="30"/>
      <c r="D176" s="30">
        <v>1</v>
      </c>
      <c r="E176" s="493">
        <v>146</v>
      </c>
      <c r="F176" s="29"/>
      <c r="G176" s="30"/>
      <c r="H176" s="30">
        <v>1</v>
      </c>
      <c r="M176" s="493">
        <v>124</v>
      </c>
      <c r="N176" s="494" t="s">
        <v>125</v>
      </c>
      <c r="O176" s="494"/>
      <c r="P176" s="494">
        <f t="shared" si="816"/>
        <v>0</v>
      </c>
      <c r="Q176" s="494" t="s">
        <v>701</v>
      </c>
      <c r="R176" s="494" t="s">
        <v>699</v>
      </c>
      <c r="S176" s="494" t="s">
        <v>623</v>
      </c>
      <c r="T176" s="156">
        <v>2</v>
      </c>
      <c r="U176" s="493"/>
      <c r="V176" s="2">
        <f t="shared" si="797"/>
        <v>1504.1</v>
      </c>
      <c r="W176" s="2"/>
      <c r="X176" s="198">
        <f t="shared" si="1031"/>
        <v>1504.1</v>
      </c>
      <c r="Y176" s="198">
        <v>473.9</v>
      </c>
      <c r="Z176" s="42">
        <v>1030.2</v>
      </c>
      <c r="AA176" s="2"/>
      <c r="AB176" s="567">
        <f t="shared" si="987"/>
        <v>1504.1</v>
      </c>
      <c r="AC176" s="567"/>
      <c r="AD176" s="568">
        <f t="shared" si="1032"/>
        <v>1504.1</v>
      </c>
      <c r="AE176" s="568">
        <v>473.9</v>
      </c>
      <c r="AF176" s="569">
        <v>1030.2</v>
      </c>
      <c r="AG176" s="567"/>
      <c r="AH176" s="580"/>
      <c r="AI176" s="567">
        <f t="shared" si="988"/>
        <v>478.4</v>
      </c>
      <c r="AJ176" s="567"/>
      <c r="AK176" s="568">
        <v>478.4</v>
      </c>
      <c r="AL176" s="567"/>
      <c r="AM176" s="580"/>
      <c r="AN176" s="567">
        <f t="shared" si="989"/>
        <v>478.4</v>
      </c>
      <c r="AO176" s="567"/>
      <c r="AP176" s="568">
        <v>478.4</v>
      </c>
      <c r="AQ176" s="567"/>
      <c r="AR176" s="580"/>
      <c r="AS176" s="567">
        <f t="shared" si="990"/>
        <v>208</v>
      </c>
      <c r="AT176" s="567"/>
      <c r="AU176" s="568">
        <v>208</v>
      </c>
      <c r="AV176" s="567"/>
      <c r="AW176" s="581"/>
      <c r="AX176" s="410" t="s">
        <v>474</v>
      </c>
      <c r="AY176" s="567">
        <f t="shared" si="991"/>
        <v>1504.1</v>
      </c>
      <c r="AZ176" s="567"/>
      <c r="BA176" s="568">
        <f t="shared" si="992"/>
        <v>1504.1</v>
      </c>
      <c r="BB176" s="568">
        <v>473.9</v>
      </c>
      <c r="BC176" s="569">
        <v>1030.2</v>
      </c>
      <c r="BD176" s="567"/>
      <c r="BE176" s="567"/>
      <c r="BF176" s="567">
        <f t="shared" si="798"/>
        <v>0</v>
      </c>
      <c r="BG176" s="567">
        <f t="shared" si="799"/>
        <v>0</v>
      </c>
      <c r="BH176" s="567">
        <f t="shared" si="800"/>
        <v>0</v>
      </c>
      <c r="BI176" s="567">
        <f t="shared" si="801"/>
        <v>0</v>
      </c>
      <c r="BJ176" s="567">
        <f t="shared" si="802"/>
        <v>0</v>
      </c>
      <c r="BK176" s="567">
        <f t="shared" si="803"/>
        <v>0</v>
      </c>
      <c r="BL176" s="567" t="e">
        <f>#REF!-BE176</f>
        <v>#REF!</v>
      </c>
      <c r="BM176" s="567">
        <f t="shared" si="993"/>
        <v>478.4</v>
      </c>
      <c r="BN176" s="567"/>
      <c r="BO176" s="568">
        <v>478.4</v>
      </c>
      <c r="BP176" s="567"/>
      <c r="BQ176" s="567"/>
      <c r="BR176" s="567">
        <f t="shared" si="994"/>
        <v>0</v>
      </c>
      <c r="BS176" s="567"/>
      <c r="BT176" s="568"/>
      <c r="BU176" s="567"/>
      <c r="BV176" s="567"/>
      <c r="BW176" s="567">
        <f t="shared" si="995"/>
        <v>1278.4849999999999</v>
      </c>
      <c r="BX176" s="567"/>
      <c r="BY176" s="568">
        <f t="shared" si="804"/>
        <v>1278.4849999999999</v>
      </c>
      <c r="BZ176" s="571">
        <v>402.815</v>
      </c>
      <c r="CA176" s="571">
        <v>875.67</v>
      </c>
      <c r="CB176" s="567"/>
      <c r="CC176" s="567"/>
      <c r="CD176" s="567">
        <f t="shared" si="996"/>
        <v>1278.4849999999999</v>
      </c>
      <c r="CE176" s="567"/>
      <c r="CF176" s="568">
        <f t="shared" si="805"/>
        <v>1278.4849999999999</v>
      </c>
      <c r="CG176" s="571">
        <v>402.815</v>
      </c>
      <c r="CH176" s="571">
        <v>875.67</v>
      </c>
      <c r="CI176" s="567"/>
      <c r="CJ176" s="567"/>
      <c r="CK176" s="567">
        <f t="shared" si="934"/>
        <v>802.12120000000004</v>
      </c>
      <c r="CL176" s="567"/>
      <c r="CM176" s="567">
        <f t="shared" si="806"/>
        <v>802.12120000000004</v>
      </c>
      <c r="CN176" s="567">
        <v>174.91980000000001</v>
      </c>
      <c r="CO176" s="567">
        <v>627.20140000000004</v>
      </c>
      <c r="CP176" s="567"/>
      <c r="CQ176" s="567"/>
      <c r="CR176" s="573">
        <f t="shared" si="997"/>
        <v>2080.6062000000002</v>
      </c>
      <c r="CS176" s="567">
        <f t="shared" si="807"/>
        <v>2080.6062000000002</v>
      </c>
      <c r="CT176" s="567">
        <f t="shared" si="808"/>
        <v>0</v>
      </c>
      <c r="CU176" s="567">
        <f t="shared" si="809"/>
        <v>2080.6062000000002</v>
      </c>
      <c r="CV176" s="567">
        <f t="shared" si="810"/>
        <v>0</v>
      </c>
      <c r="CW176" s="567">
        <f t="shared" si="998"/>
        <v>0</v>
      </c>
      <c r="CX176" s="567">
        <f t="shared" ca="1" si="899"/>
        <v>0</v>
      </c>
      <c r="CY176" s="567">
        <f t="shared" si="811"/>
        <v>0</v>
      </c>
      <c r="CZ176" s="567">
        <f t="shared" si="812"/>
        <v>0</v>
      </c>
      <c r="DA176" s="567">
        <f t="shared" si="813"/>
        <v>0</v>
      </c>
      <c r="DB176" s="2">
        <f t="shared" si="999"/>
        <v>0</v>
      </c>
      <c r="DC176" s="76"/>
      <c r="DD176" s="253"/>
      <c r="DE176" s="253"/>
      <c r="DF176" s="2">
        <f t="shared" si="1000"/>
        <v>0</v>
      </c>
      <c r="DG176" s="2"/>
      <c r="DH176" s="198"/>
      <c r="DI176" s="2"/>
      <c r="DJ176" s="2"/>
      <c r="DK176" s="2">
        <f t="shared" si="1001"/>
        <v>0</v>
      </c>
      <c r="DL176" s="2"/>
      <c r="DM176" s="198"/>
      <c r="DN176" s="2"/>
      <c r="DO176" s="2"/>
      <c r="DP176" s="2">
        <f t="shared" si="1002"/>
        <v>0</v>
      </c>
      <c r="DQ176" s="2">
        <f t="shared" si="1003"/>
        <v>0</v>
      </c>
      <c r="DR176" s="2">
        <f t="shared" si="1003"/>
        <v>0</v>
      </c>
      <c r="DS176" s="2">
        <f t="shared" si="1003"/>
        <v>0</v>
      </c>
      <c r="DT176" s="2">
        <f t="shared" si="1003"/>
        <v>0</v>
      </c>
      <c r="DU176" s="2"/>
      <c r="DV176" s="2"/>
      <c r="DW176" s="2"/>
      <c r="DX176" s="2">
        <f t="shared" ca="1" si="1004"/>
        <v>0</v>
      </c>
      <c r="DY176" s="46"/>
      <c r="DZ176" s="2">
        <f t="shared" si="1005"/>
        <v>1278.4849999999999</v>
      </c>
      <c r="EA176" s="2">
        <f t="shared" si="1006"/>
        <v>1278.4849999999999</v>
      </c>
      <c r="EB176" s="46"/>
      <c r="EC176" s="2"/>
      <c r="ED176" s="2"/>
      <c r="EE176" s="46"/>
      <c r="EF176" s="2"/>
      <c r="EG176" s="46"/>
      <c r="EH176" s="46"/>
      <c r="EI176" s="2">
        <f t="shared" si="794"/>
        <v>1278.4849999999999</v>
      </c>
      <c r="EJ176" s="2"/>
      <c r="EK176" s="198">
        <f t="shared" si="814"/>
        <v>1278.4849999999999</v>
      </c>
      <c r="EL176" s="446">
        <v>402.815</v>
      </c>
      <c r="EM176" s="446">
        <v>875.67</v>
      </c>
      <c r="EN176" s="2"/>
      <c r="EO176" s="2"/>
      <c r="EP176" s="2">
        <f t="shared" si="795"/>
        <v>802.12120000000004</v>
      </c>
      <c r="EQ176" s="2"/>
      <c r="ER176" s="2">
        <f t="shared" si="815"/>
        <v>802.12120000000004</v>
      </c>
      <c r="ES176" s="2">
        <v>174.91980000000001</v>
      </c>
      <c r="ET176" s="2">
        <v>627.20140000000004</v>
      </c>
      <c r="EU176" s="2"/>
      <c r="EV176" s="141"/>
      <c r="EW176" s="310"/>
      <c r="EX176" s="310"/>
      <c r="EY176" s="310"/>
      <c r="EZ176" s="396"/>
      <c r="FA176" s="396"/>
      <c r="FB176" s="310"/>
      <c r="FC176" s="310"/>
      <c r="FD176" s="310"/>
      <c r="FE176" s="396"/>
      <c r="FF176" s="396"/>
      <c r="FG176" s="396"/>
      <c r="FH176" s="311"/>
      <c r="FI176" s="310"/>
      <c r="FJ176" s="296" t="e">
        <f t="shared" si="1009"/>
        <v>#DIV/0!</v>
      </c>
      <c r="FK176" s="353">
        <f t="shared" si="817"/>
        <v>1504.1</v>
      </c>
      <c r="FL176" s="353">
        <f t="shared" si="1030"/>
        <v>1504.1</v>
      </c>
      <c r="FM176" s="353"/>
      <c r="FN176" s="388">
        <f t="shared" si="1010"/>
        <v>1</v>
      </c>
      <c r="FO176" s="388">
        <f t="shared" si="1011"/>
        <v>0</v>
      </c>
      <c r="FP176" s="353">
        <f t="shared" si="818"/>
        <v>2080.6062000000002</v>
      </c>
      <c r="FQ176" s="353">
        <f t="shared" si="1012"/>
        <v>1278.4849999999999</v>
      </c>
      <c r="FR176" s="353">
        <f t="shared" si="1013"/>
        <v>802.12120000000004</v>
      </c>
      <c r="FS176" s="388">
        <f t="shared" si="1014"/>
        <v>0.61447716535690411</v>
      </c>
      <c r="FT176" s="388">
        <f t="shared" si="1015"/>
        <v>0.38552283464309584</v>
      </c>
      <c r="FU176" s="388"/>
      <c r="FV176" s="353">
        <f t="shared" si="1016"/>
        <v>2080.6062000000002</v>
      </c>
      <c r="FW176" s="353">
        <f t="shared" si="819"/>
        <v>-802.12120000000027</v>
      </c>
      <c r="FX176" s="310"/>
      <c r="FY176" s="310"/>
      <c r="FZ176" s="310"/>
      <c r="GA176" s="396"/>
      <c r="GB176" s="396"/>
      <c r="GC176" s="310"/>
      <c r="GD176" s="310"/>
      <c r="GE176" s="310"/>
      <c r="GF176" s="396"/>
      <c r="GG176" s="396"/>
      <c r="GH176" s="396"/>
      <c r="GI176" s="311"/>
      <c r="GJ176" s="344"/>
      <c r="GK176" s="303">
        <f t="shared" si="796"/>
        <v>0.85</v>
      </c>
    </row>
    <row r="177" spans="2:193" s="37" customFormat="1" ht="15.6" customHeight="1" x14ac:dyDescent="0.25">
      <c r="B177" s="29"/>
      <c r="C177" s="30"/>
      <c r="D177" s="30">
        <v>1</v>
      </c>
      <c r="E177" s="493">
        <v>147</v>
      </c>
      <c r="F177" s="29"/>
      <c r="G177" s="30"/>
      <c r="H177" s="30">
        <v>1</v>
      </c>
      <c r="I177" s="493"/>
      <c r="J177" s="494"/>
      <c r="K177" s="494"/>
      <c r="L177" s="53"/>
      <c r="M177" s="493">
        <v>125</v>
      </c>
      <c r="N177" s="494" t="s">
        <v>126</v>
      </c>
      <c r="O177" s="494"/>
      <c r="P177" s="494">
        <f t="shared" si="816"/>
        <v>0</v>
      </c>
      <c r="Q177" s="494" t="s">
        <v>701</v>
      </c>
      <c r="R177" s="494" t="s">
        <v>699</v>
      </c>
      <c r="S177" s="494" t="s">
        <v>537</v>
      </c>
      <c r="T177" s="156">
        <v>2</v>
      </c>
      <c r="U177" s="493"/>
      <c r="V177" s="2">
        <f t="shared" si="797"/>
        <v>4096.2999999999993</v>
      </c>
      <c r="W177" s="2"/>
      <c r="X177" s="198">
        <f t="shared" si="1031"/>
        <v>4096.2999999999993</v>
      </c>
      <c r="Y177" s="198">
        <v>1290.5999999999999</v>
      </c>
      <c r="Z177" s="42">
        <v>2805.7</v>
      </c>
      <c r="AA177" s="2"/>
      <c r="AB177" s="567">
        <f t="shared" si="987"/>
        <v>4096.2999999999993</v>
      </c>
      <c r="AC177" s="567"/>
      <c r="AD177" s="568">
        <f t="shared" si="1032"/>
        <v>4096.2999999999993</v>
      </c>
      <c r="AE177" s="568">
        <v>1290.5999999999999</v>
      </c>
      <c r="AF177" s="569">
        <v>2805.7</v>
      </c>
      <c r="AG177" s="567"/>
      <c r="AH177" s="570"/>
      <c r="AI177" s="567">
        <f t="shared" si="988"/>
        <v>1248.9000000000001</v>
      </c>
      <c r="AJ177" s="567"/>
      <c r="AK177" s="568">
        <v>1248.9000000000001</v>
      </c>
      <c r="AL177" s="567"/>
      <c r="AM177" s="570"/>
      <c r="AN177" s="567">
        <f t="shared" si="989"/>
        <v>1248.9000000000001</v>
      </c>
      <c r="AO177" s="567"/>
      <c r="AP177" s="568">
        <v>1248.9000000000001</v>
      </c>
      <c r="AQ177" s="567"/>
      <c r="AR177" s="570"/>
      <c r="AS177" s="567">
        <f t="shared" si="990"/>
        <v>543</v>
      </c>
      <c r="AT177" s="567"/>
      <c r="AU177" s="568">
        <v>543</v>
      </c>
      <c r="AV177" s="567"/>
      <c r="AW177" s="604"/>
      <c r="AX177" s="410" t="s">
        <v>408</v>
      </c>
      <c r="AY177" s="567">
        <f t="shared" si="991"/>
        <v>4096.2999999999993</v>
      </c>
      <c r="AZ177" s="567"/>
      <c r="BA177" s="568">
        <f t="shared" si="992"/>
        <v>4096.2999999999993</v>
      </c>
      <c r="BB177" s="568">
        <v>1290.5999999999999</v>
      </c>
      <c r="BC177" s="569">
        <v>2805.7</v>
      </c>
      <c r="BD177" s="567"/>
      <c r="BE177" s="570"/>
      <c r="BF177" s="567">
        <f t="shared" si="798"/>
        <v>0</v>
      </c>
      <c r="BG177" s="567">
        <f t="shared" si="799"/>
        <v>0</v>
      </c>
      <c r="BH177" s="567">
        <f t="shared" si="800"/>
        <v>0</v>
      </c>
      <c r="BI177" s="567">
        <f t="shared" si="801"/>
        <v>0</v>
      </c>
      <c r="BJ177" s="567">
        <f t="shared" si="802"/>
        <v>0</v>
      </c>
      <c r="BK177" s="567">
        <f t="shared" si="803"/>
        <v>0</v>
      </c>
      <c r="BL177" s="567" t="e">
        <f>#REF!-BE177</f>
        <v>#REF!</v>
      </c>
      <c r="BM177" s="567">
        <f t="shared" si="993"/>
        <v>1248.9000000000001</v>
      </c>
      <c r="BN177" s="567"/>
      <c r="BO177" s="568">
        <f>543+705.9</f>
        <v>1248.9000000000001</v>
      </c>
      <c r="BP177" s="567"/>
      <c r="BQ177" s="567"/>
      <c r="BR177" s="567">
        <f t="shared" si="994"/>
        <v>0</v>
      </c>
      <c r="BS177" s="567"/>
      <c r="BT177" s="570"/>
      <c r="BU177" s="567"/>
      <c r="BV177" s="570"/>
      <c r="BW177" s="567">
        <f t="shared" si="995"/>
        <v>4024.0184199999999</v>
      </c>
      <c r="BX177" s="567"/>
      <c r="BY177" s="568">
        <f t="shared" si="804"/>
        <v>4024.0184199999999</v>
      </c>
      <c r="BZ177" s="571">
        <v>1267.8266100000001</v>
      </c>
      <c r="CA177" s="571">
        <v>2756.1918099999998</v>
      </c>
      <c r="CB177" s="567"/>
      <c r="CC177" s="577"/>
      <c r="CD177" s="567">
        <f t="shared" si="996"/>
        <v>4024.0184199999999</v>
      </c>
      <c r="CE177" s="567"/>
      <c r="CF177" s="568">
        <f t="shared" si="805"/>
        <v>4024.0184199999999</v>
      </c>
      <c r="CG177" s="571">
        <v>1267.8266100000001</v>
      </c>
      <c r="CH177" s="571">
        <v>2756.1918099999998</v>
      </c>
      <c r="CI177" s="567"/>
      <c r="CJ177" s="577"/>
      <c r="CK177" s="567">
        <f t="shared" si="934"/>
        <v>844.21346000000005</v>
      </c>
      <c r="CL177" s="567"/>
      <c r="CM177" s="567">
        <v>844.21346000000005</v>
      </c>
      <c r="CN177" s="567"/>
      <c r="CO177" s="567"/>
      <c r="CP177" s="567"/>
      <c r="CQ177" s="567"/>
      <c r="CR177" s="573">
        <f t="shared" si="997"/>
        <v>4868.2318800000003</v>
      </c>
      <c r="CS177" s="567">
        <f t="shared" si="807"/>
        <v>4868.2318800000003</v>
      </c>
      <c r="CT177" s="567">
        <f t="shared" si="808"/>
        <v>0</v>
      </c>
      <c r="CU177" s="567">
        <f t="shared" si="809"/>
        <v>4868.2318800000003</v>
      </c>
      <c r="CV177" s="567">
        <f t="shared" si="810"/>
        <v>0</v>
      </c>
      <c r="CW177" s="567">
        <f t="shared" si="998"/>
        <v>0</v>
      </c>
      <c r="CX177" s="567">
        <f t="shared" ca="1" si="899"/>
        <v>0</v>
      </c>
      <c r="CY177" s="567">
        <f t="shared" si="811"/>
        <v>0</v>
      </c>
      <c r="CZ177" s="567">
        <f t="shared" si="812"/>
        <v>0</v>
      </c>
      <c r="DA177" s="567">
        <f t="shared" si="813"/>
        <v>0</v>
      </c>
      <c r="DB177" s="2">
        <f t="shared" si="999"/>
        <v>0</v>
      </c>
      <c r="DC177" s="76"/>
      <c r="DD177" s="253"/>
      <c r="DE177" s="253"/>
      <c r="DF177" s="2">
        <f t="shared" si="1000"/>
        <v>0</v>
      </c>
      <c r="DG177" s="2"/>
      <c r="DH177" s="234"/>
      <c r="DI177" s="2"/>
      <c r="DJ177" s="234"/>
      <c r="DK177" s="2">
        <f t="shared" si="1001"/>
        <v>0</v>
      </c>
      <c r="DL177" s="2"/>
      <c r="DM177" s="234"/>
      <c r="DN177" s="2"/>
      <c r="DO177" s="234"/>
      <c r="DP177" s="2">
        <f t="shared" si="1002"/>
        <v>0</v>
      </c>
      <c r="DQ177" s="2">
        <f t="shared" si="1003"/>
        <v>0</v>
      </c>
      <c r="DR177" s="2">
        <f t="shared" si="1003"/>
        <v>0</v>
      </c>
      <c r="DS177" s="2">
        <f t="shared" si="1003"/>
        <v>0</v>
      </c>
      <c r="DT177" s="2">
        <f t="shared" si="1003"/>
        <v>0</v>
      </c>
      <c r="DU177" s="2"/>
      <c r="DV177" s="2"/>
      <c r="DW177" s="2"/>
      <c r="DX177" s="2">
        <f t="shared" ca="1" si="1004"/>
        <v>0</v>
      </c>
      <c r="DY177" s="46"/>
      <c r="DZ177" s="2">
        <f t="shared" si="1005"/>
        <v>4024.0184199999999</v>
      </c>
      <c r="EA177" s="2">
        <f t="shared" si="1006"/>
        <v>4024.0184199999999</v>
      </c>
      <c r="EB177" s="46"/>
      <c r="EC177" s="2"/>
      <c r="ED177" s="2"/>
      <c r="EE177" s="46"/>
      <c r="EF177" s="2"/>
      <c r="EG177" s="46"/>
      <c r="EH177" s="46"/>
      <c r="EI177" s="2">
        <f t="shared" si="794"/>
        <v>4024.0184199999999</v>
      </c>
      <c r="EJ177" s="2"/>
      <c r="EK177" s="198">
        <f t="shared" si="814"/>
        <v>4024.0184199999999</v>
      </c>
      <c r="EL177" s="446">
        <v>1267.8266100000001</v>
      </c>
      <c r="EM177" s="446">
        <v>2756.1918099999998</v>
      </c>
      <c r="EN177" s="2"/>
      <c r="EO177" s="236"/>
      <c r="EP177" s="2">
        <f t="shared" si="795"/>
        <v>844.21346000000005</v>
      </c>
      <c r="EQ177" s="2"/>
      <c r="ER177" s="2">
        <v>844.21346000000005</v>
      </c>
      <c r="ES177" s="2">
        <v>206.45769000000001</v>
      </c>
      <c r="ET177" s="2">
        <v>637.75576999999998</v>
      </c>
      <c r="EU177" s="2"/>
      <c r="EV177" s="141"/>
      <c r="EW177" s="310"/>
      <c r="EX177" s="310"/>
      <c r="EY177" s="310"/>
      <c r="EZ177" s="396"/>
      <c r="FA177" s="396"/>
      <c r="FB177" s="310"/>
      <c r="FC177" s="310"/>
      <c r="FD177" s="310"/>
      <c r="FE177" s="396"/>
      <c r="FF177" s="396"/>
      <c r="FG177" s="396"/>
      <c r="FH177" s="311"/>
      <c r="FI177" s="310"/>
      <c r="FJ177" s="296" t="e">
        <f t="shared" si="1009"/>
        <v>#DIV/0!</v>
      </c>
      <c r="FK177" s="353">
        <f t="shared" si="817"/>
        <v>4096.2999999999993</v>
      </c>
      <c r="FL177" s="353">
        <f t="shared" si="1030"/>
        <v>4096.2999999999993</v>
      </c>
      <c r="FM177" s="353"/>
      <c r="FN177" s="388">
        <f t="shared" si="1010"/>
        <v>1</v>
      </c>
      <c r="FO177" s="388">
        <f t="shared" si="1011"/>
        <v>0</v>
      </c>
      <c r="FP177" s="353">
        <f t="shared" si="818"/>
        <v>4868.2318800000003</v>
      </c>
      <c r="FQ177" s="353">
        <f t="shared" si="1012"/>
        <v>4024.0184199999999</v>
      </c>
      <c r="FR177" s="353">
        <f t="shared" si="1013"/>
        <v>844.21346000000005</v>
      </c>
      <c r="FS177" s="388">
        <f t="shared" si="1014"/>
        <v>0.82658725368685593</v>
      </c>
      <c r="FT177" s="388">
        <f t="shared" si="1015"/>
        <v>0.17341274631314399</v>
      </c>
      <c r="FU177" s="388"/>
      <c r="FV177" s="353">
        <f t="shared" si="1016"/>
        <v>4868.2318800000003</v>
      </c>
      <c r="FW177" s="353">
        <f t="shared" si="819"/>
        <v>-844.2134600000004</v>
      </c>
      <c r="FX177" s="310">
        <f t="shared" ref="FX177" si="1052">FY177+FZ177</f>
        <v>0</v>
      </c>
      <c r="FY177" s="310">
        <f>BD177</f>
        <v>0</v>
      </c>
      <c r="FZ177" s="310"/>
      <c r="GA177" s="396" t="e">
        <f t="shared" ref="GA177" si="1053">FY177/FX177</f>
        <v>#DIV/0!</v>
      </c>
      <c r="GB177" s="396" t="e">
        <f t="shared" ref="GB177" si="1054">FZ177/FX177</f>
        <v>#DIV/0!</v>
      </c>
      <c r="GC177" s="310">
        <f t="shared" ref="GC177" si="1055">GD177+GE177</f>
        <v>0</v>
      </c>
      <c r="GD177" s="310">
        <f t="shared" ref="GD177" si="1056">EN177</f>
        <v>0</v>
      </c>
      <c r="GE177" s="310">
        <f t="shared" ref="GE177" si="1057">EU177</f>
        <v>0</v>
      </c>
      <c r="GF177" s="396" t="e">
        <f t="shared" ref="GF177" si="1058">GD177/GC177</f>
        <v>#DIV/0!</v>
      </c>
      <c r="GG177" s="396" t="e">
        <f t="shared" ref="GG177" si="1059">GE177/GC177</f>
        <v>#DIV/0!</v>
      </c>
      <c r="GH177" s="396"/>
      <c r="GI177" s="311" t="e">
        <f t="shared" ref="GI177" si="1060">GC177*GA177</f>
        <v>#DIV/0!</v>
      </c>
      <c r="GJ177" s="344" t="e">
        <f t="shared" ref="GJ177" si="1061">GD177-GI177</f>
        <v>#DIV/0!</v>
      </c>
      <c r="GK177" s="303">
        <f t="shared" si="796"/>
        <v>0.98235442228352432</v>
      </c>
    </row>
    <row r="178" spans="2:193" s="37" customFormat="1" ht="16.149999999999999" customHeight="1" x14ac:dyDescent="0.25">
      <c r="B178" s="29"/>
      <c r="C178" s="30"/>
      <c r="D178" s="30">
        <v>1</v>
      </c>
      <c r="E178" s="493">
        <v>148</v>
      </c>
      <c r="F178" s="29"/>
      <c r="G178" s="30"/>
      <c r="H178" s="30">
        <v>1</v>
      </c>
      <c r="I178" s="733" t="s">
        <v>268</v>
      </c>
      <c r="J178" s="734"/>
      <c r="K178" s="734"/>
      <c r="L178" s="734"/>
      <c r="M178" s="493">
        <v>126</v>
      </c>
      <c r="N178" s="494" t="s">
        <v>127</v>
      </c>
      <c r="O178" s="494"/>
      <c r="P178" s="494">
        <f t="shared" si="816"/>
        <v>0</v>
      </c>
      <c r="Q178" s="494" t="s">
        <v>701</v>
      </c>
      <c r="R178" s="494" t="s">
        <v>699</v>
      </c>
      <c r="S178" s="494" t="s">
        <v>516</v>
      </c>
      <c r="T178" s="156">
        <v>2</v>
      </c>
      <c r="U178" s="493"/>
      <c r="V178" s="2">
        <f t="shared" si="797"/>
        <v>947.19999999999993</v>
      </c>
      <c r="W178" s="2"/>
      <c r="X178" s="198">
        <f t="shared" si="1031"/>
        <v>947.19999999999993</v>
      </c>
      <c r="Y178" s="198">
        <v>298.39999999999998</v>
      </c>
      <c r="Z178" s="42">
        <v>648.79999999999995</v>
      </c>
      <c r="AA178" s="2"/>
      <c r="AB178" s="567">
        <f t="shared" si="987"/>
        <v>947.19999999999993</v>
      </c>
      <c r="AC178" s="567"/>
      <c r="AD178" s="568">
        <f t="shared" si="1032"/>
        <v>947.19999999999993</v>
      </c>
      <c r="AE178" s="568">
        <v>298.39999999999998</v>
      </c>
      <c r="AF178" s="569">
        <v>648.79999999999995</v>
      </c>
      <c r="AG178" s="567"/>
      <c r="AH178" s="570"/>
      <c r="AI178" s="567">
        <f t="shared" si="988"/>
        <v>305.89999999999998</v>
      </c>
      <c r="AJ178" s="567"/>
      <c r="AK178" s="568">
        <v>305.89999999999998</v>
      </c>
      <c r="AL178" s="567"/>
      <c r="AM178" s="570"/>
      <c r="AN178" s="567">
        <f t="shared" si="989"/>
        <v>305.89999999999998</v>
      </c>
      <c r="AO178" s="567"/>
      <c r="AP178" s="568">
        <v>305.89999999999998</v>
      </c>
      <c r="AQ178" s="567"/>
      <c r="AR178" s="570"/>
      <c r="AS178" s="567">
        <f t="shared" si="990"/>
        <v>133</v>
      </c>
      <c r="AT178" s="567"/>
      <c r="AU178" s="568">
        <v>133</v>
      </c>
      <c r="AV178" s="567"/>
      <c r="AW178" s="604"/>
      <c r="AX178" s="410" t="s">
        <v>390</v>
      </c>
      <c r="AY178" s="567">
        <f t="shared" si="991"/>
        <v>947.19999999999993</v>
      </c>
      <c r="AZ178" s="567"/>
      <c r="BA178" s="568">
        <f t="shared" si="992"/>
        <v>947.19999999999993</v>
      </c>
      <c r="BB178" s="568">
        <v>298.39999999999998</v>
      </c>
      <c r="BC178" s="569">
        <v>648.79999999999995</v>
      </c>
      <c r="BD178" s="567"/>
      <c r="BE178" s="570"/>
      <c r="BF178" s="567">
        <f t="shared" si="798"/>
        <v>0</v>
      </c>
      <c r="BG178" s="567">
        <f t="shared" si="799"/>
        <v>0</v>
      </c>
      <c r="BH178" s="567">
        <f t="shared" si="800"/>
        <v>0</v>
      </c>
      <c r="BI178" s="567">
        <f t="shared" si="801"/>
        <v>0</v>
      </c>
      <c r="BJ178" s="567">
        <f t="shared" si="802"/>
        <v>0</v>
      </c>
      <c r="BK178" s="567">
        <f t="shared" si="803"/>
        <v>0</v>
      </c>
      <c r="BL178" s="567" t="e">
        <f>#REF!-BE178</f>
        <v>#REF!</v>
      </c>
      <c r="BM178" s="567">
        <f t="shared" si="993"/>
        <v>305.89999999999998</v>
      </c>
      <c r="BN178" s="567"/>
      <c r="BO178" s="568">
        <f>133+172.9</f>
        <v>305.89999999999998</v>
      </c>
      <c r="BP178" s="567"/>
      <c r="BQ178" s="570"/>
      <c r="BR178" s="567">
        <f t="shared" si="994"/>
        <v>0</v>
      </c>
      <c r="BS178" s="567"/>
      <c r="BT178" s="568"/>
      <c r="BU178" s="567"/>
      <c r="BV178" s="570"/>
      <c r="BW178" s="567">
        <f t="shared" si="995"/>
        <v>934.48399999999992</v>
      </c>
      <c r="BX178" s="567"/>
      <c r="BY178" s="568">
        <f t="shared" si="804"/>
        <v>934.48399999999992</v>
      </c>
      <c r="BZ178" s="571">
        <v>295.416</v>
      </c>
      <c r="CA178" s="571">
        <v>639.06799999999998</v>
      </c>
      <c r="CB178" s="567"/>
      <c r="CC178" s="577"/>
      <c r="CD178" s="567">
        <f t="shared" si="996"/>
        <v>934.48399999999992</v>
      </c>
      <c r="CE178" s="567"/>
      <c r="CF178" s="568">
        <f t="shared" si="805"/>
        <v>934.48399999999992</v>
      </c>
      <c r="CG178" s="571">
        <v>295.416</v>
      </c>
      <c r="CH178" s="571">
        <v>639.06799999999998</v>
      </c>
      <c r="CI178" s="567"/>
      <c r="CJ178" s="577"/>
      <c r="CK178" s="567">
        <f t="shared" si="934"/>
        <v>672.29154000000005</v>
      </c>
      <c r="CL178" s="567"/>
      <c r="CM178" s="567">
        <f t="shared" si="806"/>
        <v>672.29154000000005</v>
      </c>
      <c r="CN178" s="567">
        <v>523.35954000000004</v>
      </c>
      <c r="CO178" s="567">
        <v>148.93199999999999</v>
      </c>
      <c r="CP178" s="567"/>
      <c r="CQ178" s="567"/>
      <c r="CR178" s="573">
        <f t="shared" si="997"/>
        <v>1606.7755400000001</v>
      </c>
      <c r="CS178" s="567">
        <f t="shared" si="807"/>
        <v>1606.7755400000001</v>
      </c>
      <c r="CT178" s="567">
        <f t="shared" si="808"/>
        <v>0</v>
      </c>
      <c r="CU178" s="567">
        <f t="shared" si="809"/>
        <v>1606.7755400000001</v>
      </c>
      <c r="CV178" s="567">
        <f t="shared" si="810"/>
        <v>0</v>
      </c>
      <c r="CW178" s="567">
        <f t="shared" si="998"/>
        <v>0</v>
      </c>
      <c r="CX178" s="567">
        <f t="shared" ca="1" si="899"/>
        <v>0</v>
      </c>
      <c r="CY178" s="567">
        <f t="shared" si="811"/>
        <v>0</v>
      </c>
      <c r="CZ178" s="567">
        <f t="shared" si="812"/>
        <v>0</v>
      </c>
      <c r="DA178" s="567">
        <f t="shared" si="813"/>
        <v>0</v>
      </c>
      <c r="DB178" s="2">
        <f t="shared" si="999"/>
        <v>0</v>
      </c>
      <c r="DC178" s="76"/>
      <c r="DD178" s="253"/>
      <c r="DE178" s="253"/>
      <c r="DF178" s="2">
        <f t="shared" si="1000"/>
        <v>0</v>
      </c>
      <c r="DG178" s="2"/>
      <c r="DH178" s="198"/>
      <c r="DI178" s="2"/>
      <c r="DJ178" s="234"/>
      <c r="DK178" s="2">
        <f t="shared" si="1001"/>
        <v>0</v>
      </c>
      <c r="DL178" s="2"/>
      <c r="DM178" s="198"/>
      <c r="DN178" s="2"/>
      <c r="DO178" s="234"/>
      <c r="DP178" s="2">
        <f t="shared" si="1002"/>
        <v>0</v>
      </c>
      <c r="DQ178" s="2">
        <f t="shared" si="1003"/>
        <v>0</v>
      </c>
      <c r="DR178" s="2">
        <f t="shared" si="1003"/>
        <v>0</v>
      </c>
      <c r="DS178" s="2">
        <f t="shared" si="1003"/>
        <v>0</v>
      </c>
      <c r="DT178" s="2">
        <f t="shared" si="1003"/>
        <v>0</v>
      </c>
      <c r="DU178" s="2"/>
      <c r="DV178" s="2"/>
      <c r="DW178" s="2"/>
      <c r="DX178" s="2">
        <f t="shared" ca="1" si="1004"/>
        <v>0</v>
      </c>
      <c r="DY178" s="46"/>
      <c r="DZ178" s="2">
        <f t="shared" si="1005"/>
        <v>934.48399999999992</v>
      </c>
      <c r="EA178" s="2">
        <f t="shared" si="1006"/>
        <v>934.48399999999992</v>
      </c>
      <c r="EB178" s="46"/>
      <c r="EC178" s="2"/>
      <c r="ED178" s="2"/>
      <c r="EE178" s="46"/>
      <c r="EF178" s="2"/>
      <c r="EG178" s="46"/>
      <c r="EH178" s="46"/>
      <c r="EI178" s="2">
        <f t="shared" si="794"/>
        <v>934.48399999999992</v>
      </c>
      <c r="EJ178" s="2"/>
      <c r="EK178" s="198">
        <f t="shared" si="814"/>
        <v>934.48399999999992</v>
      </c>
      <c r="EL178" s="446">
        <v>295.416</v>
      </c>
      <c r="EM178" s="446">
        <v>639.06799999999998</v>
      </c>
      <c r="EN178" s="2"/>
      <c r="EO178" s="236"/>
      <c r="EP178" s="2">
        <f t="shared" si="795"/>
        <v>672.29154000000005</v>
      </c>
      <c r="EQ178" s="2"/>
      <c r="ER178" s="2">
        <f t="shared" si="815"/>
        <v>672.29154000000005</v>
      </c>
      <c r="ES178" s="2">
        <v>523.35954000000004</v>
      </c>
      <c r="ET178" s="2">
        <v>148.93199999999999</v>
      </c>
      <c r="EU178" s="2"/>
      <c r="EV178" s="141"/>
      <c r="EW178" s="310"/>
      <c r="EX178" s="310"/>
      <c r="EY178" s="310"/>
      <c r="EZ178" s="396"/>
      <c r="FA178" s="396"/>
      <c r="FB178" s="310"/>
      <c r="FC178" s="310"/>
      <c r="FD178" s="310"/>
      <c r="FE178" s="396"/>
      <c r="FF178" s="396"/>
      <c r="FG178" s="396"/>
      <c r="FH178" s="311"/>
      <c r="FI178" s="310"/>
      <c r="FJ178" s="296" t="e">
        <f t="shared" si="1009"/>
        <v>#DIV/0!</v>
      </c>
      <c r="FK178" s="353">
        <f t="shared" ref="FK178" si="1062">FL178+FM178</f>
        <v>947.19999999999993</v>
      </c>
      <c r="FL178" s="353">
        <f t="shared" si="1030"/>
        <v>947.19999999999993</v>
      </c>
      <c r="FM178" s="353"/>
      <c r="FN178" s="388">
        <f t="shared" ref="FN178" si="1063">FL178/FK178</f>
        <v>1</v>
      </c>
      <c r="FO178" s="388">
        <f t="shared" ref="FO178" si="1064">FM178/FK178</f>
        <v>0</v>
      </c>
      <c r="FP178" s="353">
        <f t="shared" ref="FP178" si="1065">FQ178+FR178</f>
        <v>1606.7755400000001</v>
      </c>
      <c r="FQ178" s="353">
        <f t="shared" ref="FQ178" si="1066">EK178</f>
        <v>934.48399999999992</v>
      </c>
      <c r="FR178" s="353">
        <f t="shared" ref="FR178" si="1067">ER178</f>
        <v>672.29154000000005</v>
      </c>
      <c r="FS178" s="388">
        <f t="shared" ref="FS178" si="1068">FQ178/FP178</f>
        <v>0.5815896351023615</v>
      </c>
      <c r="FT178" s="388">
        <f t="shared" ref="FT178" si="1069">FR178/FP178</f>
        <v>0.41841036489763844</v>
      </c>
      <c r="FU178" s="388"/>
      <c r="FV178" s="353">
        <f t="shared" ref="FV178" si="1070">FP178*FN178</f>
        <v>1606.7755400000001</v>
      </c>
      <c r="FW178" s="353">
        <f t="shared" si="819"/>
        <v>-672.29154000000017</v>
      </c>
      <c r="FX178" s="310"/>
      <c r="FY178" s="310"/>
      <c r="FZ178" s="310"/>
      <c r="GA178" s="396"/>
      <c r="GB178" s="396"/>
      <c r="GC178" s="310"/>
      <c r="GD178" s="310"/>
      <c r="GE178" s="310"/>
      <c r="GF178" s="396"/>
      <c r="GG178" s="396"/>
      <c r="GH178" s="396"/>
      <c r="GI178" s="311"/>
      <c r="GJ178" s="344"/>
      <c r="GK178" s="303">
        <f t="shared" si="796"/>
        <v>0.98657516891891894</v>
      </c>
    </row>
    <row r="179" spans="2:193" s="115" customFormat="1" ht="15.75" customHeight="1" x14ac:dyDescent="0.25">
      <c r="B179" s="109"/>
      <c r="C179" s="110"/>
      <c r="D179" s="110"/>
      <c r="E179" s="111"/>
      <c r="F179" s="109"/>
      <c r="G179" s="110"/>
      <c r="H179" s="110"/>
      <c r="I179" s="111">
        <v>10</v>
      </c>
      <c r="J179" s="112" t="s">
        <v>262</v>
      </c>
      <c r="K179" s="117" t="s">
        <v>269</v>
      </c>
      <c r="L179" s="113">
        <f>5000</f>
        <v>5000</v>
      </c>
      <c r="M179" s="111"/>
      <c r="N179" s="114" t="s">
        <v>22</v>
      </c>
      <c r="O179" s="114"/>
      <c r="P179" s="114">
        <f t="shared" si="816"/>
        <v>0</v>
      </c>
      <c r="Q179" s="114"/>
      <c r="R179" s="114"/>
      <c r="S179" s="114"/>
      <c r="T179" s="158">
        <f t="shared" ref="T179:AH179" si="1071">SUM(T180:T196)-T181</f>
        <v>33</v>
      </c>
      <c r="U179" s="158">
        <f>U180+U181+U182+U183+U184+U185+U186+U187+U188+U189+U190+U191+U192+U193+U194+U195+U196</f>
        <v>7</v>
      </c>
      <c r="V179" s="57">
        <f t="shared" si="797"/>
        <v>147576.28200000001</v>
      </c>
      <c r="W179" s="57">
        <f t="shared" ref="W179:AA179" si="1072">SUM(W180:W196)-W181</f>
        <v>0</v>
      </c>
      <c r="X179" s="57">
        <f t="shared" si="1072"/>
        <v>63768.799999999996</v>
      </c>
      <c r="Y179" s="57">
        <f t="shared" si="1072"/>
        <v>20091.599999999999</v>
      </c>
      <c r="Z179" s="57">
        <f t="shared" si="1072"/>
        <v>43677.2</v>
      </c>
      <c r="AA179" s="57">
        <f t="shared" si="1072"/>
        <v>83807.482000000004</v>
      </c>
      <c r="AB179" s="564">
        <f t="shared" si="1071"/>
        <v>147576.28199999998</v>
      </c>
      <c r="AC179" s="564">
        <f t="shared" si="1071"/>
        <v>0</v>
      </c>
      <c r="AD179" s="564">
        <f t="shared" si="1071"/>
        <v>63768.799999999996</v>
      </c>
      <c r="AE179" s="564">
        <f t="shared" si="1071"/>
        <v>20091.599999999999</v>
      </c>
      <c r="AF179" s="564">
        <f t="shared" si="1071"/>
        <v>43677.2</v>
      </c>
      <c r="AG179" s="564">
        <f t="shared" si="1071"/>
        <v>83807.482000000004</v>
      </c>
      <c r="AH179" s="564">
        <f t="shared" si="1071"/>
        <v>0</v>
      </c>
      <c r="AI179" s="564">
        <f t="shared" ref="AI179:AM179" si="1073">SUM(AI180:AI196)-AI181</f>
        <v>0</v>
      </c>
      <c r="AJ179" s="564">
        <f t="shared" si="1073"/>
        <v>0</v>
      </c>
      <c r="AK179" s="564">
        <f t="shared" si="1073"/>
        <v>0</v>
      </c>
      <c r="AL179" s="564">
        <f t="shared" si="1073"/>
        <v>0</v>
      </c>
      <c r="AM179" s="564">
        <f t="shared" si="1073"/>
        <v>0</v>
      </c>
      <c r="AN179" s="564">
        <f t="shared" ref="AN179:AR179" si="1074">SUM(AN180:AN196)-AN181</f>
        <v>0</v>
      </c>
      <c r="AO179" s="564">
        <f t="shared" si="1074"/>
        <v>0</v>
      </c>
      <c r="AP179" s="564">
        <f t="shared" si="1074"/>
        <v>0</v>
      </c>
      <c r="AQ179" s="564">
        <f t="shared" si="1074"/>
        <v>0</v>
      </c>
      <c r="AR179" s="564">
        <f t="shared" si="1074"/>
        <v>0</v>
      </c>
      <c r="AS179" s="566">
        <f t="shared" ref="AS179:AW179" si="1075">SUM(AS180:AS196)-AS181</f>
        <v>0</v>
      </c>
      <c r="AT179" s="564">
        <f t="shared" si="1075"/>
        <v>0</v>
      </c>
      <c r="AU179" s="564">
        <f t="shared" si="1075"/>
        <v>0</v>
      </c>
      <c r="AV179" s="564">
        <f t="shared" si="1075"/>
        <v>0</v>
      </c>
      <c r="AW179" s="564">
        <f t="shared" si="1075"/>
        <v>0</v>
      </c>
      <c r="AX179" s="565"/>
      <c r="AY179" s="564">
        <f t="shared" ref="AY179:BD179" si="1076">SUM(AY180:AY196)-AY181</f>
        <v>147396.71333999999</v>
      </c>
      <c r="AZ179" s="564">
        <f t="shared" si="1076"/>
        <v>0</v>
      </c>
      <c r="BA179" s="564">
        <f t="shared" si="1076"/>
        <v>63589.538339999992</v>
      </c>
      <c r="BB179" s="564">
        <f t="shared" ref="BB179:BC179" si="1077">SUM(BB180:BB196)-BB181</f>
        <v>19912.338339999998</v>
      </c>
      <c r="BC179" s="564">
        <f t="shared" si="1077"/>
        <v>43677.2</v>
      </c>
      <c r="BD179" s="564">
        <f t="shared" si="1076"/>
        <v>83807.175000000003</v>
      </c>
      <c r="BE179" s="564">
        <f>SUM(BE180:BE196)-BE181</f>
        <v>0</v>
      </c>
      <c r="BF179" s="564">
        <f t="shared" si="798"/>
        <v>179.56866000000082</v>
      </c>
      <c r="BG179" s="564">
        <f t="shared" si="799"/>
        <v>0</v>
      </c>
      <c r="BH179" s="564">
        <f t="shared" si="800"/>
        <v>179.26166000000012</v>
      </c>
      <c r="BI179" s="564">
        <f t="shared" si="801"/>
        <v>179.26166000000012</v>
      </c>
      <c r="BJ179" s="564">
        <f t="shared" si="802"/>
        <v>0</v>
      </c>
      <c r="BK179" s="564">
        <f t="shared" si="803"/>
        <v>0.30700000000069849</v>
      </c>
      <c r="BL179" s="564" t="e">
        <f t="shared" ref="BL179:BQ179" si="1078">SUM(BL180:BL196)-BL181</f>
        <v>#REF!</v>
      </c>
      <c r="BM179" s="564">
        <f t="shared" si="1078"/>
        <v>39112.436999999991</v>
      </c>
      <c r="BN179" s="564">
        <f t="shared" si="1078"/>
        <v>0</v>
      </c>
      <c r="BO179" s="564">
        <f t="shared" si="1078"/>
        <v>21307.200000000001</v>
      </c>
      <c r="BP179" s="564">
        <f t="shared" si="1078"/>
        <v>17805.236999999997</v>
      </c>
      <c r="BQ179" s="564">
        <f t="shared" si="1078"/>
        <v>0</v>
      </c>
      <c r="BR179" s="564">
        <f t="shared" ref="BR179:DB179" si="1079">SUM(BR180:BR196)-BR181</f>
        <v>0</v>
      </c>
      <c r="BS179" s="564">
        <f t="shared" si="1079"/>
        <v>0</v>
      </c>
      <c r="BT179" s="564">
        <f t="shared" si="1079"/>
        <v>0</v>
      </c>
      <c r="BU179" s="564">
        <f t="shared" si="1079"/>
        <v>0</v>
      </c>
      <c r="BV179" s="564">
        <f t="shared" si="1079"/>
        <v>0</v>
      </c>
      <c r="BW179" s="564">
        <f t="shared" si="1079"/>
        <v>143228.57655999996</v>
      </c>
      <c r="BX179" s="564">
        <f t="shared" si="1079"/>
        <v>0</v>
      </c>
      <c r="BY179" s="564">
        <f t="shared" si="804"/>
        <v>61052.383629999997</v>
      </c>
      <c r="BZ179" s="564">
        <f t="shared" si="1079"/>
        <v>19233.58165</v>
      </c>
      <c r="CA179" s="564">
        <f t="shared" si="1079"/>
        <v>41818.801979999997</v>
      </c>
      <c r="CB179" s="564">
        <f t="shared" si="1079"/>
        <v>82176.192930000005</v>
      </c>
      <c r="CC179" s="564">
        <f t="shared" si="1079"/>
        <v>0</v>
      </c>
      <c r="CD179" s="564">
        <f t="shared" si="1079"/>
        <v>143228.57655999996</v>
      </c>
      <c r="CE179" s="564">
        <f t="shared" ref="CE179" si="1080">SUM(CE180:CE196)-CE181</f>
        <v>0</v>
      </c>
      <c r="CF179" s="564">
        <f t="shared" si="805"/>
        <v>61052.383629999997</v>
      </c>
      <c r="CG179" s="564">
        <f t="shared" ref="CG179:CH179" si="1081">SUM(CG180:CG196)-CG181</f>
        <v>19233.58165</v>
      </c>
      <c r="CH179" s="564">
        <f t="shared" si="1081"/>
        <v>41818.801979999997</v>
      </c>
      <c r="CI179" s="564">
        <f t="shared" ref="CI179" si="1082">SUM(CI180:CI196)-CI181</f>
        <v>82176.192930000005</v>
      </c>
      <c r="CJ179" s="564">
        <f t="shared" si="1079"/>
        <v>0</v>
      </c>
      <c r="CK179" s="566">
        <f t="shared" si="1079"/>
        <v>19036.523590000001</v>
      </c>
      <c r="CL179" s="564">
        <f t="shared" si="1079"/>
        <v>0</v>
      </c>
      <c r="CM179" s="564">
        <f>SUM(CM180:CM196)</f>
        <v>9837.6088799999998</v>
      </c>
      <c r="CN179" s="564">
        <f t="shared" si="1079"/>
        <v>822.40119000000004</v>
      </c>
      <c r="CO179" s="564">
        <f t="shared" si="1079"/>
        <v>2288.5185200000001</v>
      </c>
      <c r="CP179" s="564">
        <f t="shared" si="1079"/>
        <v>9198.9147100000009</v>
      </c>
      <c r="CQ179" s="564">
        <f t="shared" si="1079"/>
        <v>0</v>
      </c>
      <c r="CR179" s="564">
        <f t="shared" si="1079"/>
        <v>162265.10015000001</v>
      </c>
      <c r="CS179" s="564">
        <f t="shared" si="807"/>
        <v>162265.10015000001</v>
      </c>
      <c r="CT179" s="564">
        <f t="shared" si="808"/>
        <v>0</v>
      </c>
      <c r="CU179" s="564">
        <f t="shared" si="809"/>
        <v>70889.992509999996</v>
      </c>
      <c r="CV179" s="564">
        <f t="shared" si="810"/>
        <v>91375.107640000002</v>
      </c>
      <c r="CW179" s="564">
        <f t="shared" si="1079"/>
        <v>0</v>
      </c>
      <c r="CX179" s="564">
        <f t="shared" ca="1" si="899"/>
        <v>0</v>
      </c>
      <c r="CY179" s="564">
        <f t="shared" si="811"/>
        <v>0</v>
      </c>
      <c r="CZ179" s="564">
        <f t="shared" si="812"/>
        <v>0</v>
      </c>
      <c r="DA179" s="564">
        <f t="shared" si="813"/>
        <v>0</v>
      </c>
      <c r="DB179" s="57">
        <f t="shared" si="1079"/>
        <v>0</v>
      </c>
      <c r="DC179" s="225">
        <f>DD179+DF179-BR179</f>
        <v>79134.250339999999</v>
      </c>
      <c r="DD179" s="226">
        <f t="shared" ref="DD179:DX179" si="1083">SUM(DD180:DD196)-DD181</f>
        <v>79134.250339999999</v>
      </c>
      <c r="DE179" s="226">
        <f t="shared" si="1083"/>
        <v>79134.250339999999</v>
      </c>
      <c r="DF179" s="57">
        <f t="shared" si="1083"/>
        <v>0</v>
      </c>
      <c r="DG179" s="57">
        <f t="shared" si="1083"/>
        <v>0</v>
      </c>
      <c r="DH179" s="57">
        <f t="shared" si="1083"/>
        <v>0</v>
      </c>
      <c r="DI179" s="57">
        <f t="shared" si="1083"/>
        <v>0</v>
      </c>
      <c r="DJ179" s="57">
        <f t="shared" si="1083"/>
        <v>0</v>
      </c>
      <c r="DK179" s="57">
        <f t="shared" si="1083"/>
        <v>0</v>
      </c>
      <c r="DL179" s="57">
        <f t="shared" si="1083"/>
        <v>0</v>
      </c>
      <c r="DM179" s="57">
        <f t="shared" si="1083"/>
        <v>0</v>
      </c>
      <c r="DN179" s="57">
        <f t="shared" si="1083"/>
        <v>0</v>
      </c>
      <c r="DO179" s="57">
        <f t="shared" si="1083"/>
        <v>0</v>
      </c>
      <c r="DP179" s="57">
        <f t="shared" si="1083"/>
        <v>0</v>
      </c>
      <c r="DQ179" s="57">
        <f t="shared" si="1083"/>
        <v>0</v>
      </c>
      <c r="DR179" s="57">
        <f t="shared" si="1083"/>
        <v>0</v>
      </c>
      <c r="DS179" s="57">
        <f t="shared" si="1083"/>
        <v>0</v>
      </c>
      <c r="DT179" s="57">
        <f t="shared" si="1083"/>
        <v>0</v>
      </c>
      <c r="DU179" s="57">
        <f t="shared" si="1083"/>
        <v>0</v>
      </c>
      <c r="DV179" s="57">
        <f t="shared" si="1083"/>
        <v>0</v>
      </c>
      <c r="DW179" s="57">
        <f t="shared" si="1083"/>
        <v>0</v>
      </c>
      <c r="DX179" s="57">
        <f t="shared" ca="1" si="1083"/>
        <v>0</v>
      </c>
      <c r="DY179" s="124"/>
      <c r="DZ179" s="57">
        <f>SUM(DZ180:DZ196)-DZ181</f>
        <v>143228.57655999996</v>
      </c>
      <c r="EA179" s="57">
        <f>SUM(EA180:EA196)-EA181</f>
        <v>143228.57655999996</v>
      </c>
      <c r="EB179" s="124"/>
      <c r="EC179" s="57">
        <f>SUM(EC180:EC196)-EC181</f>
        <v>143228.57655999999</v>
      </c>
      <c r="ED179" s="57">
        <f ca="1">SUM(ED180:ED196)-ED181</f>
        <v>0</v>
      </c>
      <c r="EE179" s="124"/>
      <c r="EF179" s="57">
        <f>SUM(EF180:EF196)-EF181</f>
        <v>-64094.326219999995</v>
      </c>
      <c r="EG179" s="124">
        <f ca="1">DX179-EF179</f>
        <v>64094.326219999995</v>
      </c>
      <c r="EH179" s="124"/>
      <c r="EI179" s="57">
        <f t="shared" si="794"/>
        <v>143228.57656000002</v>
      </c>
      <c r="EJ179" s="57">
        <f t="shared" ref="EJ179:EN179" si="1084">SUM(EJ180:EJ196)-EJ181</f>
        <v>0</v>
      </c>
      <c r="EK179" s="57">
        <f t="shared" si="814"/>
        <v>61052.383629999997</v>
      </c>
      <c r="EL179" s="57">
        <f t="shared" ref="EL179:EM179" si="1085">SUM(EL180:EL196)-EL181</f>
        <v>19233.58165</v>
      </c>
      <c r="EM179" s="57">
        <f t="shared" si="1085"/>
        <v>41818.801979999997</v>
      </c>
      <c r="EN179" s="57">
        <f t="shared" si="1084"/>
        <v>82176.192930000005</v>
      </c>
      <c r="EO179" s="57">
        <f t="shared" ref="EO179" si="1086">SUM(EO180:EO196)-EO181</f>
        <v>0</v>
      </c>
      <c r="EP179" s="57">
        <f t="shared" si="795"/>
        <v>19036.523590000001</v>
      </c>
      <c r="EQ179" s="57">
        <f t="shared" ref="EQ179" si="1087">SUM(EQ180:EQ196)-EQ181</f>
        <v>0</v>
      </c>
      <c r="ER179" s="57">
        <f>SUM(ER180:ER196)</f>
        <v>9837.6088799999998</v>
      </c>
      <c r="ES179" s="57">
        <f t="shared" ref="ES179:EU179" si="1088">SUM(ES180:ES196)-ES181</f>
        <v>3547.14246</v>
      </c>
      <c r="ET179" s="57">
        <f t="shared" si="1088"/>
        <v>6341.0468899999996</v>
      </c>
      <c r="EU179" s="57">
        <f t="shared" si="1088"/>
        <v>9198.9147100000009</v>
      </c>
      <c r="EV179" s="140">
        <f t="shared" ref="EV179" si="1089">SUM(EV180:EV196)-EV181</f>
        <v>0</v>
      </c>
      <c r="EW179" s="57">
        <f t="shared" si="980"/>
        <v>0</v>
      </c>
      <c r="EX179" s="57">
        <f>AZ179</f>
        <v>0</v>
      </c>
      <c r="EY179" s="57">
        <f t="shared" ref="EY179" si="1090">SUM(EY180:EY196)-EY181</f>
        <v>0</v>
      </c>
      <c r="EZ179" s="390"/>
      <c r="FA179" s="390"/>
      <c r="FB179" s="57">
        <f t="shared" si="841"/>
        <v>0</v>
      </c>
      <c r="FC179" s="57">
        <f>SUM(FC180:FC196)</f>
        <v>0</v>
      </c>
      <c r="FD179" s="57">
        <f>SUM(FD180:FD196)</f>
        <v>0</v>
      </c>
      <c r="FE179" s="390"/>
      <c r="FF179" s="390"/>
      <c r="FG179" s="390"/>
      <c r="FH179" s="304">
        <f t="shared" ref="FH179" si="1091">SUM(FH180:FH196)</f>
        <v>0</v>
      </c>
      <c r="FI179" s="57">
        <f t="shared" si="843"/>
        <v>0</v>
      </c>
      <c r="FJ179" s="295"/>
      <c r="FK179" s="57">
        <f t="shared" si="817"/>
        <v>63589.538339999992</v>
      </c>
      <c r="FL179" s="57">
        <f t="shared" si="1030"/>
        <v>63589.538339999992</v>
      </c>
      <c r="FM179" s="57">
        <f t="shared" ref="FM179" si="1092">SUM(FM180:FM196)-FM181</f>
        <v>0</v>
      </c>
      <c r="FN179" s="390"/>
      <c r="FO179" s="390"/>
      <c r="FP179" s="57">
        <f t="shared" si="818"/>
        <v>69534.58090999999</v>
      </c>
      <c r="FQ179" s="57">
        <f>SUM(FQ180:FQ196)</f>
        <v>59900.283629999998</v>
      </c>
      <c r="FR179" s="57">
        <f>SUM(FR180:FR196)</f>
        <v>9634.2972799999989</v>
      </c>
      <c r="FS179" s="390"/>
      <c r="FT179" s="390"/>
      <c r="FU179" s="390"/>
      <c r="FV179" s="57" t="e">
        <f t="shared" ref="FV179" si="1093">SUM(FV180:FV196)</f>
        <v>#DIV/0!</v>
      </c>
      <c r="FW179" s="57" t="e">
        <f t="shared" si="819"/>
        <v>#DIV/0!</v>
      </c>
      <c r="FX179" s="57">
        <f t="shared" ref="FX179" si="1094">FY179+FZ179+GA179</f>
        <v>83807.175000000003</v>
      </c>
      <c r="FY179" s="57">
        <f>BD179</f>
        <v>83807.175000000003</v>
      </c>
      <c r="FZ179" s="57">
        <f>SUM(FZ180:FZ196)</f>
        <v>0</v>
      </c>
      <c r="GA179" s="390"/>
      <c r="GB179" s="390"/>
      <c r="GC179" s="57">
        <f t="shared" si="847"/>
        <v>91375.107640000002</v>
      </c>
      <c r="GD179" s="57">
        <f t="shared" si="900"/>
        <v>82176.192930000005</v>
      </c>
      <c r="GE179" s="57">
        <f t="shared" si="901"/>
        <v>9198.9147100000009</v>
      </c>
      <c r="GF179" s="390"/>
      <c r="GG179" s="390"/>
      <c r="GH179" s="390"/>
      <c r="GI179" s="304">
        <f t="shared" ref="GI179:GI232" si="1095">GC179*GA179</f>
        <v>0</v>
      </c>
      <c r="GJ179" s="77">
        <f t="shared" si="848"/>
        <v>82176.192930000005</v>
      </c>
      <c r="GK179" s="462">
        <f t="shared" si="796"/>
        <v>0.97053926700768878</v>
      </c>
    </row>
    <row r="180" spans="2:193" s="37" customFormat="1" ht="15.6" customHeight="1" x14ac:dyDescent="0.25">
      <c r="B180" s="29">
        <v>1</v>
      </c>
      <c r="C180" s="30"/>
      <c r="D180" s="30"/>
      <c r="E180" s="493">
        <v>149</v>
      </c>
      <c r="F180" s="29"/>
      <c r="G180" s="30"/>
      <c r="H180" s="30"/>
      <c r="I180" s="729" t="s">
        <v>266</v>
      </c>
      <c r="J180" s="730"/>
      <c r="K180" s="730"/>
      <c r="L180" s="154">
        <f>L179</f>
        <v>5000</v>
      </c>
      <c r="M180" s="493">
        <v>127</v>
      </c>
      <c r="N180" s="494" t="s">
        <v>230</v>
      </c>
      <c r="O180" s="127" t="s">
        <v>335</v>
      </c>
      <c r="P180" s="127">
        <f t="shared" si="816"/>
        <v>0</v>
      </c>
      <c r="Q180" s="127" t="s">
        <v>701</v>
      </c>
      <c r="R180" s="127" t="s">
        <v>699</v>
      </c>
      <c r="S180" s="127" t="s">
        <v>650</v>
      </c>
      <c r="T180" s="156">
        <v>3</v>
      </c>
      <c r="U180" s="493">
        <v>1</v>
      </c>
      <c r="V180" s="2">
        <f t="shared" si="797"/>
        <v>82615.875</v>
      </c>
      <c r="W180" s="2"/>
      <c r="X180" s="198">
        <f t="shared" si="1031"/>
        <v>15591.7</v>
      </c>
      <c r="Y180" s="198">
        <v>4912.5</v>
      </c>
      <c r="Z180" s="42">
        <v>10679.2</v>
      </c>
      <c r="AA180" s="2">
        <v>67024.175000000003</v>
      </c>
      <c r="AB180" s="567">
        <f t="shared" ref="AB180:AB196" si="1096">AC180+AD180+AG180+AH180</f>
        <v>82615.875</v>
      </c>
      <c r="AC180" s="567"/>
      <c r="AD180" s="568">
        <f t="shared" si="1032"/>
        <v>15591.7</v>
      </c>
      <c r="AE180" s="568">
        <v>4912.5</v>
      </c>
      <c r="AF180" s="569">
        <v>10679.2</v>
      </c>
      <c r="AG180" s="567">
        <v>67024.175000000003</v>
      </c>
      <c r="AH180" s="573"/>
      <c r="AI180" s="567"/>
      <c r="AJ180" s="567"/>
      <c r="AK180" s="568"/>
      <c r="AL180" s="567"/>
      <c r="AM180" s="573"/>
      <c r="AN180" s="567"/>
      <c r="AO180" s="567"/>
      <c r="AP180" s="568"/>
      <c r="AQ180" s="567"/>
      <c r="AR180" s="573"/>
      <c r="AS180" s="567"/>
      <c r="AT180" s="567"/>
      <c r="AU180" s="568"/>
      <c r="AV180" s="567"/>
      <c r="AW180" s="603"/>
      <c r="AX180" s="410" t="s">
        <v>716</v>
      </c>
      <c r="AY180" s="567">
        <f t="shared" ref="AY180:AY196" si="1097">AZ180+BA180+BD180+BE180</f>
        <v>82615.875</v>
      </c>
      <c r="AZ180" s="567"/>
      <c r="BA180" s="568">
        <f t="shared" ref="BA180:BA196" si="1098">BB180+BC180</f>
        <v>15591.7</v>
      </c>
      <c r="BB180" s="568">
        <v>4912.5</v>
      </c>
      <c r="BC180" s="569">
        <v>10679.2</v>
      </c>
      <c r="BD180" s="567">
        <v>67024.175000000003</v>
      </c>
      <c r="BE180" s="567"/>
      <c r="BF180" s="567">
        <f t="shared" si="798"/>
        <v>0</v>
      </c>
      <c r="BG180" s="567">
        <f t="shared" si="799"/>
        <v>0</v>
      </c>
      <c r="BH180" s="567">
        <f t="shared" si="800"/>
        <v>0</v>
      </c>
      <c r="BI180" s="567">
        <f t="shared" si="801"/>
        <v>0</v>
      </c>
      <c r="BJ180" s="567">
        <f t="shared" si="802"/>
        <v>0</v>
      </c>
      <c r="BK180" s="567">
        <f t="shared" si="803"/>
        <v>0</v>
      </c>
      <c r="BL180" s="567" t="e">
        <f>#REF!-BE180</f>
        <v>#REF!</v>
      </c>
      <c r="BM180" s="567">
        <f t="shared" ref="BM180:BM196" si="1099">BN180+BO180+BP180+BQ180</f>
        <v>7286.4</v>
      </c>
      <c r="BN180" s="567"/>
      <c r="BO180" s="568">
        <v>7286.4</v>
      </c>
      <c r="BP180" s="567"/>
      <c r="BQ180" s="567"/>
      <c r="BR180" s="567">
        <f t="shared" ref="BR180:BR196" si="1100">BS180+BT180+BU180+BV180</f>
        <v>0</v>
      </c>
      <c r="BS180" s="567"/>
      <c r="BT180" s="567"/>
      <c r="BU180" s="567"/>
      <c r="BV180" s="567"/>
      <c r="BW180" s="567">
        <f t="shared" ref="BW180:BW196" si="1101">BX180+BY180+CB180+CC180</f>
        <v>79801.875449999992</v>
      </c>
      <c r="BX180" s="567"/>
      <c r="BY180" s="568">
        <f t="shared" si="804"/>
        <v>14379.36752</v>
      </c>
      <c r="BZ180" s="571">
        <v>4666.8749799999996</v>
      </c>
      <c r="CA180" s="571">
        <f>2962.14675+6750.34579</f>
        <v>9712.4925399999993</v>
      </c>
      <c r="CB180" s="567">
        <f>3132.58816+7557.55809+4784.59238+12152.11014+16850.40571+2565.06379+5129.08239+4487.57133+6036.39615+2727.13979</f>
        <v>65422.50793</v>
      </c>
      <c r="CC180" s="567"/>
      <c r="CD180" s="567">
        <f t="shared" ref="CD180:CD196" si="1102">CE180+CF180+CI180+CJ180</f>
        <v>79801.875449999992</v>
      </c>
      <c r="CE180" s="567"/>
      <c r="CF180" s="568">
        <f t="shared" si="805"/>
        <v>14379.36752</v>
      </c>
      <c r="CG180" s="571">
        <v>4666.8749799999996</v>
      </c>
      <c r="CH180" s="571">
        <f>2962.14675+6750.34579</f>
        <v>9712.4925399999993</v>
      </c>
      <c r="CI180" s="567">
        <f>3132.58816+7557.55809+4784.59238+12152.11014+16850.40571+2565.06379+5129.08239+4487.57133+6036.39615+2727.13979</f>
        <v>65422.50793</v>
      </c>
      <c r="CJ180" s="567"/>
      <c r="CK180" s="567">
        <f t="shared" ref="CK180:CK196" si="1103">CL180+CM180+CP180+CQ180</f>
        <v>8613.4400900000001</v>
      </c>
      <c r="CL180" s="567"/>
      <c r="CM180" s="567">
        <v>2143.0524500000001</v>
      </c>
      <c r="CN180" s="567"/>
      <c r="CO180" s="567"/>
      <c r="CP180" s="567">
        <v>6470.3876399999999</v>
      </c>
      <c r="CQ180" s="567"/>
      <c r="CR180" s="573">
        <f t="shared" ref="CR180:CR196" si="1104">CS180</f>
        <v>88415.315539999996</v>
      </c>
      <c r="CS180" s="567">
        <f t="shared" si="807"/>
        <v>88415.315539999996</v>
      </c>
      <c r="CT180" s="567">
        <f t="shared" si="808"/>
        <v>0</v>
      </c>
      <c r="CU180" s="567">
        <f t="shared" si="809"/>
        <v>16522.419969999999</v>
      </c>
      <c r="CV180" s="567">
        <f t="shared" si="810"/>
        <v>71892.895569999993</v>
      </c>
      <c r="CW180" s="567">
        <f t="shared" ref="CW180:CW196" si="1105">CJ180+CQ180</f>
        <v>0</v>
      </c>
      <c r="CX180" s="567">
        <f t="shared" ca="1" si="899"/>
        <v>0</v>
      </c>
      <c r="CY180" s="567">
        <f t="shared" si="811"/>
        <v>0</v>
      </c>
      <c r="CZ180" s="567">
        <f t="shared" si="812"/>
        <v>0</v>
      </c>
      <c r="DA180" s="567">
        <f t="shared" si="813"/>
        <v>0</v>
      </c>
      <c r="DB180" s="2">
        <f t="shared" ref="DB180:DB196" si="1106">CC180-CJ180</f>
        <v>0</v>
      </c>
      <c r="DC180" s="76"/>
      <c r="DD180" s="253">
        <f>BM180</f>
        <v>7286.4</v>
      </c>
      <c r="DE180" s="253">
        <f>DD180</f>
        <v>7286.4</v>
      </c>
      <c r="DF180" s="2">
        <f t="shared" ref="DF180:DF196" si="1107">DG180+DH180+DI180+DJ180</f>
        <v>0</v>
      </c>
      <c r="DG180" s="2"/>
      <c r="DH180" s="2"/>
      <c r="DI180" s="2"/>
      <c r="DJ180" s="2"/>
      <c r="DK180" s="2">
        <f t="shared" ref="DK180:DK196" si="1108">DL180+DM180+DN180+DO180</f>
        <v>0</v>
      </c>
      <c r="DL180" s="2"/>
      <c r="DM180" s="2"/>
      <c r="DN180" s="2"/>
      <c r="DO180" s="2"/>
      <c r="DP180" s="2">
        <f t="shared" ref="DP180:DP196" si="1109">DQ180+DR180+DS180+DT180</f>
        <v>0</v>
      </c>
      <c r="DQ180" s="2">
        <f t="shared" ref="DQ180:DT196" si="1110">DG180-DL180</f>
        <v>0</v>
      </c>
      <c r="DR180" s="2">
        <f t="shared" si="1110"/>
        <v>0</v>
      </c>
      <c r="DS180" s="2">
        <f t="shared" si="1110"/>
        <v>0</v>
      </c>
      <c r="DT180" s="2">
        <f t="shared" si="1110"/>
        <v>0</v>
      </c>
      <c r="DU180" s="2"/>
      <c r="DV180" s="2"/>
      <c r="DW180" s="2">
        <f>DU180-DV180</f>
        <v>0</v>
      </c>
      <c r="DX180" s="2">
        <f t="shared" ref="DX180:DX196" ca="1" si="1111">CX180+DP180+DW180</f>
        <v>0</v>
      </c>
      <c r="DY180" s="46"/>
      <c r="DZ180" s="2">
        <f t="shared" ref="DZ180:DZ196" si="1112">BW180+DF180+DU180</f>
        <v>79801.875449999992</v>
      </c>
      <c r="EA180" s="2">
        <f t="shared" ref="EA180:EA196" si="1113">CD180+DK180+DV180</f>
        <v>79801.875449999992</v>
      </c>
      <c r="EB180" s="46"/>
      <c r="EC180" s="2">
        <f>EA180</f>
        <v>79801.875449999992</v>
      </c>
      <c r="ED180" s="2">
        <f ca="1">DX180</f>
        <v>0</v>
      </c>
      <c r="EE180" s="46"/>
      <c r="EF180" s="2">
        <f>DE180-EC180</f>
        <v>-72515.475449999998</v>
      </c>
      <c r="EG180" s="46"/>
      <c r="EH180" s="46"/>
      <c r="EI180" s="2">
        <f t="shared" si="794"/>
        <v>79801.875449999992</v>
      </c>
      <c r="EJ180" s="2"/>
      <c r="EK180" s="198">
        <f t="shared" si="814"/>
        <v>14379.36752</v>
      </c>
      <c r="EL180" s="446">
        <v>4666.8749799999996</v>
      </c>
      <c r="EM180" s="446">
        <f>2962.14675+6750.34579</f>
        <v>9712.4925399999993</v>
      </c>
      <c r="EN180" s="2">
        <f>3132.58816+7557.55809+4784.59238+12152.11014+16850.40571+2565.06379+5129.08239+4487.57133+6036.39615+2727.13979</f>
        <v>65422.50793</v>
      </c>
      <c r="EO180" s="2"/>
      <c r="EP180" s="2">
        <f t="shared" si="795"/>
        <v>8613.4400900000001</v>
      </c>
      <c r="EQ180" s="2"/>
      <c r="ER180" s="2">
        <v>2143.0524500000001</v>
      </c>
      <c r="ES180" s="2">
        <v>993.16762000000006</v>
      </c>
      <c r="ET180" s="2">
        <f>350.69552+799.18931</f>
        <v>1149.88483</v>
      </c>
      <c r="EU180" s="2">
        <v>6470.3876399999999</v>
      </c>
      <c r="EV180" s="141"/>
      <c r="EW180" s="310"/>
      <c r="EX180" s="310"/>
      <c r="EY180" s="310"/>
      <c r="EZ180" s="396"/>
      <c r="FA180" s="396"/>
      <c r="FB180" s="310"/>
      <c r="FC180" s="310"/>
      <c r="FD180" s="310"/>
      <c r="FE180" s="396"/>
      <c r="FF180" s="396"/>
      <c r="FG180" s="396"/>
      <c r="FH180" s="311"/>
      <c r="FI180" s="310"/>
      <c r="FJ180" s="296" t="e">
        <f t="shared" ref="FJ180:FJ196" si="1114">FH180/FE180</f>
        <v>#DIV/0!</v>
      </c>
      <c r="FK180" s="353">
        <f t="shared" si="817"/>
        <v>15591.7</v>
      </c>
      <c r="FL180" s="353">
        <f t="shared" si="1030"/>
        <v>15591.7</v>
      </c>
      <c r="FM180" s="353"/>
      <c r="FN180" s="388">
        <f t="shared" ref="FN180:FN196" si="1115">FL180/FK180</f>
        <v>1</v>
      </c>
      <c r="FO180" s="388">
        <f t="shared" ref="FO180:FO196" si="1116">FM180/FK180</f>
        <v>0</v>
      </c>
      <c r="FP180" s="353">
        <f t="shared" si="818"/>
        <v>16522.419969999999</v>
      </c>
      <c r="FQ180" s="353">
        <f t="shared" ref="FQ180:FQ196" si="1117">EK180</f>
        <v>14379.36752</v>
      </c>
      <c r="FR180" s="353">
        <f t="shared" ref="FR180:FR196" si="1118">ER180</f>
        <v>2143.0524500000001</v>
      </c>
      <c r="FS180" s="388">
        <f t="shared" ref="FS180:FS196" si="1119">FQ180/FP180</f>
        <v>0.87029427566354256</v>
      </c>
      <c r="FT180" s="388">
        <f t="shared" ref="FT180:FT196" si="1120">FR180/FP180</f>
        <v>0.1297057243364575</v>
      </c>
      <c r="FU180" s="388"/>
      <c r="FV180" s="353">
        <f t="shared" ref="FV180:FV196" si="1121">FP180*FN180</f>
        <v>16522.419969999999</v>
      </c>
      <c r="FW180" s="353">
        <f t="shared" si="819"/>
        <v>-2143.0524499999992</v>
      </c>
      <c r="FX180" s="310">
        <f t="shared" ref="FX180:FX195" si="1122">FY180+FZ180</f>
        <v>67024.175000000003</v>
      </c>
      <c r="FY180" s="310">
        <f>BD180</f>
        <v>67024.175000000003</v>
      </c>
      <c r="FZ180" s="310"/>
      <c r="GA180" s="396">
        <f t="shared" ref="GA180:GA195" si="1123">FY180/FX180</f>
        <v>1</v>
      </c>
      <c r="GB180" s="396">
        <f t="shared" ref="GB180:GB195" si="1124">FZ180/FX180</f>
        <v>0</v>
      </c>
      <c r="GC180" s="310">
        <f t="shared" si="847"/>
        <v>71892.895569999993</v>
      </c>
      <c r="GD180" s="310">
        <f t="shared" si="900"/>
        <v>65422.50793</v>
      </c>
      <c r="GE180" s="310">
        <f t="shared" si="901"/>
        <v>6470.3876399999999</v>
      </c>
      <c r="GF180" s="396">
        <f t="shared" ref="GF180:GF195" si="1125">GD180/GC180</f>
        <v>0.90999962390303268</v>
      </c>
      <c r="GG180" s="396">
        <f t="shared" ref="GG180:GG195" si="1126">GE180/GC180</f>
        <v>9.0000376096967385E-2</v>
      </c>
      <c r="GH180" s="396"/>
      <c r="GI180" s="311">
        <f t="shared" si="1095"/>
        <v>71892.895569999993</v>
      </c>
      <c r="GJ180" s="344">
        <f t="shared" si="848"/>
        <v>-6470.3876399999936</v>
      </c>
      <c r="GK180" s="303">
        <f t="shared" si="796"/>
        <v>0.96593875511213789</v>
      </c>
    </row>
    <row r="181" spans="2:193" s="37" customFormat="1" ht="15.75" hidden="1" customHeight="1" x14ac:dyDescent="0.25">
      <c r="B181" s="29"/>
      <c r="C181" s="30"/>
      <c r="D181" s="30"/>
      <c r="E181" s="493"/>
      <c r="F181" s="29"/>
      <c r="G181" s="30"/>
      <c r="H181" s="30"/>
      <c r="I181" s="733" t="s">
        <v>270</v>
      </c>
      <c r="J181" s="734"/>
      <c r="K181" s="734"/>
      <c r="L181" s="734"/>
      <c r="M181" s="493"/>
      <c r="N181" s="18" t="s">
        <v>246</v>
      </c>
      <c r="O181" s="128"/>
      <c r="P181" s="128">
        <f t="shared" si="816"/>
        <v>0</v>
      </c>
      <c r="Q181" s="128"/>
      <c r="R181" s="128"/>
      <c r="S181" s="128"/>
      <c r="T181" s="128"/>
      <c r="U181" s="128"/>
      <c r="V181" s="2">
        <f t="shared" si="797"/>
        <v>0</v>
      </c>
      <c r="W181" s="2"/>
      <c r="X181" s="198">
        <f t="shared" si="1031"/>
        <v>0</v>
      </c>
      <c r="Y181" s="198"/>
      <c r="Z181" s="42"/>
      <c r="AA181" s="2"/>
      <c r="AB181" s="567">
        <f t="shared" si="1096"/>
        <v>0</v>
      </c>
      <c r="AC181" s="567"/>
      <c r="AD181" s="568">
        <f t="shared" si="1032"/>
        <v>0</v>
      </c>
      <c r="AE181" s="568"/>
      <c r="AF181" s="569"/>
      <c r="AG181" s="567"/>
      <c r="AH181" s="573"/>
      <c r="AI181" s="567"/>
      <c r="AJ181" s="567"/>
      <c r="AK181" s="568"/>
      <c r="AL181" s="567"/>
      <c r="AM181" s="573"/>
      <c r="AN181" s="567"/>
      <c r="AO181" s="567"/>
      <c r="AP181" s="568"/>
      <c r="AQ181" s="567"/>
      <c r="AR181" s="573"/>
      <c r="AS181" s="567"/>
      <c r="AT181" s="567"/>
      <c r="AU181" s="568"/>
      <c r="AV181" s="567"/>
      <c r="AW181" s="603"/>
      <c r="AX181" s="410"/>
      <c r="AY181" s="567">
        <f t="shared" si="1097"/>
        <v>0</v>
      </c>
      <c r="AZ181" s="567"/>
      <c r="BA181" s="567">
        <f t="shared" si="1098"/>
        <v>0</v>
      </c>
      <c r="BB181" s="567"/>
      <c r="BC181" s="567"/>
      <c r="BD181" s="567"/>
      <c r="BE181" s="567"/>
      <c r="BF181" s="567">
        <f t="shared" si="798"/>
        <v>0</v>
      </c>
      <c r="BG181" s="567">
        <f t="shared" si="799"/>
        <v>0</v>
      </c>
      <c r="BH181" s="567">
        <f t="shared" si="800"/>
        <v>0</v>
      </c>
      <c r="BI181" s="567">
        <f t="shared" si="801"/>
        <v>0</v>
      </c>
      <c r="BJ181" s="567">
        <f t="shared" si="802"/>
        <v>0</v>
      </c>
      <c r="BK181" s="567">
        <f t="shared" si="803"/>
        <v>0</v>
      </c>
      <c r="BL181" s="567" t="e">
        <f>#REF!-BE181</f>
        <v>#REF!</v>
      </c>
      <c r="BM181" s="567">
        <f t="shared" si="1099"/>
        <v>0</v>
      </c>
      <c r="BN181" s="567"/>
      <c r="BO181" s="567"/>
      <c r="BP181" s="567"/>
      <c r="BQ181" s="567"/>
      <c r="BR181" s="567">
        <f t="shared" si="1100"/>
        <v>0</v>
      </c>
      <c r="BS181" s="567"/>
      <c r="BT181" s="567"/>
      <c r="BU181" s="567"/>
      <c r="BV181" s="567"/>
      <c r="BW181" s="567">
        <f t="shared" si="1101"/>
        <v>0</v>
      </c>
      <c r="BX181" s="567"/>
      <c r="BY181" s="567">
        <f t="shared" si="804"/>
        <v>0</v>
      </c>
      <c r="BZ181" s="574"/>
      <c r="CA181" s="574"/>
      <c r="CB181" s="567"/>
      <c r="CC181" s="567"/>
      <c r="CD181" s="567">
        <f t="shared" si="1102"/>
        <v>0</v>
      </c>
      <c r="CE181" s="567"/>
      <c r="CF181" s="567">
        <f t="shared" si="805"/>
        <v>0</v>
      </c>
      <c r="CG181" s="574"/>
      <c r="CH181" s="574"/>
      <c r="CI181" s="567"/>
      <c r="CJ181" s="567"/>
      <c r="CK181" s="567">
        <f t="shared" si="1103"/>
        <v>0</v>
      </c>
      <c r="CL181" s="567"/>
      <c r="CM181" s="567">
        <f t="shared" si="806"/>
        <v>0</v>
      </c>
      <c r="CN181" s="567"/>
      <c r="CO181" s="567"/>
      <c r="CP181" s="567"/>
      <c r="CQ181" s="567"/>
      <c r="CR181" s="573">
        <f t="shared" si="1104"/>
        <v>0</v>
      </c>
      <c r="CS181" s="567">
        <f t="shared" si="807"/>
        <v>0</v>
      </c>
      <c r="CT181" s="567">
        <f t="shared" si="808"/>
        <v>0</v>
      </c>
      <c r="CU181" s="567">
        <f t="shared" si="809"/>
        <v>0</v>
      </c>
      <c r="CV181" s="567">
        <f t="shared" si="810"/>
        <v>0</v>
      </c>
      <c r="CW181" s="567">
        <f t="shared" si="1105"/>
        <v>0</v>
      </c>
      <c r="CX181" s="567">
        <f t="shared" ca="1" si="899"/>
        <v>0</v>
      </c>
      <c r="CY181" s="567">
        <f t="shared" si="811"/>
        <v>0</v>
      </c>
      <c r="CZ181" s="567">
        <f t="shared" si="812"/>
        <v>0</v>
      </c>
      <c r="DA181" s="567">
        <f t="shared" si="813"/>
        <v>0</v>
      </c>
      <c r="DB181" s="2">
        <f t="shared" si="1106"/>
        <v>0</v>
      </c>
      <c r="DC181" s="76"/>
      <c r="DD181" s="253"/>
      <c r="DE181" s="253"/>
      <c r="DF181" s="2">
        <f t="shared" si="1107"/>
        <v>0</v>
      </c>
      <c r="DG181" s="2"/>
      <c r="DH181" s="2"/>
      <c r="DI181" s="2"/>
      <c r="DJ181" s="2"/>
      <c r="DK181" s="2">
        <f t="shared" si="1108"/>
        <v>0</v>
      </c>
      <c r="DL181" s="2"/>
      <c r="DM181" s="2"/>
      <c r="DN181" s="2"/>
      <c r="DO181" s="2"/>
      <c r="DP181" s="2">
        <f t="shared" si="1109"/>
        <v>0</v>
      </c>
      <c r="DQ181" s="2">
        <f t="shared" si="1110"/>
        <v>0</v>
      </c>
      <c r="DR181" s="2">
        <f t="shared" si="1110"/>
        <v>0</v>
      </c>
      <c r="DS181" s="2">
        <f t="shared" si="1110"/>
        <v>0</v>
      </c>
      <c r="DT181" s="2">
        <f t="shared" si="1110"/>
        <v>0</v>
      </c>
      <c r="DU181" s="2"/>
      <c r="DV181" s="2"/>
      <c r="DW181" s="2"/>
      <c r="DX181" s="2">
        <f t="shared" ca="1" si="1111"/>
        <v>0</v>
      </c>
      <c r="DY181" s="46"/>
      <c r="DZ181" s="2">
        <f t="shared" si="1112"/>
        <v>0</v>
      </c>
      <c r="EA181" s="2">
        <f t="shared" si="1113"/>
        <v>0</v>
      </c>
      <c r="EB181" s="46"/>
      <c r="EC181" s="2">
        <f>EA181</f>
        <v>0</v>
      </c>
      <c r="ED181" s="2">
        <f ca="1">DX181</f>
        <v>0</v>
      </c>
      <c r="EE181" s="46"/>
      <c r="EF181" s="2"/>
      <c r="EG181" s="46"/>
      <c r="EH181" s="46"/>
      <c r="EI181" s="2">
        <f t="shared" si="794"/>
        <v>0</v>
      </c>
      <c r="EJ181" s="2"/>
      <c r="EK181" s="2">
        <f t="shared" si="814"/>
        <v>0</v>
      </c>
      <c r="EL181" s="432"/>
      <c r="EM181" s="432"/>
      <c r="EN181" s="2"/>
      <c r="EO181" s="2"/>
      <c r="EP181" s="2">
        <f t="shared" si="795"/>
        <v>0</v>
      </c>
      <c r="EQ181" s="2"/>
      <c r="ER181" s="2">
        <f t="shared" si="815"/>
        <v>0</v>
      </c>
      <c r="ES181" s="2"/>
      <c r="ET181" s="2"/>
      <c r="EU181" s="2"/>
      <c r="EV181" s="141"/>
      <c r="EW181" s="310"/>
      <c r="EX181" s="310"/>
      <c r="EY181" s="310"/>
      <c r="EZ181" s="396"/>
      <c r="FA181" s="396"/>
      <c r="FB181" s="310"/>
      <c r="FC181" s="310"/>
      <c r="FD181" s="310"/>
      <c r="FE181" s="396"/>
      <c r="FF181" s="396"/>
      <c r="FG181" s="396"/>
      <c r="FH181" s="311"/>
      <c r="FI181" s="310"/>
      <c r="FJ181" s="296" t="e">
        <f t="shared" si="1114"/>
        <v>#DIV/0!</v>
      </c>
      <c r="FK181" s="353"/>
      <c r="FL181" s="353"/>
      <c r="FM181" s="353"/>
      <c r="FN181" s="388"/>
      <c r="FO181" s="388"/>
      <c r="FP181" s="353"/>
      <c r="FQ181" s="353"/>
      <c r="FR181" s="353"/>
      <c r="FS181" s="388"/>
      <c r="FT181" s="388"/>
      <c r="FU181" s="388"/>
      <c r="FV181" s="353"/>
      <c r="FW181" s="353">
        <f t="shared" si="819"/>
        <v>0</v>
      </c>
      <c r="FX181" s="310"/>
      <c r="FY181" s="310"/>
      <c r="FZ181" s="310"/>
      <c r="GA181" s="396"/>
      <c r="GB181" s="396"/>
      <c r="GC181" s="310"/>
      <c r="GD181" s="310"/>
      <c r="GE181" s="310"/>
      <c r="GF181" s="396"/>
      <c r="GG181" s="396"/>
      <c r="GH181" s="396"/>
      <c r="GI181" s="311"/>
      <c r="GJ181" s="344"/>
      <c r="GK181" s="303" t="e">
        <f t="shared" si="796"/>
        <v>#DIV/0!</v>
      </c>
    </row>
    <row r="182" spans="2:193" s="37" customFormat="1" ht="15.75" customHeight="1" x14ac:dyDescent="0.25">
      <c r="B182" s="29"/>
      <c r="C182" s="30"/>
      <c r="D182" s="30">
        <v>1</v>
      </c>
      <c r="E182" s="493">
        <v>150</v>
      </c>
      <c r="F182" s="29"/>
      <c r="G182" s="30"/>
      <c r="H182" s="30">
        <v>1</v>
      </c>
      <c r="I182" s="493">
        <v>11</v>
      </c>
      <c r="J182" s="494" t="s">
        <v>263</v>
      </c>
      <c r="K182" s="56" t="s">
        <v>271</v>
      </c>
      <c r="L182" s="53">
        <v>15000</v>
      </c>
      <c r="M182" s="493">
        <v>128</v>
      </c>
      <c r="N182" s="494" t="s">
        <v>128</v>
      </c>
      <c r="O182" s="494" t="s">
        <v>339</v>
      </c>
      <c r="P182" s="494">
        <f t="shared" si="816"/>
        <v>0</v>
      </c>
      <c r="Q182" s="494"/>
      <c r="R182" s="494"/>
      <c r="S182" s="494" t="s">
        <v>581</v>
      </c>
      <c r="T182" s="156">
        <v>2</v>
      </c>
      <c r="U182" s="493"/>
      <c r="V182" s="2">
        <f t="shared" si="797"/>
        <v>1600.2</v>
      </c>
      <c r="W182" s="2"/>
      <c r="X182" s="198">
        <f t="shared" si="1031"/>
        <v>1600.2</v>
      </c>
      <c r="Y182" s="198">
        <v>504.2</v>
      </c>
      <c r="Z182" s="42">
        <v>1096</v>
      </c>
      <c r="AA182" s="2"/>
      <c r="AB182" s="567">
        <f t="shared" si="1096"/>
        <v>1600.2</v>
      </c>
      <c r="AC182" s="567"/>
      <c r="AD182" s="568">
        <f t="shared" si="1032"/>
        <v>1600.2</v>
      </c>
      <c r="AE182" s="568">
        <v>504.2</v>
      </c>
      <c r="AF182" s="569">
        <v>1096</v>
      </c>
      <c r="AG182" s="567"/>
      <c r="AH182" s="570"/>
      <c r="AI182" s="567"/>
      <c r="AJ182" s="567"/>
      <c r="AK182" s="568"/>
      <c r="AL182" s="567"/>
      <c r="AM182" s="570"/>
      <c r="AN182" s="567"/>
      <c r="AO182" s="567"/>
      <c r="AP182" s="568"/>
      <c r="AQ182" s="567"/>
      <c r="AR182" s="570"/>
      <c r="AS182" s="567"/>
      <c r="AT182" s="567"/>
      <c r="AU182" s="568"/>
      <c r="AV182" s="567"/>
      <c r="AW182" s="604"/>
      <c r="AX182" s="410" t="s">
        <v>439</v>
      </c>
      <c r="AY182" s="567">
        <f t="shared" si="1097"/>
        <v>1600.2</v>
      </c>
      <c r="AZ182" s="567"/>
      <c r="BA182" s="568">
        <f t="shared" si="1098"/>
        <v>1600.2</v>
      </c>
      <c r="BB182" s="568">
        <v>504.2</v>
      </c>
      <c r="BC182" s="569">
        <v>1096</v>
      </c>
      <c r="BD182" s="567"/>
      <c r="BE182" s="570"/>
      <c r="BF182" s="567">
        <f t="shared" si="798"/>
        <v>0</v>
      </c>
      <c r="BG182" s="567">
        <f t="shared" si="799"/>
        <v>0</v>
      </c>
      <c r="BH182" s="567">
        <f t="shared" si="800"/>
        <v>0</v>
      </c>
      <c r="BI182" s="567">
        <f t="shared" si="801"/>
        <v>0</v>
      </c>
      <c r="BJ182" s="567">
        <f t="shared" si="802"/>
        <v>0</v>
      </c>
      <c r="BK182" s="567">
        <f t="shared" si="803"/>
        <v>0</v>
      </c>
      <c r="BL182" s="567" t="e">
        <f>#REF!-BE182</f>
        <v>#REF!</v>
      </c>
      <c r="BM182" s="567">
        <f t="shared" si="1099"/>
        <v>517.5</v>
      </c>
      <c r="BN182" s="567"/>
      <c r="BO182" s="568">
        <v>517.5</v>
      </c>
      <c r="BP182" s="567"/>
      <c r="BQ182" s="570"/>
      <c r="BR182" s="567">
        <f t="shared" si="1100"/>
        <v>0</v>
      </c>
      <c r="BS182" s="567"/>
      <c r="BT182" s="568"/>
      <c r="BU182" s="567"/>
      <c r="BV182" s="570"/>
      <c r="BW182" s="567">
        <f t="shared" si="1101"/>
        <v>1405.2170000000001</v>
      </c>
      <c r="BX182" s="567"/>
      <c r="BY182" s="568">
        <f t="shared" si="804"/>
        <v>1405.2170000000001</v>
      </c>
      <c r="BZ182" s="571">
        <v>446.21699999999998</v>
      </c>
      <c r="CA182" s="571">
        <v>959</v>
      </c>
      <c r="CB182" s="567"/>
      <c r="CC182" s="577"/>
      <c r="CD182" s="567">
        <f t="shared" si="1102"/>
        <v>1405.2170000000001</v>
      </c>
      <c r="CE182" s="567"/>
      <c r="CF182" s="568">
        <f t="shared" si="805"/>
        <v>1405.2170000000001</v>
      </c>
      <c r="CG182" s="571">
        <v>446.21699999999998</v>
      </c>
      <c r="CH182" s="571">
        <v>959</v>
      </c>
      <c r="CI182" s="567"/>
      <c r="CJ182" s="570"/>
      <c r="CK182" s="567">
        <f t="shared" si="1103"/>
        <v>177.17671000000001</v>
      </c>
      <c r="CL182" s="567"/>
      <c r="CM182" s="567">
        <f t="shared" si="806"/>
        <v>177.17671000000001</v>
      </c>
      <c r="CN182" s="567">
        <v>51.547710000000002</v>
      </c>
      <c r="CO182" s="567">
        <v>125.629</v>
      </c>
      <c r="CP182" s="567"/>
      <c r="CQ182" s="567"/>
      <c r="CR182" s="573">
        <f t="shared" si="1104"/>
        <v>1582.3937100000001</v>
      </c>
      <c r="CS182" s="567">
        <f t="shared" si="807"/>
        <v>1582.3937100000001</v>
      </c>
      <c r="CT182" s="567">
        <f t="shared" si="808"/>
        <v>0</v>
      </c>
      <c r="CU182" s="567">
        <f t="shared" si="809"/>
        <v>1582.3937100000001</v>
      </c>
      <c r="CV182" s="567">
        <f t="shared" si="810"/>
        <v>0</v>
      </c>
      <c r="CW182" s="567">
        <f t="shared" si="1105"/>
        <v>0</v>
      </c>
      <c r="CX182" s="567">
        <f t="shared" ca="1" si="899"/>
        <v>0</v>
      </c>
      <c r="CY182" s="567">
        <f t="shared" si="811"/>
        <v>0</v>
      </c>
      <c r="CZ182" s="567">
        <f t="shared" si="812"/>
        <v>0</v>
      </c>
      <c r="DA182" s="567">
        <f t="shared" si="813"/>
        <v>0</v>
      </c>
      <c r="DB182" s="2">
        <f t="shared" si="1106"/>
        <v>0</v>
      </c>
      <c r="DC182" s="76"/>
      <c r="DD182" s="253"/>
      <c r="DE182" s="253"/>
      <c r="DF182" s="2">
        <f t="shared" si="1107"/>
        <v>0</v>
      </c>
      <c r="DG182" s="2"/>
      <c r="DH182" s="198"/>
      <c r="DI182" s="2"/>
      <c r="DJ182" s="234"/>
      <c r="DK182" s="2">
        <f t="shared" si="1108"/>
        <v>0</v>
      </c>
      <c r="DL182" s="2"/>
      <c r="DM182" s="198"/>
      <c r="DN182" s="2"/>
      <c r="DO182" s="234"/>
      <c r="DP182" s="2">
        <f t="shared" si="1109"/>
        <v>0</v>
      </c>
      <c r="DQ182" s="2">
        <f t="shared" si="1110"/>
        <v>0</v>
      </c>
      <c r="DR182" s="2">
        <f t="shared" si="1110"/>
        <v>0</v>
      </c>
      <c r="DS182" s="2">
        <f t="shared" si="1110"/>
        <v>0</v>
      </c>
      <c r="DT182" s="2">
        <f t="shared" si="1110"/>
        <v>0</v>
      </c>
      <c r="DU182" s="2"/>
      <c r="DV182" s="2"/>
      <c r="DW182" s="2"/>
      <c r="DX182" s="2">
        <f t="shared" ca="1" si="1111"/>
        <v>0</v>
      </c>
      <c r="DY182" s="46"/>
      <c r="DZ182" s="2">
        <f t="shared" si="1112"/>
        <v>1405.2170000000001</v>
      </c>
      <c r="EA182" s="2">
        <f t="shared" si="1113"/>
        <v>1405.2170000000001</v>
      </c>
      <c r="EB182" s="46"/>
      <c r="EC182" s="2"/>
      <c r="ED182" s="2"/>
      <c r="EE182" s="46"/>
      <c r="EF182" s="2"/>
      <c r="EG182" s="46"/>
      <c r="EH182" s="46"/>
      <c r="EI182" s="2">
        <f t="shared" si="794"/>
        <v>1405.2170000000001</v>
      </c>
      <c r="EJ182" s="2"/>
      <c r="EK182" s="198">
        <f t="shared" si="814"/>
        <v>1405.2170000000001</v>
      </c>
      <c r="EL182" s="446">
        <v>446.21699999999998</v>
      </c>
      <c r="EM182" s="446">
        <v>959</v>
      </c>
      <c r="EN182" s="2"/>
      <c r="EO182" s="234"/>
      <c r="EP182" s="2">
        <f t="shared" si="795"/>
        <v>177.17671000000001</v>
      </c>
      <c r="EQ182" s="2"/>
      <c r="ER182" s="2">
        <f t="shared" si="815"/>
        <v>177.17671000000001</v>
      </c>
      <c r="ES182" s="2">
        <v>51.547710000000002</v>
      </c>
      <c r="ET182" s="2">
        <v>125.629</v>
      </c>
      <c r="EU182" s="2"/>
      <c r="EV182" s="141"/>
      <c r="EW182" s="310"/>
      <c r="EX182" s="310"/>
      <c r="EY182" s="310"/>
      <c r="EZ182" s="396"/>
      <c r="FA182" s="396"/>
      <c r="FB182" s="310"/>
      <c r="FC182" s="310"/>
      <c r="FD182" s="310"/>
      <c r="FE182" s="396"/>
      <c r="FF182" s="396"/>
      <c r="FG182" s="396"/>
      <c r="FH182" s="311"/>
      <c r="FI182" s="310"/>
      <c r="FJ182" s="296" t="e">
        <f t="shared" si="1114"/>
        <v>#DIV/0!</v>
      </c>
      <c r="FK182" s="353">
        <f t="shared" si="817"/>
        <v>1600.2</v>
      </c>
      <c r="FL182" s="353">
        <f>BA182</f>
        <v>1600.2</v>
      </c>
      <c r="FM182" s="353"/>
      <c r="FN182" s="388">
        <f t="shared" si="1115"/>
        <v>1</v>
      </c>
      <c r="FO182" s="388">
        <f t="shared" si="1116"/>
        <v>0</v>
      </c>
      <c r="FP182" s="353">
        <f t="shared" si="818"/>
        <v>1582.3937100000001</v>
      </c>
      <c r="FQ182" s="353">
        <f t="shared" si="1117"/>
        <v>1405.2170000000001</v>
      </c>
      <c r="FR182" s="353">
        <f t="shared" si="1118"/>
        <v>177.17671000000001</v>
      </c>
      <c r="FS182" s="388">
        <f t="shared" si="1119"/>
        <v>0.88803247328378221</v>
      </c>
      <c r="FT182" s="388">
        <f t="shared" si="1120"/>
        <v>0.11196752671621781</v>
      </c>
      <c r="FU182" s="388"/>
      <c r="FV182" s="353">
        <f t="shared" si="1121"/>
        <v>1582.3937100000001</v>
      </c>
      <c r="FW182" s="353">
        <f t="shared" si="819"/>
        <v>-177.17670999999996</v>
      </c>
      <c r="FX182" s="310"/>
      <c r="FY182" s="310"/>
      <c r="FZ182" s="310"/>
      <c r="GA182" s="396"/>
      <c r="GB182" s="396"/>
      <c r="GC182" s="310"/>
      <c r="GD182" s="310"/>
      <c r="GE182" s="310"/>
      <c r="GF182" s="396"/>
      <c r="GG182" s="396"/>
      <c r="GH182" s="396"/>
      <c r="GI182" s="311"/>
      <c r="GJ182" s="344"/>
      <c r="GK182" s="303">
        <f t="shared" si="796"/>
        <v>0.87815085614298216</v>
      </c>
    </row>
    <row r="183" spans="2:193" s="37" customFormat="1" ht="15.6" customHeight="1" x14ac:dyDescent="0.25">
      <c r="B183" s="29"/>
      <c r="C183" s="30"/>
      <c r="D183" s="30">
        <v>1</v>
      </c>
      <c r="E183" s="493">
        <v>151</v>
      </c>
      <c r="F183" s="29"/>
      <c r="G183" s="30"/>
      <c r="H183" s="30"/>
      <c r="I183" s="729" t="s">
        <v>266</v>
      </c>
      <c r="J183" s="730"/>
      <c r="K183" s="730"/>
      <c r="L183" s="154">
        <f>L182</f>
        <v>15000</v>
      </c>
      <c r="M183" s="493">
        <v>129</v>
      </c>
      <c r="N183" s="494" t="s">
        <v>129</v>
      </c>
      <c r="O183" s="494"/>
      <c r="P183" s="494">
        <f t="shared" si="816"/>
        <v>0</v>
      </c>
      <c r="Q183" s="494"/>
      <c r="R183" s="494"/>
      <c r="S183" s="494" t="s">
        <v>622</v>
      </c>
      <c r="T183" s="156">
        <v>2</v>
      </c>
      <c r="U183" s="493">
        <v>2</v>
      </c>
      <c r="V183" s="2">
        <f t="shared" si="797"/>
        <v>1152.0999999999999</v>
      </c>
      <c r="W183" s="2"/>
      <c r="X183" s="198">
        <f t="shared" si="1031"/>
        <v>1152.0999999999999</v>
      </c>
      <c r="Y183" s="198">
        <v>363</v>
      </c>
      <c r="Z183" s="42">
        <v>789.1</v>
      </c>
      <c r="AA183" s="2"/>
      <c r="AB183" s="567">
        <f t="shared" si="1096"/>
        <v>1152.0999999999999</v>
      </c>
      <c r="AC183" s="567"/>
      <c r="AD183" s="568">
        <f t="shared" si="1032"/>
        <v>1152.0999999999999</v>
      </c>
      <c r="AE183" s="568">
        <v>363</v>
      </c>
      <c r="AF183" s="569">
        <v>789.1</v>
      </c>
      <c r="AG183" s="567"/>
      <c r="AH183" s="580"/>
      <c r="AI183" s="567"/>
      <c r="AJ183" s="567"/>
      <c r="AK183" s="568"/>
      <c r="AL183" s="567"/>
      <c r="AM183" s="580"/>
      <c r="AN183" s="567"/>
      <c r="AO183" s="567"/>
      <c r="AP183" s="568"/>
      <c r="AQ183" s="567"/>
      <c r="AR183" s="580"/>
      <c r="AS183" s="567"/>
      <c r="AT183" s="567"/>
      <c r="AU183" s="568"/>
      <c r="AV183" s="567"/>
      <c r="AW183" s="581"/>
      <c r="AX183" s="410" t="s">
        <v>672</v>
      </c>
      <c r="AY183" s="567">
        <f t="shared" si="1097"/>
        <v>1152.0999999999999</v>
      </c>
      <c r="AZ183" s="567"/>
      <c r="BA183" s="568">
        <f t="shared" si="1098"/>
        <v>1152.0999999999999</v>
      </c>
      <c r="BB183" s="568">
        <v>363</v>
      </c>
      <c r="BC183" s="569">
        <v>789.1</v>
      </c>
      <c r="BD183" s="567"/>
      <c r="BE183" s="567"/>
      <c r="BF183" s="567">
        <f t="shared" si="798"/>
        <v>0</v>
      </c>
      <c r="BG183" s="567">
        <f t="shared" si="799"/>
        <v>0</v>
      </c>
      <c r="BH183" s="567">
        <f t="shared" si="800"/>
        <v>0</v>
      </c>
      <c r="BI183" s="567">
        <f t="shared" si="801"/>
        <v>0</v>
      </c>
      <c r="BJ183" s="567">
        <f t="shared" si="802"/>
        <v>0</v>
      </c>
      <c r="BK183" s="567">
        <f t="shared" si="803"/>
        <v>0</v>
      </c>
      <c r="BL183" s="567" t="e">
        <f>#REF!-BE183</f>
        <v>#REF!</v>
      </c>
      <c r="BM183" s="567">
        <f t="shared" si="1099"/>
        <v>372.6</v>
      </c>
      <c r="BN183" s="567"/>
      <c r="BO183" s="568">
        <v>372.6</v>
      </c>
      <c r="BP183" s="567"/>
      <c r="BQ183" s="567"/>
      <c r="BR183" s="567">
        <f t="shared" si="1100"/>
        <v>0</v>
      </c>
      <c r="BS183" s="567"/>
      <c r="BT183" s="567"/>
      <c r="BU183" s="567"/>
      <c r="BV183" s="567"/>
      <c r="BW183" s="567">
        <f t="shared" si="1101"/>
        <v>1152.0999999999999</v>
      </c>
      <c r="BX183" s="567"/>
      <c r="BY183" s="568">
        <f t="shared" si="804"/>
        <v>1152.0999999999999</v>
      </c>
      <c r="BZ183" s="571">
        <f>326.50667+36.49333</f>
        <v>363</v>
      </c>
      <c r="CA183" s="571">
        <f>587.24919+201.85081</f>
        <v>789.1</v>
      </c>
      <c r="CB183" s="567"/>
      <c r="CC183" s="567"/>
      <c r="CD183" s="567">
        <f t="shared" si="1102"/>
        <v>1152.0999999999999</v>
      </c>
      <c r="CE183" s="567"/>
      <c r="CF183" s="568">
        <f t="shared" si="805"/>
        <v>1152.0999999999999</v>
      </c>
      <c r="CG183" s="571">
        <f>326.50667+36.49333</f>
        <v>363</v>
      </c>
      <c r="CH183" s="571">
        <f>587.24919+201.85081</f>
        <v>789.1</v>
      </c>
      <c r="CI183" s="567"/>
      <c r="CJ183" s="567"/>
      <c r="CK183" s="567">
        <f t="shared" si="1103"/>
        <v>203.3116</v>
      </c>
      <c r="CL183" s="567"/>
      <c r="CM183" s="567">
        <f t="shared" si="806"/>
        <v>203.3116</v>
      </c>
      <c r="CN183" s="567">
        <f>57.61952+6.44008</f>
        <v>64.059600000000003</v>
      </c>
      <c r="CO183" s="567">
        <f>103.63151+35.62049</f>
        <v>139.25200000000001</v>
      </c>
      <c r="CP183" s="567"/>
      <c r="CQ183" s="567"/>
      <c r="CR183" s="573">
        <f t="shared" si="1104"/>
        <v>1355.4115999999999</v>
      </c>
      <c r="CS183" s="567">
        <f t="shared" si="807"/>
        <v>1355.4115999999999</v>
      </c>
      <c r="CT183" s="567">
        <f t="shared" si="808"/>
        <v>0</v>
      </c>
      <c r="CU183" s="567">
        <f t="shared" si="809"/>
        <v>1355.4115999999999</v>
      </c>
      <c r="CV183" s="567">
        <f t="shared" si="810"/>
        <v>0</v>
      </c>
      <c r="CW183" s="567">
        <f t="shared" si="1105"/>
        <v>0</v>
      </c>
      <c r="CX183" s="567">
        <f t="shared" ca="1" si="899"/>
        <v>0</v>
      </c>
      <c r="CY183" s="567">
        <f t="shared" si="811"/>
        <v>0</v>
      </c>
      <c r="CZ183" s="567">
        <f t="shared" si="812"/>
        <v>0</v>
      </c>
      <c r="DA183" s="567">
        <f t="shared" si="813"/>
        <v>0</v>
      </c>
      <c r="DB183" s="2">
        <f t="shared" si="1106"/>
        <v>0</v>
      </c>
      <c r="DC183" s="76"/>
      <c r="DD183" s="253"/>
      <c r="DE183" s="253"/>
      <c r="DF183" s="2">
        <f t="shared" si="1107"/>
        <v>0</v>
      </c>
      <c r="DG183" s="2"/>
      <c r="DH183" s="2"/>
      <c r="DI183" s="2"/>
      <c r="DJ183" s="2"/>
      <c r="DK183" s="2">
        <f t="shared" si="1108"/>
        <v>0</v>
      </c>
      <c r="DL183" s="2"/>
      <c r="DM183" s="2"/>
      <c r="DN183" s="2"/>
      <c r="DO183" s="2"/>
      <c r="DP183" s="2">
        <f t="shared" si="1109"/>
        <v>0</v>
      </c>
      <c r="DQ183" s="2">
        <f t="shared" si="1110"/>
        <v>0</v>
      </c>
      <c r="DR183" s="2">
        <f t="shared" si="1110"/>
        <v>0</v>
      </c>
      <c r="DS183" s="2">
        <f t="shared" si="1110"/>
        <v>0</v>
      </c>
      <c r="DT183" s="2">
        <f t="shared" si="1110"/>
        <v>0</v>
      </c>
      <c r="DU183" s="2"/>
      <c r="DV183" s="2"/>
      <c r="DW183" s="2"/>
      <c r="DX183" s="2">
        <f t="shared" ca="1" si="1111"/>
        <v>0</v>
      </c>
      <c r="DY183" s="46"/>
      <c r="DZ183" s="2">
        <f t="shared" si="1112"/>
        <v>1152.0999999999999</v>
      </c>
      <c r="EA183" s="2">
        <f t="shared" si="1113"/>
        <v>1152.0999999999999</v>
      </c>
      <c r="EB183" s="46"/>
      <c r="EC183" s="2"/>
      <c r="ED183" s="2"/>
      <c r="EE183" s="46"/>
      <c r="EF183" s="2"/>
      <c r="EG183" s="46"/>
      <c r="EH183" s="46"/>
      <c r="EI183" s="2">
        <f t="shared" si="794"/>
        <v>1152.0999999999999</v>
      </c>
      <c r="EJ183" s="2"/>
      <c r="EK183" s="198">
        <f t="shared" si="814"/>
        <v>1152.0999999999999</v>
      </c>
      <c r="EL183" s="446">
        <f>326.50667+36.49333</f>
        <v>363</v>
      </c>
      <c r="EM183" s="446">
        <f>587.24919+201.85081</f>
        <v>789.1</v>
      </c>
      <c r="EN183" s="2"/>
      <c r="EO183" s="2"/>
      <c r="EP183" s="2">
        <f t="shared" si="795"/>
        <v>203.3116</v>
      </c>
      <c r="EQ183" s="2"/>
      <c r="ER183" s="2">
        <f t="shared" si="815"/>
        <v>203.3116</v>
      </c>
      <c r="ES183" s="2">
        <f>57.61952+6.44008</f>
        <v>64.059600000000003</v>
      </c>
      <c r="ET183" s="2">
        <f>103.63151+35.62049</f>
        <v>139.25200000000001</v>
      </c>
      <c r="EU183" s="2"/>
      <c r="EV183" s="141"/>
      <c r="EW183" s="310"/>
      <c r="EX183" s="310"/>
      <c r="EY183" s="310"/>
      <c r="EZ183" s="396"/>
      <c r="FA183" s="396"/>
      <c r="FB183" s="310"/>
      <c r="FC183" s="310"/>
      <c r="FD183" s="310"/>
      <c r="FE183" s="396"/>
      <c r="FF183" s="396"/>
      <c r="FG183" s="396"/>
      <c r="FH183" s="311"/>
      <c r="FI183" s="310"/>
      <c r="FJ183" s="296" t="e">
        <f t="shared" si="1114"/>
        <v>#DIV/0!</v>
      </c>
      <c r="FK183" s="353"/>
      <c r="FL183" s="353"/>
      <c r="FM183" s="353"/>
      <c r="FN183" s="388"/>
      <c r="FO183" s="388"/>
      <c r="FP183" s="353"/>
      <c r="FQ183" s="353"/>
      <c r="FR183" s="353"/>
      <c r="FS183" s="388"/>
      <c r="FT183" s="388"/>
      <c r="FU183" s="388"/>
      <c r="FV183" s="353"/>
      <c r="FW183" s="353">
        <f t="shared" si="819"/>
        <v>0</v>
      </c>
      <c r="FX183" s="310"/>
      <c r="FY183" s="310"/>
      <c r="FZ183" s="310"/>
      <c r="GA183" s="396"/>
      <c r="GB183" s="396"/>
      <c r="GC183" s="310"/>
      <c r="GD183" s="310"/>
      <c r="GE183" s="310"/>
      <c r="GF183" s="396"/>
      <c r="GG183" s="396"/>
      <c r="GH183" s="396"/>
      <c r="GI183" s="311"/>
      <c r="GJ183" s="344"/>
      <c r="GK183" s="303">
        <f t="shared" si="796"/>
        <v>1</v>
      </c>
    </row>
    <row r="184" spans="2:193" s="37" customFormat="1" ht="15.6" customHeight="1" x14ac:dyDescent="0.25">
      <c r="B184" s="29"/>
      <c r="C184" s="30"/>
      <c r="D184" s="30">
        <v>1</v>
      </c>
      <c r="E184" s="493">
        <v>152</v>
      </c>
      <c r="F184" s="29"/>
      <c r="G184" s="30"/>
      <c r="H184" s="30">
        <v>1</v>
      </c>
      <c r="I184" s="733" t="s">
        <v>4</v>
      </c>
      <c r="J184" s="734"/>
      <c r="K184" s="734"/>
      <c r="L184" s="734"/>
      <c r="M184" s="493">
        <v>130</v>
      </c>
      <c r="N184" s="494" t="s">
        <v>130</v>
      </c>
      <c r="O184" s="494"/>
      <c r="P184" s="494">
        <f t="shared" si="816"/>
        <v>0</v>
      </c>
      <c r="Q184" s="494" t="s">
        <v>705</v>
      </c>
      <c r="R184" s="469" t="s">
        <v>699</v>
      </c>
      <c r="S184" s="494" t="s">
        <v>636</v>
      </c>
      <c r="T184" s="156">
        <v>3</v>
      </c>
      <c r="U184" s="493"/>
      <c r="V184" s="2">
        <f t="shared" si="797"/>
        <v>7463.5069999999996</v>
      </c>
      <c r="W184" s="2"/>
      <c r="X184" s="198">
        <f t="shared" si="1031"/>
        <v>1600.2</v>
      </c>
      <c r="Y184" s="198">
        <v>504.2</v>
      </c>
      <c r="Z184" s="42">
        <v>1096</v>
      </c>
      <c r="AA184" s="2">
        <v>5863.3069999999998</v>
      </c>
      <c r="AB184" s="567">
        <f t="shared" si="1096"/>
        <v>7463.5069999999996</v>
      </c>
      <c r="AC184" s="567"/>
      <c r="AD184" s="568">
        <f t="shared" si="1032"/>
        <v>1600.2</v>
      </c>
      <c r="AE184" s="568">
        <v>504.2</v>
      </c>
      <c r="AF184" s="569">
        <v>1096</v>
      </c>
      <c r="AG184" s="567">
        <v>5863.3069999999998</v>
      </c>
      <c r="AH184" s="570"/>
      <c r="AI184" s="567"/>
      <c r="AJ184" s="567"/>
      <c r="AK184" s="568"/>
      <c r="AL184" s="567"/>
      <c r="AM184" s="570"/>
      <c r="AN184" s="567"/>
      <c r="AO184" s="567"/>
      <c r="AP184" s="568"/>
      <c r="AQ184" s="567"/>
      <c r="AR184" s="570"/>
      <c r="AS184" s="567"/>
      <c r="AT184" s="567"/>
      <c r="AU184" s="568"/>
      <c r="AV184" s="567"/>
      <c r="AW184" s="604"/>
      <c r="AX184" s="410" t="s">
        <v>484</v>
      </c>
      <c r="AY184" s="567">
        <f t="shared" si="1097"/>
        <v>7463.2</v>
      </c>
      <c r="AZ184" s="567"/>
      <c r="BA184" s="568">
        <f t="shared" si="1098"/>
        <v>1600.2</v>
      </c>
      <c r="BB184" s="568">
        <v>504.2</v>
      </c>
      <c r="BC184" s="569">
        <v>1096</v>
      </c>
      <c r="BD184" s="567">
        <v>5863</v>
      </c>
      <c r="BE184" s="570"/>
      <c r="BF184" s="567">
        <f t="shared" si="798"/>
        <v>0.306999999999789</v>
      </c>
      <c r="BG184" s="567">
        <f t="shared" si="799"/>
        <v>0</v>
      </c>
      <c r="BH184" s="567">
        <f t="shared" si="800"/>
        <v>0</v>
      </c>
      <c r="BI184" s="567">
        <f t="shared" si="801"/>
        <v>0</v>
      </c>
      <c r="BJ184" s="567">
        <f t="shared" si="802"/>
        <v>0</v>
      </c>
      <c r="BK184" s="567">
        <f t="shared" si="803"/>
        <v>0.306999999999789</v>
      </c>
      <c r="BL184" s="567" t="e">
        <f>#REF!-BE184</f>
        <v>#REF!</v>
      </c>
      <c r="BM184" s="567">
        <f t="shared" si="1099"/>
        <v>517.5</v>
      </c>
      <c r="BN184" s="567"/>
      <c r="BO184" s="568">
        <f>225+292.5</f>
        <v>517.5</v>
      </c>
      <c r="BP184" s="567"/>
      <c r="BQ184" s="570"/>
      <c r="BR184" s="567">
        <f t="shared" si="1100"/>
        <v>0</v>
      </c>
      <c r="BS184" s="567"/>
      <c r="BT184" s="568"/>
      <c r="BU184" s="567"/>
      <c r="BV184" s="570"/>
      <c r="BW184" s="567">
        <f t="shared" si="1101"/>
        <v>7427.6077100000002</v>
      </c>
      <c r="BX184" s="567"/>
      <c r="BY184" s="568">
        <f t="shared" si="804"/>
        <v>1593.9227099999998</v>
      </c>
      <c r="BZ184" s="571">
        <v>501.67899999999997</v>
      </c>
      <c r="CA184" s="571">
        <f>747.50231+344.7414</f>
        <v>1092.24371</v>
      </c>
      <c r="CB184" s="567">
        <v>5833.6850000000004</v>
      </c>
      <c r="CC184" s="577"/>
      <c r="CD184" s="567">
        <f t="shared" si="1102"/>
        <v>7427.6077100000002</v>
      </c>
      <c r="CE184" s="567"/>
      <c r="CF184" s="568">
        <f t="shared" si="805"/>
        <v>1593.9227099999998</v>
      </c>
      <c r="CG184" s="571">
        <v>501.67899999999997</v>
      </c>
      <c r="CH184" s="571">
        <f>747.50231+344.7414</f>
        <v>1092.24371</v>
      </c>
      <c r="CI184" s="567">
        <v>5833.6850000000004</v>
      </c>
      <c r="CJ184" s="570"/>
      <c r="CK184" s="567">
        <f t="shared" si="1103"/>
        <v>1107.88894</v>
      </c>
      <c r="CL184" s="567"/>
      <c r="CM184" s="567">
        <v>459.36187000000001</v>
      </c>
      <c r="CN184" s="567">
        <v>129.35</v>
      </c>
      <c r="CO184" s="567">
        <f>225.85127</f>
        <v>225.85127</v>
      </c>
      <c r="CP184" s="567">
        <v>648.52706999999998</v>
      </c>
      <c r="CQ184" s="567"/>
      <c r="CR184" s="573">
        <f t="shared" si="1104"/>
        <v>8535.496650000001</v>
      </c>
      <c r="CS184" s="567">
        <f t="shared" si="807"/>
        <v>8535.496650000001</v>
      </c>
      <c r="CT184" s="567">
        <f t="shared" si="808"/>
        <v>0</v>
      </c>
      <c r="CU184" s="567">
        <f t="shared" si="809"/>
        <v>2053.28458</v>
      </c>
      <c r="CV184" s="567">
        <f t="shared" si="810"/>
        <v>6482.2120700000005</v>
      </c>
      <c r="CW184" s="567">
        <f t="shared" si="1105"/>
        <v>0</v>
      </c>
      <c r="CX184" s="567">
        <f t="shared" ca="1" si="899"/>
        <v>0</v>
      </c>
      <c r="CY184" s="567">
        <f t="shared" si="811"/>
        <v>0</v>
      </c>
      <c r="CZ184" s="567">
        <f t="shared" si="812"/>
        <v>0</v>
      </c>
      <c r="DA184" s="567">
        <f t="shared" si="813"/>
        <v>0</v>
      </c>
      <c r="DB184" s="2">
        <f t="shared" si="1106"/>
        <v>0</v>
      </c>
      <c r="DC184" s="76"/>
      <c r="DD184" s="253"/>
      <c r="DE184" s="253"/>
      <c r="DF184" s="2">
        <f t="shared" si="1107"/>
        <v>0</v>
      </c>
      <c r="DG184" s="2"/>
      <c r="DH184" s="198"/>
      <c r="DI184" s="2"/>
      <c r="DJ184" s="234"/>
      <c r="DK184" s="2">
        <f t="shared" si="1108"/>
        <v>0</v>
      </c>
      <c r="DL184" s="2"/>
      <c r="DM184" s="198"/>
      <c r="DN184" s="2"/>
      <c r="DO184" s="234"/>
      <c r="DP184" s="2">
        <f t="shared" si="1109"/>
        <v>0</v>
      </c>
      <c r="DQ184" s="2">
        <f t="shared" si="1110"/>
        <v>0</v>
      </c>
      <c r="DR184" s="2">
        <f t="shared" si="1110"/>
        <v>0</v>
      </c>
      <c r="DS184" s="2">
        <f t="shared" si="1110"/>
        <v>0</v>
      </c>
      <c r="DT184" s="2">
        <f t="shared" si="1110"/>
        <v>0</v>
      </c>
      <c r="DU184" s="2"/>
      <c r="DV184" s="2"/>
      <c r="DW184" s="2"/>
      <c r="DX184" s="2">
        <f t="shared" ca="1" si="1111"/>
        <v>0</v>
      </c>
      <c r="DY184" s="46"/>
      <c r="DZ184" s="2">
        <f t="shared" si="1112"/>
        <v>7427.6077100000002</v>
      </c>
      <c r="EA184" s="2">
        <f t="shared" si="1113"/>
        <v>7427.6077100000002</v>
      </c>
      <c r="EB184" s="46"/>
      <c r="EC184" s="2"/>
      <c r="ED184" s="2"/>
      <c r="EE184" s="46"/>
      <c r="EF184" s="2"/>
      <c r="EG184" s="46"/>
      <c r="EH184" s="46"/>
      <c r="EI184" s="2">
        <f t="shared" si="794"/>
        <v>7427.6077100000002</v>
      </c>
      <c r="EJ184" s="2"/>
      <c r="EK184" s="198">
        <f t="shared" si="814"/>
        <v>1593.9227099999998</v>
      </c>
      <c r="EL184" s="446">
        <v>501.67899999999997</v>
      </c>
      <c r="EM184" s="446">
        <f>747.50231+344.7414</f>
        <v>1092.24371</v>
      </c>
      <c r="EN184" s="2">
        <v>5833.6850000000004</v>
      </c>
      <c r="EO184" s="234"/>
      <c r="EP184" s="2">
        <f t="shared" si="795"/>
        <v>1107.88894</v>
      </c>
      <c r="EQ184" s="2"/>
      <c r="ER184" s="2">
        <v>459.36187000000001</v>
      </c>
      <c r="ES184" s="2">
        <v>129.35</v>
      </c>
      <c r="ET184" s="2">
        <f>104.1606+225.85127</f>
        <v>330.01186999999999</v>
      </c>
      <c r="EU184" s="2">
        <v>648.52706999999998</v>
      </c>
      <c r="EV184" s="141"/>
      <c r="EW184" s="310"/>
      <c r="EX184" s="310"/>
      <c r="EY184" s="310"/>
      <c r="EZ184" s="396"/>
      <c r="FA184" s="396"/>
      <c r="FB184" s="310"/>
      <c r="FC184" s="310"/>
      <c r="FD184" s="310"/>
      <c r="FE184" s="396"/>
      <c r="FF184" s="396"/>
      <c r="FG184" s="396"/>
      <c r="FH184" s="311"/>
      <c r="FI184" s="310"/>
      <c r="FJ184" s="296" t="e">
        <f t="shared" si="1114"/>
        <v>#DIV/0!</v>
      </c>
      <c r="FK184" s="353">
        <f t="shared" si="817"/>
        <v>1600.2</v>
      </c>
      <c r="FL184" s="353">
        <f t="shared" ref="FL184:FL197" si="1127">BA184</f>
        <v>1600.2</v>
      </c>
      <c r="FM184" s="353"/>
      <c r="FN184" s="388">
        <f t="shared" si="1115"/>
        <v>1</v>
      </c>
      <c r="FO184" s="388">
        <f t="shared" si="1116"/>
        <v>0</v>
      </c>
      <c r="FP184" s="353">
        <f t="shared" si="818"/>
        <v>2053.28458</v>
      </c>
      <c r="FQ184" s="353">
        <f t="shared" si="1117"/>
        <v>1593.9227099999998</v>
      </c>
      <c r="FR184" s="353">
        <f t="shared" si="1118"/>
        <v>459.36187000000001</v>
      </c>
      <c r="FS184" s="388">
        <f t="shared" si="1119"/>
        <v>0.77627949166208599</v>
      </c>
      <c r="FT184" s="388">
        <f t="shared" si="1120"/>
        <v>0.22372050833791388</v>
      </c>
      <c r="FU184" s="388"/>
      <c r="FV184" s="353">
        <f t="shared" si="1121"/>
        <v>2053.28458</v>
      </c>
      <c r="FW184" s="353">
        <f t="shared" si="819"/>
        <v>-459.36187000000018</v>
      </c>
      <c r="FX184" s="310"/>
      <c r="FY184" s="310"/>
      <c r="FZ184" s="310"/>
      <c r="GA184" s="396"/>
      <c r="GB184" s="396"/>
      <c r="GC184" s="310"/>
      <c r="GD184" s="310"/>
      <c r="GE184" s="310"/>
      <c r="GF184" s="396"/>
      <c r="GG184" s="396"/>
      <c r="GH184" s="396"/>
      <c r="GI184" s="311"/>
      <c r="GJ184" s="344"/>
      <c r="GK184" s="303">
        <f t="shared" si="796"/>
        <v>0.99519002393914824</v>
      </c>
    </row>
    <row r="185" spans="2:193" s="37" customFormat="1" ht="15.6" customHeight="1" x14ac:dyDescent="0.25">
      <c r="B185" s="29"/>
      <c r="C185" s="30"/>
      <c r="D185" s="30">
        <v>1</v>
      </c>
      <c r="E185" s="493">
        <v>153</v>
      </c>
      <c r="F185" s="29"/>
      <c r="G185" s="30"/>
      <c r="H185" s="30">
        <v>1</v>
      </c>
      <c r="I185" s="493">
        <v>12</v>
      </c>
      <c r="J185" s="494" t="s">
        <v>264</v>
      </c>
      <c r="K185" s="56" t="s">
        <v>272</v>
      </c>
      <c r="L185" s="53">
        <v>2200</v>
      </c>
      <c r="M185" s="493">
        <v>131</v>
      </c>
      <c r="N185" s="494" t="s">
        <v>131</v>
      </c>
      <c r="O185" s="494" t="s">
        <v>332</v>
      </c>
      <c r="P185" s="494">
        <f t="shared" si="816"/>
        <v>0</v>
      </c>
      <c r="Q185" s="494" t="s">
        <v>706</v>
      </c>
      <c r="R185" s="494" t="s">
        <v>699</v>
      </c>
      <c r="S185" s="494" t="s">
        <v>544</v>
      </c>
      <c r="T185" s="156">
        <v>2</v>
      </c>
      <c r="U185" s="493"/>
      <c r="V185" s="2">
        <f t="shared" si="797"/>
        <v>6368.5</v>
      </c>
      <c r="W185" s="2"/>
      <c r="X185" s="198">
        <f t="shared" si="1031"/>
        <v>6368.5</v>
      </c>
      <c r="Y185" s="198">
        <v>2006.5</v>
      </c>
      <c r="Z185" s="42">
        <v>4362</v>
      </c>
      <c r="AA185" s="2"/>
      <c r="AB185" s="567">
        <f t="shared" si="1096"/>
        <v>6368.5</v>
      </c>
      <c r="AC185" s="567"/>
      <c r="AD185" s="568">
        <f t="shared" si="1032"/>
        <v>6368.5</v>
      </c>
      <c r="AE185" s="568">
        <v>2006.5</v>
      </c>
      <c r="AF185" s="569">
        <v>4362</v>
      </c>
      <c r="AG185" s="567"/>
      <c r="AH185" s="570"/>
      <c r="AI185" s="567"/>
      <c r="AJ185" s="567"/>
      <c r="AK185" s="568"/>
      <c r="AL185" s="567"/>
      <c r="AM185" s="570"/>
      <c r="AN185" s="567"/>
      <c r="AO185" s="567"/>
      <c r="AP185" s="568"/>
      <c r="AQ185" s="567"/>
      <c r="AR185" s="570"/>
      <c r="AS185" s="567"/>
      <c r="AT185" s="567"/>
      <c r="AU185" s="568"/>
      <c r="AV185" s="567"/>
      <c r="AW185" s="604"/>
      <c r="AX185" s="410" t="s">
        <v>413</v>
      </c>
      <c r="AY185" s="567">
        <f t="shared" si="1097"/>
        <v>6368.5</v>
      </c>
      <c r="AZ185" s="567"/>
      <c r="BA185" s="568">
        <f t="shared" si="1098"/>
        <v>6368.5</v>
      </c>
      <c r="BB185" s="568">
        <v>2006.5</v>
      </c>
      <c r="BC185" s="569">
        <v>4362</v>
      </c>
      <c r="BD185" s="567"/>
      <c r="BE185" s="570"/>
      <c r="BF185" s="567">
        <f t="shared" si="798"/>
        <v>0</v>
      </c>
      <c r="BG185" s="567">
        <f t="shared" si="799"/>
        <v>0</v>
      </c>
      <c r="BH185" s="567">
        <f t="shared" si="800"/>
        <v>0</v>
      </c>
      <c r="BI185" s="567">
        <f t="shared" si="801"/>
        <v>0</v>
      </c>
      <c r="BJ185" s="567">
        <f t="shared" si="802"/>
        <v>0</v>
      </c>
      <c r="BK185" s="567">
        <f t="shared" si="803"/>
        <v>0</v>
      </c>
      <c r="BL185" s="567" t="e">
        <f>#REF!-BE185</f>
        <v>#REF!</v>
      </c>
      <c r="BM185" s="567">
        <f t="shared" si="1099"/>
        <v>1598.5</v>
      </c>
      <c r="BN185" s="567"/>
      <c r="BO185" s="568">
        <f>695+903.5</f>
        <v>1598.5</v>
      </c>
      <c r="BP185" s="567"/>
      <c r="BQ185" s="570"/>
      <c r="BR185" s="567">
        <f t="shared" si="1100"/>
        <v>0</v>
      </c>
      <c r="BS185" s="567"/>
      <c r="BT185" s="570"/>
      <c r="BU185" s="567"/>
      <c r="BV185" s="570"/>
      <c r="BW185" s="567">
        <f t="shared" si="1101"/>
        <v>6368.5</v>
      </c>
      <c r="BX185" s="567"/>
      <c r="BY185" s="568">
        <f t="shared" si="804"/>
        <v>6368.5</v>
      </c>
      <c r="BZ185" s="571">
        <f>750.96071+1255.53929</f>
        <v>2006.5</v>
      </c>
      <c r="CA185" s="571">
        <f>3479.26296+882.73704</f>
        <v>4362</v>
      </c>
      <c r="CB185" s="567"/>
      <c r="CC185" s="577"/>
      <c r="CD185" s="567">
        <f t="shared" si="1102"/>
        <v>6368.5</v>
      </c>
      <c r="CE185" s="567"/>
      <c r="CF185" s="568">
        <f t="shared" si="805"/>
        <v>6368.5</v>
      </c>
      <c r="CG185" s="571">
        <f>750.96071+1255.53929</f>
        <v>2006.5</v>
      </c>
      <c r="CH185" s="571">
        <f>3479.26296+882.73704</f>
        <v>4362</v>
      </c>
      <c r="CI185" s="567"/>
      <c r="CJ185" s="570"/>
      <c r="CK185" s="567">
        <f t="shared" si="1103"/>
        <v>707.61199999999997</v>
      </c>
      <c r="CL185" s="567"/>
      <c r="CM185" s="567">
        <v>707.61199999999997</v>
      </c>
      <c r="CN185" s="567">
        <v>83.440290000000005</v>
      </c>
      <c r="CO185" s="567">
        <f>386.58504+98.08196</f>
        <v>484.66699999999997</v>
      </c>
      <c r="CP185" s="567"/>
      <c r="CQ185" s="567"/>
      <c r="CR185" s="573">
        <f t="shared" si="1104"/>
        <v>7076.1120000000001</v>
      </c>
      <c r="CS185" s="567">
        <f t="shared" si="807"/>
        <v>7076.1120000000001</v>
      </c>
      <c r="CT185" s="567">
        <f t="shared" si="808"/>
        <v>0</v>
      </c>
      <c r="CU185" s="567">
        <f t="shared" si="809"/>
        <v>7076.1120000000001</v>
      </c>
      <c r="CV185" s="567">
        <f t="shared" si="810"/>
        <v>0</v>
      </c>
      <c r="CW185" s="567">
        <f t="shared" si="1105"/>
        <v>0</v>
      </c>
      <c r="CX185" s="567">
        <f t="shared" ca="1" si="899"/>
        <v>0</v>
      </c>
      <c r="CY185" s="567">
        <f t="shared" si="811"/>
        <v>0</v>
      </c>
      <c r="CZ185" s="567">
        <f t="shared" si="812"/>
        <v>0</v>
      </c>
      <c r="DA185" s="567">
        <f t="shared" si="813"/>
        <v>0</v>
      </c>
      <c r="DB185" s="2">
        <f t="shared" si="1106"/>
        <v>0</v>
      </c>
      <c r="DC185" s="76"/>
      <c r="DD185" s="253"/>
      <c r="DE185" s="253"/>
      <c r="DF185" s="2">
        <f t="shared" si="1107"/>
        <v>0</v>
      </c>
      <c r="DG185" s="2"/>
      <c r="DH185" s="234"/>
      <c r="DI185" s="2"/>
      <c r="DJ185" s="234"/>
      <c r="DK185" s="2">
        <f t="shared" si="1108"/>
        <v>0</v>
      </c>
      <c r="DL185" s="2"/>
      <c r="DM185" s="234"/>
      <c r="DN185" s="2"/>
      <c r="DO185" s="234"/>
      <c r="DP185" s="2">
        <f t="shared" si="1109"/>
        <v>0</v>
      </c>
      <c r="DQ185" s="2">
        <f t="shared" si="1110"/>
        <v>0</v>
      </c>
      <c r="DR185" s="2">
        <f t="shared" si="1110"/>
        <v>0</v>
      </c>
      <c r="DS185" s="2">
        <f t="shared" si="1110"/>
        <v>0</v>
      </c>
      <c r="DT185" s="2">
        <f t="shared" si="1110"/>
        <v>0</v>
      </c>
      <c r="DU185" s="2"/>
      <c r="DV185" s="2"/>
      <c r="DW185" s="2"/>
      <c r="DX185" s="2">
        <f t="shared" ca="1" si="1111"/>
        <v>0</v>
      </c>
      <c r="DY185" s="46"/>
      <c r="DZ185" s="2">
        <f t="shared" si="1112"/>
        <v>6368.5</v>
      </c>
      <c r="EA185" s="2">
        <f t="shared" si="1113"/>
        <v>6368.5</v>
      </c>
      <c r="EB185" s="46"/>
      <c r="EC185" s="2"/>
      <c r="ED185" s="2"/>
      <c r="EE185" s="46"/>
      <c r="EF185" s="2"/>
      <c r="EG185" s="46"/>
      <c r="EH185" s="46"/>
      <c r="EI185" s="2">
        <f t="shared" si="794"/>
        <v>6368.5</v>
      </c>
      <c r="EJ185" s="2"/>
      <c r="EK185" s="198">
        <f t="shared" si="814"/>
        <v>6368.5</v>
      </c>
      <c r="EL185" s="446">
        <f>750.96071+1255.53929</f>
        <v>2006.5</v>
      </c>
      <c r="EM185" s="446">
        <f>3479.26296+882.73704</f>
        <v>4362</v>
      </c>
      <c r="EN185" s="2"/>
      <c r="EO185" s="234"/>
      <c r="EP185" s="2">
        <f t="shared" si="795"/>
        <v>707.61199999999997</v>
      </c>
      <c r="EQ185" s="2"/>
      <c r="ER185" s="2">
        <v>707.61199999999997</v>
      </c>
      <c r="ES185" s="2">
        <f>83.44029+139.50471</f>
        <v>222.94499999999999</v>
      </c>
      <c r="ET185" s="2">
        <f>386.58504+98.08196</f>
        <v>484.66699999999997</v>
      </c>
      <c r="EU185" s="2"/>
      <c r="EV185" s="141"/>
      <c r="EW185" s="310"/>
      <c r="EX185" s="310"/>
      <c r="EY185" s="310"/>
      <c r="EZ185" s="396"/>
      <c r="FA185" s="396"/>
      <c r="FB185" s="310"/>
      <c r="FC185" s="310"/>
      <c r="FD185" s="310"/>
      <c r="FE185" s="396"/>
      <c r="FF185" s="396"/>
      <c r="FG185" s="396"/>
      <c r="FH185" s="311"/>
      <c r="FI185" s="310"/>
      <c r="FJ185" s="296" t="e">
        <f t="shared" si="1114"/>
        <v>#DIV/0!</v>
      </c>
      <c r="FK185" s="353">
        <f t="shared" si="817"/>
        <v>6368.5</v>
      </c>
      <c r="FL185" s="353">
        <f t="shared" si="1127"/>
        <v>6368.5</v>
      </c>
      <c r="FM185" s="353"/>
      <c r="FN185" s="388">
        <f t="shared" si="1115"/>
        <v>1</v>
      </c>
      <c r="FO185" s="388">
        <f t="shared" si="1116"/>
        <v>0</v>
      </c>
      <c r="FP185" s="353">
        <f t="shared" si="818"/>
        <v>7076.1120000000001</v>
      </c>
      <c r="FQ185" s="353">
        <f t="shared" si="1117"/>
        <v>6368.5</v>
      </c>
      <c r="FR185" s="353">
        <f t="shared" si="1118"/>
        <v>707.61199999999997</v>
      </c>
      <c r="FS185" s="388">
        <f t="shared" si="1119"/>
        <v>0.89999988694356448</v>
      </c>
      <c r="FT185" s="388">
        <f t="shared" si="1120"/>
        <v>0.10000011305643551</v>
      </c>
      <c r="FU185" s="388"/>
      <c r="FV185" s="353">
        <f t="shared" si="1121"/>
        <v>7076.1120000000001</v>
      </c>
      <c r="FW185" s="353">
        <f t="shared" si="819"/>
        <v>-707.61200000000008</v>
      </c>
      <c r="FX185" s="310"/>
      <c r="FY185" s="310"/>
      <c r="FZ185" s="310"/>
      <c r="GA185" s="396"/>
      <c r="GB185" s="396"/>
      <c r="GC185" s="310"/>
      <c r="GD185" s="310"/>
      <c r="GE185" s="310"/>
      <c r="GF185" s="396"/>
      <c r="GG185" s="396"/>
      <c r="GH185" s="396"/>
      <c r="GI185" s="311"/>
      <c r="GJ185" s="344"/>
      <c r="GK185" s="303">
        <f t="shared" si="796"/>
        <v>1</v>
      </c>
    </row>
    <row r="186" spans="2:193" s="37" customFormat="1" ht="15.6" customHeight="1" x14ac:dyDescent="0.25">
      <c r="B186" s="29"/>
      <c r="C186" s="30">
        <v>1</v>
      </c>
      <c r="D186" s="30"/>
      <c r="E186" s="493">
        <v>154</v>
      </c>
      <c r="F186" s="29"/>
      <c r="G186" s="30"/>
      <c r="H186" s="30">
        <v>1</v>
      </c>
      <c r="I186" s="729" t="s">
        <v>266</v>
      </c>
      <c r="J186" s="730"/>
      <c r="K186" s="730"/>
      <c r="L186" s="154">
        <f>L185</f>
        <v>2200</v>
      </c>
      <c r="M186" s="493">
        <v>132</v>
      </c>
      <c r="N186" s="494" t="s">
        <v>60</v>
      </c>
      <c r="O186" s="494" t="s">
        <v>337</v>
      </c>
      <c r="P186" s="494">
        <f t="shared" si="816"/>
        <v>0</v>
      </c>
      <c r="Q186" s="494"/>
      <c r="R186" s="494"/>
      <c r="S186" s="494" t="s">
        <v>594</v>
      </c>
      <c r="T186" s="156">
        <v>2</v>
      </c>
      <c r="U186" s="493"/>
      <c r="V186" s="2">
        <f t="shared" si="797"/>
        <v>7322.2</v>
      </c>
      <c r="W186" s="2"/>
      <c r="X186" s="2">
        <f t="shared" si="1031"/>
        <v>7322.2</v>
      </c>
      <c r="Y186" s="2">
        <v>2307</v>
      </c>
      <c r="Z186" s="2">
        <v>5015.2</v>
      </c>
      <c r="AA186" s="2"/>
      <c r="AB186" s="567">
        <f t="shared" si="1096"/>
        <v>7322.2</v>
      </c>
      <c r="AC186" s="567"/>
      <c r="AD186" s="567">
        <f t="shared" si="1032"/>
        <v>7322.2</v>
      </c>
      <c r="AE186" s="567">
        <v>2307</v>
      </c>
      <c r="AF186" s="567">
        <v>5015.2</v>
      </c>
      <c r="AG186" s="567"/>
      <c r="AH186" s="573"/>
      <c r="AI186" s="567"/>
      <c r="AJ186" s="567"/>
      <c r="AK186" s="567"/>
      <c r="AL186" s="567"/>
      <c r="AM186" s="573"/>
      <c r="AN186" s="567"/>
      <c r="AO186" s="567"/>
      <c r="AP186" s="567"/>
      <c r="AQ186" s="567"/>
      <c r="AR186" s="573"/>
      <c r="AS186" s="567"/>
      <c r="AT186" s="567"/>
      <c r="AU186" s="567"/>
      <c r="AV186" s="567"/>
      <c r="AW186" s="603"/>
      <c r="AX186" s="410" t="s">
        <v>450</v>
      </c>
      <c r="AY186" s="567">
        <f t="shared" si="1097"/>
        <v>7322.2</v>
      </c>
      <c r="AZ186" s="567"/>
      <c r="BA186" s="567">
        <f t="shared" si="1098"/>
        <v>7322.2</v>
      </c>
      <c r="BB186" s="567">
        <f>2307</f>
        <v>2307</v>
      </c>
      <c r="BC186" s="567">
        <v>5015.2</v>
      </c>
      <c r="BD186" s="567"/>
      <c r="BE186" s="567"/>
      <c r="BF186" s="567">
        <f t="shared" si="798"/>
        <v>0</v>
      </c>
      <c r="BG186" s="567">
        <f t="shared" si="799"/>
        <v>0</v>
      </c>
      <c r="BH186" s="567">
        <f t="shared" si="800"/>
        <v>0</v>
      </c>
      <c r="BI186" s="567">
        <f t="shared" si="801"/>
        <v>0</v>
      </c>
      <c r="BJ186" s="567">
        <f t="shared" si="802"/>
        <v>0</v>
      </c>
      <c r="BK186" s="567">
        <f t="shared" si="803"/>
        <v>0</v>
      </c>
      <c r="BL186" s="567" t="e">
        <f>#REF!-BE186</f>
        <v>#REF!</v>
      </c>
      <c r="BM186" s="567">
        <f t="shared" si="1099"/>
        <v>18827.111999999997</v>
      </c>
      <c r="BN186" s="567"/>
      <c r="BO186" s="567">
        <f>1027+1335.1</f>
        <v>2362.1</v>
      </c>
      <c r="BP186" s="567">
        <f>2070+13641.577+753.435</f>
        <v>16465.011999999999</v>
      </c>
      <c r="BQ186" s="567"/>
      <c r="BR186" s="567">
        <f t="shared" si="1100"/>
        <v>0</v>
      </c>
      <c r="BS186" s="567"/>
      <c r="BT186" s="567"/>
      <c r="BU186" s="567"/>
      <c r="BV186" s="567"/>
      <c r="BW186" s="567">
        <f t="shared" si="1101"/>
        <v>7285.5889999999999</v>
      </c>
      <c r="BX186" s="567"/>
      <c r="BY186" s="567">
        <f t="shared" si="804"/>
        <v>7285.5889999999999</v>
      </c>
      <c r="BZ186" s="574">
        <v>2295.4650000000001</v>
      </c>
      <c r="CA186" s="574">
        <v>4990.1239999999998</v>
      </c>
      <c r="CB186" s="567"/>
      <c r="CC186" s="567"/>
      <c r="CD186" s="567">
        <f t="shared" si="1102"/>
        <v>7285.5889999999999</v>
      </c>
      <c r="CE186" s="567"/>
      <c r="CF186" s="567">
        <f t="shared" si="805"/>
        <v>7285.5889999999999</v>
      </c>
      <c r="CG186" s="574">
        <v>2295.4650000000001</v>
      </c>
      <c r="CH186" s="574">
        <v>4990.1239999999998</v>
      </c>
      <c r="CI186" s="567"/>
      <c r="CJ186" s="567"/>
      <c r="CK186" s="567">
        <f t="shared" si="1103"/>
        <v>809.51061000000004</v>
      </c>
      <c r="CL186" s="567"/>
      <c r="CM186" s="567">
        <v>809.51061000000004</v>
      </c>
      <c r="CN186" s="567"/>
      <c r="CO186" s="567"/>
      <c r="CP186" s="567"/>
      <c r="CQ186" s="567"/>
      <c r="CR186" s="573">
        <f t="shared" si="1104"/>
        <v>8095.0996100000002</v>
      </c>
      <c r="CS186" s="567">
        <f t="shared" si="807"/>
        <v>8095.0996100000002</v>
      </c>
      <c r="CT186" s="567">
        <f t="shared" si="808"/>
        <v>0</v>
      </c>
      <c r="CU186" s="567">
        <f t="shared" si="809"/>
        <v>8095.0996100000002</v>
      </c>
      <c r="CV186" s="567">
        <f t="shared" si="810"/>
        <v>0</v>
      </c>
      <c r="CW186" s="567">
        <f t="shared" si="1105"/>
        <v>0</v>
      </c>
      <c r="CX186" s="567">
        <f t="shared" ca="1" si="899"/>
        <v>0</v>
      </c>
      <c r="CY186" s="567">
        <f t="shared" si="811"/>
        <v>0</v>
      </c>
      <c r="CZ186" s="567">
        <f t="shared" si="812"/>
        <v>0</v>
      </c>
      <c r="DA186" s="567">
        <f t="shared" si="813"/>
        <v>0</v>
      </c>
      <c r="DB186" s="2">
        <f t="shared" si="1106"/>
        <v>0</v>
      </c>
      <c r="DC186" s="76"/>
      <c r="DD186" s="545">
        <f>BM186+BM194</f>
        <v>20386.511999999999</v>
      </c>
      <c r="DE186" s="545">
        <f>DD186-BR186-BR194</f>
        <v>20386.511999999999</v>
      </c>
      <c r="DF186" s="2">
        <f t="shared" si="1107"/>
        <v>0</v>
      </c>
      <c r="DG186" s="2"/>
      <c r="DH186" s="2"/>
      <c r="DI186" s="2"/>
      <c r="DJ186" s="2"/>
      <c r="DK186" s="2">
        <f t="shared" si="1108"/>
        <v>0</v>
      </c>
      <c r="DL186" s="2"/>
      <c r="DM186" s="2"/>
      <c r="DN186" s="2"/>
      <c r="DO186" s="2"/>
      <c r="DP186" s="2">
        <f t="shared" si="1109"/>
        <v>0</v>
      </c>
      <c r="DQ186" s="2">
        <f t="shared" si="1110"/>
        <v>0</v>
      </c>
      <c r="DR186" s="2">
        <f t="shared" si="1110"/>
        <v>0</v>
      </c>
      <c r="DS186" s="2">
        <f t="shared" si="1110"/>
        <v>0</v>
      </c>
      <c r="DT186" s="2">
        <f t="shared" si="1110"/>
        <v>0</v>
      </c>
      <c r="DU186" s="2"/>
      <c r="DV186" s="23"/>
      <c r="DW186" s="23">
        <f>DU186-DV186</f>
        <v>0</v>
      </c>
      <c r="DX186" s="2">
        <f t="shared" ca="1" si="1111"/>
        <v>0</v>
      </c>
      <c r="DY186" s="46"/>
      <c r="DZ186" s="2">
        <f t="shared" si="1112"/>
        <v>7285.5889999999999</v>
      </c>
      <c r="EA186" s="2">
        <f t="shared" si="1113"/>
        <v>7285.5889999999999</v>
      </c>
      <c r="EB186" s="46"/>
      <c r="EC186" s="546">
        <f>EA186+EA194</f>
        <v>12233.2078</v>
      </c>
      <c r="ED186" s="546">
        <f ca="1">DX186+DX194</f>
        <v>0</v>
      </c>
      <c r="EE186" s="46"/>
      <c r="EF186" s="2">
        <f>DE186-EC186</f>
        <v>8153.3041999999987</v>
      </c>
      <c r="EG186" s="46">
        <f ca="1">EF186-ED186</f>
        <v>8153.3041999999987</v>
      </c>
      <c r="EH186" s="46"/>
      <c r="EI186" s="2">
        <f t="shared" si="794"/>
        <v>7285.5889999999999</v>
      </c>
      <c r="EJ186" s="2"/>
      <c r="EK186" s="2">
        <f t="shared" si="814"/>
        <v>7285.5889999999999</v>
      </c>
      <c r="EL186" s="432">
        <v>2295.4650000000001</v>
      </c>
      <c r="EM186" s="432">
        <v>4990.1239999999998</v>
      </c>
      <c r="EN186" s="2"/>
      <c r="EO186" s="2"/>
      <c r="EP186" s="2">
        <f t="shared" si="795"/>
        <v>809.51061000000004</v>
      </c>
      <c r="EQ186" s="2"/>
      <c r="ER186" s="2">
        <v>809.51061000000004</v>
      </c>
      <c r="ES186" s="2">
        <v>255.05233000000001</v>
      </c>
      <c r="ET186" s="2">
        <v>554.45827999999995</v>
      </c>
      <c r="EU186" s="2"/>
      <c r="EV186" s="141"/>
      <c r="EW186" s="310"/>
      <c r="EX186" s="310"/>
      <c r="EY186" s="310"/>
      <c r="EZ186" s="396"/>
      <c r="FA186" s="396"/>
      <c r="FB186" s="310"/>
      <c r="FC186" s="310"/>
      <c r="FD186" s="310"/>
      <c r="FE186" s="396"/>
      <c r="FF186" s="396"/>
      <c r="FG186" s="396"/>
      <c r="FH186" s="311"/>
      <c r="FI186" s="310"/>
      <c r="FJ186" s="296" t="e">
        <f t="shared" si="1114"/>
        <v>#DIV/0!</v>
      </c>
      <c r="FK186" s="353">
        <f t="shared" si="817"/>
        <v>7322.2</v>
      </c>
      <c r="FL186" s="353">
        <f t="shared" si="1127"/>
        <v>7322.2</v>
      </c>
      <c r="FM186" s="353"/>
      <c r="FN186" s="388">
        <f t="shared" si="1115"/>
        <v>1</v>
      </c>
      <c r="FO186" s="388">
        <f t="shared" si="1116"/>
        <v>0</v>
      </c>
      <c r="FP186" s="353">
        <f t="shared" si="818"/>
        <v>8095.0996100000002</v>
      </c>
      <c r="FQ186" s="353">
        <f t="shared" si="1117"/>
        <v>7285.5889999999999</v>
      </c>
      <c r="FR186" s="353">
        <f t="shared" si="1118"/>
        <v>809.51061000000004</v>
      </c>
      <c r="FS186" s="388">
        <f t="shared" si="1119"/>
        <v>0.89999991982804028</v>
      </c>
      <c r="FT186" s="388">
        <f t="shared" si="1120"/>
        <v>0.10000008017195974</v>
      </c>
      <c r="FU186" s="388"/>
      <c r="FV186" s="353">
        <f t="shared" si="1121"/>
        <v>8095.0996100000002</v>
      </c>
      <c r="FW186" s="353">
        <f t="shared" si="819"/>
        <v>-809.51061000000027</v>
      </c>
      <c r="FX186" s="310">
        <f t="shared" ref="FX186" si="1128">FY186+FZ186</f>
        <v>0</v>
      </c>
      <c r="FY186" s="310">
        <f>BD186</f>
        <v>0</v>
      </c>
      <c r="FZ186" s="310"/>
      <c r="GA186" s="396" t="e">
        <f t="shared" ref="GA186" si="1129">FY186/FX186</f>
        <v>#DIV/0!</v>
      </c>
      <c r="GB186" s="396" t="e">
        <f t="shared" ref="GB186" si="1130">FZ186/FX186</f>
        <v>#DIV/0!</v>
      </c>
      <c r="GC186" s="310">
        <f t="shared" ref="GC186" si="1131">GD186+GE186</f>
        <v>0</v>
      </c>
      <c r="GD186" s="310">
        <f t="shared" ref="GD186" si="1132">EN186</f>
        <v>0</v>
      </c>
      <c r="GE186" s="310">
        <f t="shared" ref="GE186" si="1133">EU186</f>
        <v>0</v>
      </c>
      <c r="GF186" s="396" t="e">
        <f t="shared" ref="GF186" si="1134">GD186/GC186</f>
        <v>#DIV/0!</v>
      </c>
      <c r="GG186" s="396" t="e">
        <f t="shared" ref="GG186" si="1135">GE186/GC186</f>
        <v>#DIV/0!</v>
      </c>
      <c r="GH186" s="396"/>
      <c r="GI186" s="311" t="e">
        <f t="shared" ref="GI186" si="1136">GC186*GA186</f>
        <v>#DIV/0!</v>
      </c>
      <c r="GJ186" s="344" t="e">
        <f t="shared" ref="GJ186" si="1137">GD186-GI186</f>
        <v>#DIV/0!</v>
      </c>
      <c r="GK186" s="303">
        <f t="shared" si="796"/>
        <v>0.995</v>
      </c>
    </row>
    <row r="187" spans="2:193" s="37" customFormat="1" ht="15.75" customHeight="1" x14ac:dyDescent="0.25">
      <c r="B187" s="29"/>
      <c r="C187" s="30"/>
      <c r="D187" s="30">
        <v>1</v>
      </c>
      <c r="E187" s="493">
        <v>155</v>
      </c>
      <c r="F187" s="29"/>
      <c r="G187" s="30"/>
      <c r="H187" s="30"/>
      <c r="I187" s="493"/>
      <c r="J187" s="494"/>
      <c r="K187" s="494"/>
      <c r="L187" s="53"/>
      <c r="M187" s="493">
        <v>133</v>
      </c>
      <c r="N187" s="494" t="s">
        <v>132</v>
      </c>
      <c r="O187" s="494"/>
      <c r="P187" s="494">
        <f t="shared" si="816"/>
        <v>0</v>
      </c>
      <c r="Q187" s="494"/>
      <c r="R187" s="494"/>
      <c r="S187" s="494" t="s">
        <v>634</v>
      </c>
      <c r="T187" s="156">
        <v>3</v>
      </c>
      <c r="U187" s="493"/>
      <c r="V187" s="2">
        <f t="shared" si="797"/>
        <v>15637.2</v>
      </c>
      <c r="W187" s="2"/>
      <c r="X187" s="198">
        <f t="shared" si="1031"/>
        <v>4717.2</v>
      </c>
      <c r="Y187" s="198">
        <v>1486.2</v>
      </c>
      <c r="Z187" s="42">
        <v>3231</v>
      </c>
      <c r="AA187" s="2">
        <v>10920</v>
      </c>
      <c r="AB187" s="567">
        <f t="shared" si="1096"/>
        <v>15637.2</v>
      </c>
      <c r="AC187" s="567"/>
      <c r="AD187" s="568">
        <f t="shared" si="1032"/>
        <v>4717.2</v>
      </c>
      <c r="AE187" s="568">
        <v>1486.2</v>
      </c>
      <c r="AF187" s="569">
        <v>3231</v>
      </c>
      <c r="AG187" s="567">
        <v>10920</v>
      </c>
      <c r="AH187" s="570"/>
      <c r="AI187" s="567"/>
      <c r="AJ187" s="567"/>
      <c r="AK187" s="568"/>
      <c r="AL187" s="567"/>
      <c r="AM187" s="570"/>
      <c r="AN187" s="567"/>
      <c r="AO187" s="567"/>
      <c r="AP187" s="568"/>
      <c r="AQ187" s="567"/>
      <c r="AR187" s="570"/>
      <c r="AS187" s="567"/>
      <c r="AT187" s="567"/>
      <c r="AU187" s="568"/>
      <c r="AV187" s="567"/>
      <c r="AW187" s="604"/>
      <c r="AX187" s="410" t="s">
        <v>483</v>
      </c>
      <c r="AY187" s="567">
        <f t="shared" si="1097"/>
        <v>15637.2</v>
      </c>
      <c r="AZ187" s="567"/>
      <c r="BA187" s="568">
        <f t="shared" si="1098"/>
        <v>4717.2</v>
      </c>
      <c r="BB187" s="568">
        <v>1486.2</v>
      </c>
      <c r="BC187" s="569">
        <v>3231</v>
      </c>
      <c r="BD187" s="567">
        <v>10920</v>
      </c>
      <c r="BE187" s="570"/>
      <c r="BF187" s="567">
        <f t="shared" si="798"/>
        <v>0</v>
      </c>
      <c r="BG187" s="567">
        <f t="shared" si="799"/>
        <v>0</v>
      </c>
      <c r="BH187" s="567">
        <f t="shared" si="800"/>
        <v>0</v>
      </c>
      <c r="BI187" s="567">
        <f t="shared" si="801"/>
        <v>0</v>
      </c>
      <c r="BJ187" s="567">
        <f t="shared" si="802"/>
        <v>0</v>
      </c>
      <c r="BK187" s="567">
        <f t="shared" si="803"/>
        <v>0</v>
      </c>
      <c r="BL187" s="567" t="e">
        <f>#REF!-BE187</f>
        <v>#REF!</v>
      </c>
      <c r="BM187" s="567">
        <f t="shared" si="1099"/>
        <v>1223.5999999999999</v>
      </c>
      <c r="BN187" s="567"/>
      <c r="BO187" s="568">
        <v>1223.5999999999999</v>
      </c>
      <c r="BP187" s="567"/>
      <c r="BQ187" s="570"/>
      <c r="BR187" s="567">
        <f t="shared" si="1100"/>
        <v>0</v>
      </c>
      <c r="BS187" s="567"/>
      <c r="BT187" s="568"/>
      <c r="BU187" s="567"/>
      <c r="BV187" s="570"/>
      <c r="BW187" s="567">
        <f t="shared" si="1101"/>
        <v>15637.2</v>
      </c>
      <c r="BX187" s="567"/>
      <c r="BY187" s="568">
        <f t="shared" si="804"/>
        <v>4717.2</v>
      </c>
      <c r="BZ187" s="578">
        <v>1486.2</v>
      </c>
      <c r="CA187" s="571">
        <v>3231</v>
      </c>
      <c r="CB187" s="567">
        <v>10920</v>
      </c>
      <c r="CC187" s="577"/>
      <c r="CD187" s="567">
        <f t="shared" si="1102"/>
        <v>15637.2</v>
      </c>
      <c r="CE187" s="567"/>
      <c r="CF187" s="568">
        <f t="shared" si="805"/>
        <v>4717.2</v>
      </c>
      <c r="CG187" s="578">
        <v>1486.2</v>
      </c>
      <c r="CH187" s="571">
        <v>3231</v>
      </c>
      <c r="CI187" s="567">
        <v>10920</v>
      </c>
      <c r="CJ187" s="570"/>
      <c r="CK187" s="567">
        <f t="shared" si="1103"/>
        <v>2979.0320000000002</v>
      </c>
      <c r="CL187" s="567"/>
      <c r="CM187" s="567">
        <v>899.03200000000004</v>
      </c>
      <c r="CN187" s="567"/>
      <c r="CO187" s="567"/>
      <c r="CP187" s="567">
        <v>2080</v>
      </c>
      <c r="CQ187" s="567"/>
      <c r="CR187" s="573">
        <f t="shared" si="1104"/>
        <v>18616.232</v>
      </c>
      <c r="CS187" s="567">
        <f t="shared" si="807"/>
        <v>18616.232</v>
      </c>
      <c r="CT187" s="567">
        <f t="shared" si="808"/>
        <v>0</v>
      </c>
      <c r="CU187" s="567">
        <f t="shared" si="809"/>
        <v>5616.232</v>
      </c>
      <c r="CV187" s="567">
        <f t="shared" si="810"/>
        <v>13000</v>
      </c>
      <c r="CW187" s="567">
        <f t="shared" si="1105"/>
        <v>0</v>
      </c>
      <c r="CX187" s="567">
        <f t="shared" ca="1" si="899"/>
        <v>0</v>
      </c>
      <c r="CY187" s="567">
        <f t="shared" si="811"/>
        <v>0</v>
      </c>
      <c r="CZ187" s="567">
        <f t="shared" si="812"/>
        <v>0</v>
      </c>
      <c r="DA187" s="567">
        <f t="shared" si="813"/>
        <v>0</v>
      </c>
      <c r="DB187" s="2">
        <f t="shared" si="1106"/>
        <v>0</v>
      </c>
      <c r="DC187" s="76"/>
      <c r="DD187" s="253">
        <f>AY182+AY183+AY184+AY185+AY187+AY188+AY189+AY190+AY191+AY192+AY193+AY195+AY196</f>
        <v>51461.338339999995</v>
      </c>
      <c r="DE187" s="253">
        <f>DD187+DF183-BR188-BR189</f>
        <v>51461.338339999995</v>
      </c>
      <c r="DF187" s="2">
        <f t="shared" si="1107"/>
        <v>0</v>
      </c>
      <c r="DG187" s="2"/>
      <c r="DH187" s="198"/>
      <c r="DI187" s="2"/>
      <c r="DJ187" s="234"/>
      <c r="DK187" s="2">
        <f t="shared" si="1108"/>
        <v>0</v>
      </c>
      <c r="DL187" s="2"/>
      <c r="DM187" s="198"/>
      <c r="DN187" s="2"/>
      <c r="DO187" s="234"/>
      <c r="DP187" s="2">
        <f t="shared" si="1109"/>
        <v>0</v>
      </c>
      <c r="DQ187" s="2">
        <f t="shared" si="1110"/>
        <v>0</v>
      </c>
      <c r="DR187" s="2">
        <f t="shared" si="1110"/>
        <v>0</v>
      </c>
      <c r="DS187" s="2">
        <f t="shared" si="1110"/>
        <v>0</v>
      </c>
      <c r="DT187" s="2">
        <f t="shared" si="1110"/>
        <v>0</v>
      </c>
      <c r="DU187" s="2"/>
      <c r="DV187" s="2"/>
      <c r="DW187" s="2"/>
      <c r="DX187" s="2">
        <f t="shared" ca="1" si="1111"/>
        <v>0</v>
      </c>
      <c r="DY187" s="46"/>
      <c r="DZ187" s="2">
        <f t="shared" si="1112"/>
        <v>15637.2</v>
      </c>
      <c r="EA187" s="2">
        <f t="shared" si="1113"/>
        <v>15637.2</v>
      </c>
      <c r="EB187" s="46"/>
      <c r="EC187" s="2">
        <f>EA182+EA183+EA184+EA185+EA187+EA188+EA189+EA190+EA191+EA192+EA193+EA195+EA196</f>
        <v>51193.493309999991</v>
      </c>
      <c r="ED187" s="2">
        <f ca="1">DX182+DX183+DX184+DX185+DX187+DX188+DX189+DX190+DX191+DX192+DX193+DX194+DX195+DX196</f>
        <v>0</v>
      </c>
      <c r="EE187" s="46"/>
      <c r="EF187" s="2">
        <f>DE187-EC187</f>
        <v>267.84503000000404</v>
      </c>
      <c r="EG187" s="46"/>
      <c r="EH187" s="46"/>
      <c r="EI187" s="2">
        <f t="shared" si="794"/>
        <v>15637.2</v>
      </c>
      <c r="EJ187" s="2"/>
      <c r="EK187" s="198">
        <f t="shared" si="814"/>
        <v>4717.2</v>
      </c>
      <c r="EL187" s="433">
        <v>1486.2</v>
      </c>
      <c r="EM187" s="446">
        <v>3231</v>
      </c>
      <c r="EN187" s="2">
        <v>10920</v>
      </c>
      <c r="EO187" s="234"/>
      <c r="EP187" s="2">
        <f t="shared" si="795"/>
        <v>2979.0320000000002</v>
      </c>
      <c r="EQ187" s="2"/>
      <c r="ER187" s="2">
        <v>899.03200000000004</v>
      </c>
      <c r="ES187" s="2">
        <v>283.60199999999998</v>
      </c>
      <c r="ET187" s="2">
        <v>615.42999999999995</v>
      </c>
      <c r="EU187" s="2">
        <v>2080</v>
      </c>
      <c r="EV187" s="141"/>
      <c r="EW187" s="310"/>
      <c r="EX187" s="310"/>
      <c r="EY187" s="310"/>
      <c r="EZ187" s="396"/>
      <c r="FA187" s="396"/>
      <c r="FB187" s="310"/>
      <c r="FC187" s="310"/>
      <c r="FD187" s="310"/>
      <c r="FE187" s="396"/>
      <c r="FF187" s="396"/>
      <c r="FG187" s="396"/>
      <c r="FH187" s="311"/>
      <c r="FI187" s="310"/>
      <c r="FJ187" s="296" t="e">
        <f t="shared" si="1114"/>
        <v>#DIV/0!</v>
      </c>
      <c r="FK187" s="353">
        <f t="shared" si="817"/>
        <v>4717.2</v>
      </c>
      <c r="FL187" s="353">
        <f t="shared" si="1127"/>
        <v>4717.2</v>
      </c>
      <c r="FM187" s="353"/>
      <c r="FN187" s="388">
        <f t="shared" si="1115"/>
        <v>1</v>
      </c>
      <c r="FO187" s="388">
        <f t="shared" si="1116"/>
        <v>0</v>
      </c>
      <c r="FP187" s="353">
        <f t="shared" si="818"/>
        <v>5616.232</v>
      </c>
      <c r="FQ187" s="353">
        <f t="shared" si="1117"/>
        <v>4717.2</v>
      </c>
      <c r="FR187" s="353">
        <f t="shared" si="1118"/>
        <v>899.03200000000004</v>
      </c>
      <c r="FS187" s="388">
        <f t="shared" si="1119"/>
        <v>0.83992256730135073</v>
      </c>
      <c r="FT187" s="388">
        <f t="shared" si="1120"/>
        <v>0.16007743269864921</v>
      </c>
      <c r="FU187" s="388"/>
      <c r="FV187" s="353">
        <f t="shared" si="1121"/>
        <v>5616.232</v>
      </c>
      <c r="FW187" s="353">
        <f t="shared" si="819"/>
        <v>-899.03200000000015</v>
      </c>
      <c r="FX187" s="310"/>
      <c r="FY187" s="310"/>
      <c r="FZ187" s="310"/>
      <c r="GA187" s="396"/>
      <c r="GB187" s="396"/>
      <c r="GC187" s="310"/>
      <c r="GD187" s="310"/>
      <c r="GE187" s="310"/>
      <c r="GF187" s="396"/>
      <c r="GG187" s="396"/>
      <c r="GH187" s="396"/>
      <c r="GI187" s="311"/>
      <c r="GJ187" s="344"/>
      <c r="GK187" s="303">
        <f t="shared" si="796"/>
        <v>1</v>
      </c>
    </row>
    <row r="188" spans="2:193" s="37" customFormat="1" ht="15.75" customHeight="1" x14ac:dyDescent="0.25">
      <c r="B188" s="29"/>
      <c r="C188" s="30"/>
      <c r="D188" s="30">
        <v>1</v>
      </c>
      <c r="E188" s="493">
        <v>156</v>
      </c>
      <c r="F188" s="29"/>
      <c r="G188" s="30"/>
      <c r="H188" s="30">
        <v>1</v>
      </c>
      <c r="I188" s="493"/>
      <c r="J188" s="494"/>
      <c r="K188" s="494"/>
      <c r="L188" s="53"/>
      <c r="M188" s="493">
        <v>134</v>
      </c>
      <c r="N188" s="494" t="s">
        <v>133</v>
      </c>
      <c r="O188" s="494"/>
      <c r="P188" s="494">
        <f t="shared" si="816"/>
        <v>0</v>
      </c>
      <c r="Q188" s="494" t="s">
        <v>701</v>
      </c>
      <c r="R188" s="494" t="s">
        <v>700</v>
      </c>
      <c r="S188" s="494" t="s">
        <v>589</v>
      </c>
      <c r="T188" s="156">
        <v>2</v>
      </c>
      <c r="U188" s="493">
        <v>1</v>
      </c>
      <c r="V188" s="2">
        <f t="shared" si="797"/>
        <v>3315.5</v>
      </c>
      <c r="W188" s="2"/>
      <c r="X188" s="198">
        <f t="shared" si="1031"/>
        <v>3315.5</v>
      </c>
      <c r="Y188" s="198">
        <v>1044.5999999999999</v>
      </c>
      <c r="Z188" s="42">
        <v>2270.9</v>
      </c>
      <c r="AA188" s="2"/>
      <c r="AB188" s="567">
        <f t="shared" si="1096"/>
        <v>3315.5</v>
      </c>
      <c r="AC188" s="567"/>
      <c r="AD188" s="568">
        <f t="shared" si="1032"/>
        <v>3315.5</v>
      </c>
      <c r="AE188" s="568">
        <v>1044.5999999999999</v>
      </c>
      <c r="AF188" s="569">
        <v>2270.9</v>
      </c>
      <c r="AG188" s="567"/>
      <c r="AH188" s="570"/>
      <c r="AI188" s="567"/>
      <c r="AJ188" s="567"/>
      <c r="AK188" s="568"/>
      <c r="AL188" s="567"/>
      <c r="AM188" s="570"/>
      <c r="AN188" s="567"/>
      <c r="AO188" s="567"/>
      <c r="AP188" s="568"/>
      <c r="AQ188" s="567"/>
      <c r="AR188" s="570"/>
      <c r="AS188" s="567"/>
      <c r="AT188" s="567"/>
      <c r="AU188" s="568"/>
      <c r="AV188" s="567"/>
      <c r="AW188" s="604"/>
      <c r="AX188" s="410" t="s">
        <v>661</v>
      </c>
      <c r="AY188" s="567">
        <f t="shared" si="1097"/>
        <v>3313.6788100000003</v>
      </c>
      <c r="AZ188" s="567"/>
      <c r="BA188" s="568">
        <f t="shared" si="1098"/>
        <v>3313.6788100000003</v>
      </c>
      <c r="BB188" s="568">
        <f>1044.6-1.82119</f>
        <v>1042.77881</v>
      </c>
      <c r="BC188" s="569">
        <v>2270.9</v>
      </c>
      <c r="BD188" s="567"/>
      <c r="BE188" s="570"/>
      <c r="BF188" s="567">
        <f t="shared" si="798"/>
        <v>1.8211899999998877</v>
      </c>
      <c r="BG188" s="567">
        <f t="shared" si="799"/>
        <v>0</v>
      </c>
      <c r="BH188" s="567">
        <f t="shared" si="800"/>
        <v>1.8211899999998877</v>
      </c>
      <c r="BI188" s="567">
        <f t="shared" si="801"/>
        <v>1.8211899999998877</v>
      </c>
      <c r="BJ188" s="567">
        <f t="shared" si="802"/>
        <v>0</v>
      </c>
      <c r="BK188" s="567">
        <f t="shared" si="803"/>
        <v>0</v>
      </c>
      <c r="BL188" s="567" t="e">
        <f>#REF!-BE188</f>
        <v>#REF!</v>
      </c>
      <c r="BM188" s="567">
        <f t="shared" si="1099"/>
        <v>648.6</v>
      </c>
      <c r="BN188" s="567"/>
      <c r="BO188" s="568">
        <v>648.6</v>
      </c>
      <c r="BP188" s="567"/>
      <c r="BQ188" s="570"/>
      <c r="BR188" s="567">
        <f t="shared" si="1100"/>
        <v>0</v>
      </c>
      <c r="BS188" s="567"/>
      <c r="BT188" s="568"/>
      <c r="BU188" s="567"/>
      <c r="BV188" s="570"/>
      <c r="BW188" s="567">
        <f t="shared" si="1101"/>
        <v>3303.5218599999998</v>
      </c>
      <c r="BX188" s="567"/>
      <c r="BY188" s="578">
        <f t="shared" si="804"/>
        <v>3303.5218599999998</v>
      </c>
      <c r="BZ188" s="571">
        <f>758.43285+284.34596</f>
        <v>1042.77881</v>
      </c>
      <c r="CA188" s="571">
        <f>2021.23216+239.51089</f>
        <v>2260.74305</v>
      </c>
      <c r="CB188" s="567"/>
      <c r="CC188" s="577"/>
      <c r="CD188" s="567">
        <f t="shared" si="1102"/>
        <v>3303.5218599999998</v>
      </c>
      <c r="CE188" s="567"/>
      <c r="CF188" s="578">
        <f t="shared" si="805"/>
        <v>3303.5218599999998</v>
      </c>
      <c r="CG188" s="571">
        <f>758.43285+284.34596</f>
        <v>1042.77881</v>
      </c>
      <c r="CH188" s="571">
        <f>2021.23216+239.51089</f>
        <v>2260.74305</v>
      </c>
      <c r="CI188" s="567"/>
      <c r="CJ188" s="570"/>
      <c r="CK188" s="567">
        <f t="shared" si="1103"/>
        <v>253.63443000000001</v>
      </c>
      <c r="CL188" s="567"/>
      <c r="CM188" s="567">
        <f t="shared" si="806"/>
        <v>253.63443000000001</v>
      </c>
      <c r="CN188" s="567">
        <f>41.56714+15.58404</f>
        <v>57.151180000000004</v>
      </c>
      <c r="CO188" s="567">
        <f>175.66714+20.81611</f>
        <v>196.48325</v>
      </c>
      <c r="CP188" s="567"/>
      <c r="CQ188" s="567"/>
      <c r="CR188" s="573">
        <f t="shared" si="1104"/>
        <v>3557.1562899999999</v>
      </c>
      <c r="CS188" s="567">
        <f t="shared" si="807"/>
        <v>3557.1562899999999</v>
      </c>
      <c r="CT188" s="567">
        <f t="shared" si="808"/>
        <v>0</v>
      </c>
      <c r="CU188" s="567">
        <f t="shared" si="809"/>
        <v>3557.1562899999999</v>
      </c>
      <c r="CV188" s="567">
        <f t="shared" si="810"/>
        <v>0</v>
      </c>
      <c r="CW188" s="567">
        <f t="shared" si="1105"/>
        <v>0</v>
      </c>
      <c r="CX188" s="567">
        <f t="shared" ca="1" si="899"/>
        <v>0</v>
      </c>
      <c r="CY188" s="567">
        <f t="shared" si="811"/>
        <v>0</v>
      </c>
      <c r="CZ188" s="567">
        <f t="shared" si="812"/>
        <v>0</v>
      </c>
      <c r="DA188" s="567">
        <f t="shared" si="813"/>
        <v>0</v>
      </c>
      <c r="DB188" s="2">
        <f t="shared" si="1106"/>
        <v>0</v>
      </c>
      <c r="DC188" s="76"/>
      <c r="DD188" s="253"/>
      <c r="DE188" s="253"/>
      <c r="DF188" s="2">
        <f t="shared" si="1107"/>
        <v>0</v>
      </c>
      <c r="DG188" s="2"/>
      <c r="DH188" s="198"/>
      <c r="DI188" s="2"/>
      <c r="DJ188" s="234"/>
      <c r="DK188" s="2">
        <f t="shared" si="1108"/>
        <v>0</v>
      </c>
      <c r="DL188" s="2"/>
      <c r="DM188" s="198"/>
      <c r="DN188" s="2"/>
      <c r="DO188" s="234"/>
      <c r="DP188" s="2">
        <f t="shared" si="1109"/>
        <v>0</v>
      </c>
      <c r="DQ188" s="2">
        <f t="shared" si="1110"/>
        <v>0</v>
      </c>
      <c r="DR188" s="2">
        <f t="shared" si="1110"/>
        <v>0</v>
      </c>
      <c r="DS188" s="2">
        <f t="shared" si="1110"/>
        <v>0</v>
      </c>
      <c r="DT188" s="2">
        <f t="shared" si="1110"/>
        <v>0</v>
      </c>
      <c r="DU188" s="2"/>
      <c r="DV188" s="2"/>
      <c r="DW188" s="2"/>
      <c r="DX188" s="2">
        <f t="shared" ca="1" si="1111"/>
        <v>0</v>
      </c>
      <c r="DY188" s="46"/>
      <c r="DZ188" s="2">
        <f t="shared" si="1112"/>
        <v>3303.5218599999998</v>
      </c>
      <c r="EA188" s="2">
        <f t="shared" si="1113"/>
        <v>3303.5218599999998</v>
      </c>
      <c r="EB188" s="46"/>
      <c r="EC188" s="2"/>
      <c r="ED188" s="2"/>
      <c r="EE188" s="46"/>
      <c r="EF188" s="2"/>
      <c r="EG188" s="46"/>
      <c r="EH188" s="46"/>
      <c r="EI188" s="2">
        <f t="shared" si="794"/>
        <v>3303.5218599999998</v>
      </c>
      <c r="EJ188" s="2"/>
      <c r="EK188" s="433">
        <f t="shared" si="814"/>
        <v>3303.5218599999998</v>
      </c>
      <c r="EL188" s="446">
        <f>758.43285+284.34596</f>
        <v>1042.77881</v>
      </c>
      <c r="EM188" s="446">
        <f>2021.23216+239.51089</f>
        <v>2260.74305</v>
      </c>
      <c r="EN188" s="2"/>
      <c r="EO188" s="234"/>
      <c r="EP188" s="2">
        <f t="shared" si="795"/>
        <v>253.63443000000001</v>
      </c>
      <c r="EQ188" s="2"/>
      <c r="ER188" s="2">
        <f t="shared" si="815"/>
        <v>253.63443000000001</v>
      </c>
      <c r="ES188" s="2">
        <f>41.56714+15.58404</f>
        <v>57.151180000000004</v>
      </c>
      <c r="ET188" s="2">
        <f>175.66714+20.81611</f>
        <v>196.48325</v>
      </c>
      <c r="EU188" s="2"/>
      <c r="EV188" s="141"/>
      <c r="EW188" s="310"/>
      <c r="EX188" s="310"/>
      <c r="EY188" s="310"/>
      <c r="EZ188" s="396"/>
      <c r="FA188" s="396"/>
      <c r="FB188" s="310"/>
      <c r="FC188" s="310"/>
      <c r="FD188" s="310"/>
      <c r="FE188" s="396"/>
      <c r="FF188" s="396"/>
      <c r="FG188" s="396"/>
      <c r="FH188" s="311"/>
      <c r="FI188" s="310"/>
      <c r="FJ188" s="296" t="e">
        <f t="shared" si="1114"/>
        <v>#DIV/0!</v>
      </c>
      <c r="FK188" s="353">
        <f t="shared" si="817"/>
        <v>3313.6788100000003</v>
      </c>
      <c r="FL188" s="353">
        <f t="shared" si="1127"/>
        <v>3313.6788100000003</v>
      </c>
      <c r="FM188" s="353"/>
      <c r="FN188" s="388">
        <f t="shared" si="1115"/>
        <v>1</v>
      </c>
      <c r="FO188" s="388">
        <f t="shared" si="1116"/>
        <v>0</v>
      </c>
      <c r="FP188" s="353">
        <f t="shared" si="818"/>
        <v>3557.1562899999999</v>
      </c>
      <c r="FQ188" s="353">
        <f t="shared" si="1117"/>
        <v>3303.5218599999998</v>
      </c>
      <c r="FR188" s="353">
        <f t="shared" si="1118"/>
        <v>253.63443000000001</v>
      </c>
      <c r="FS188" s="388">
        <f t="shared" si="1119"/>
        <v>0.92869741745308576</v>
      </c>
      <c r="FT188" s="388">
        <f t="shared" si="1120"/>
        <v>7.1302582546914184E-2</v>
      </c>
      <c r="FU188" s="388"/>
      <c r="FV188" s="353">
        <f t="shared" si="1121"/>
        <v>3557.1562899999999</v>
      </c>
      <c r="FW188" s="353">
        <f t="shared" si="819"/>
        <v>-253.63443000000007</v>
      </c>
      <c r="FX188" s="310"/>
      <c r="FY188" s="310"/>
      <c r="FZ188" s="310"/>
      <c r="GA188" s="396"/>
      <c r="GB188" s="396"/>
      <c r="GC188" s="310"/>
      <c r="GD188" s="310"/>
      <c r="GE188" s="310"/>
      <c r="GF188" s="396"/>
      <c r="GG188" s="396"/>
      <c r="GH188" s="396"/>
      <c r="GI188" s="311"/>
      <c r="GJ188" s="344"/>
      <c r="GK188" s="303">
        <f t="shared" si="796"/>
        <v>0.99638722967878146</v>
      </c>
    </row>
    <row r="189" spans="2:193" s="37" customFormat="1" ht="15.6" customHeight="1" x14ac:dyDescent="0.25">
      <c r="B189" s="29"/>
      <c r="C189" s="30"/>
      <c r="D189" s="30">
        <v>1</v>
      </c>
      <c r="E189" s="493">
        <v>157</v>
      </c>
      <c r="F189" s="29"/>
      <c r="G189" s="30"/>
      <c r="H189" s="30">
        <v>1</v>
      </c>
      <c r="I189" s="493"/>
      <c r="J189" s="494"/>
      <c r="K189" s="494"/>
      <c r="L189" s="53"/>
      <c r="M189" s="493">
        <v>135</v>
      </c>
      <c r="N189" s="494" t="s">
        <v>134</v>
      </c>
      <c r="O189" s="494"/>
      <c r="P189" s="494">
        <f t="shared" si="816"/>
        <v>0</v>
      </c>
      <c r="Q189" s="494"/>
      <c r="R189" s="494"/>
      <c r="S189" s="494" t="s">
        <v>590</v>
      </c>
      <c r="T189" s="156">
        <v>2</v>
      </c>
      <c r="U189" s="493"/>
      <c r="V189" s="2">
        <f t="shared" si="797"/>
        <v>3577.8999999999996</v>
      </c>
      <c r="W189" s="2"/>
      <c r="X189" s="198">
        <f t="shared" si="1031"/>
        <v>3577.8999999999996</v>
      </c>
      <c r="Y189" s="198">
        <v>1127.3</v>
      </c>
      <c r="Z189" s="42">
        <v>2450.6</v>
      </c>
      <c r="AA189" s="2"/>
      <c r="AB189" s="567">
        <f t="shared" si="1096"/>
        <v>3577.8999999999996</v>
      </c>
      <c r="AC189" s="567"/>
      <c r="AD189" s="568">
        <f t="shared" si="1032"/>
        <v>3577.8999999999996</v>
      </c>
      <c r="AE189" s="568">
        <v>1127.3</v>
      </c>
      <c r="AF189" s="569">
        <v>2450.6</v>
      </c>
      <c r="AG189" s="567"/>
      <c r="AH189" s="570"/>
      <c r="AI189" s="567"/>
      <c r="AJ189" s="567"/>
      <c r="AK189" s="568"/>
      <c r="AL189" s="567"/>
      <c r="AM189" s="570"/>
      <c r="AN189" s="567"/>
      <c r="AO189" s="567"/>
      <c r="AP189" s="568"/>
      <c r="AQ189" s="567"/>
      <c r="AR189" s="570"/>
      <c r="AS189" s="567"/>
      <c r="AT189" s="567"/>
      <c r="AU189" s="568"/>
      <c r="AV189" s="567"/>
      <c r="AW189" s="604"/>
      <c r="AX189" s="410" t="s">
        <v>447</v>
      </c>
      <c r="AY189" s="567">
        <f t="shared" si="1097"/>
        <v>3577.8999999999996</v>
      </c>
      <c r="AZ189" s="567"/>
      <c r="BA189" s="568">
        <f t="shared" si="1098"/>
        <v>3577.8999999999996</v>
      </c>
      <c r="BB189" s="568">
        <v>1127.3</v>
      </c>
      <c r="BC189" s="569">
        <v>2450.6</v>
      </c>
      <c r="BD189" s="567"/>
      <c r="BE189" s="567"/>
      <c r="BF189" s="567">
        <f t="shared" si="798"/>
        <v>0</v>
      </c>
      <c r="BG189" s="567">
        <f t="shared" si="799"/>
        <v>0</v>
      </c>
      <c r="BH189" s="567">
        <f t="shared" si="800"/>
        <v>0</v>
      </c>
      <c r="BI189" s="567">
        <f t="shared" si="801"/>
        <v>0</v>
      </c>
      <c r="BJ189" s="567">
        <f t="shared" si="802"/>
        <v>0</v>
      </c>
      <c r="BK189" s="567">
        <f t="shared" si="803"/>
        <v>0</v>
      </c>
      <c r="BL189" s="567" t="e">
        <f>#REF!-BE189</f>
        <v>#REF!</v>
      </c>
      <c r="BM189" s="567">
        <f t="shared" si="1099"/>
        <v>1177.5999999999999</v>
      </c>
      <c r="BN189" s="567"/>
      <c r="BO189" s="568">
        <f>512+665.6</f>
        <v>1177.5999999999999</v>
      </c>
      <c r="BP189" s="567"/>
      <c r="BQ189" s="567"/>
      <c r="BR189" s="567">
        <f t="shared" si="1100"/>
        <v>0</v>
      </c>
      <c r="BS189" s="567"/>
      <c r="BT189" s="568"/>
      <c r="BU189" s="567"/>
      <c r="BV189" s="567"/>
      <c r="BW189" s="567">
        <f t="shared" si="1101"/>
        <v>3570.4995600000002</v>
      </c>
      <c r="BX189" s="567"/>
      <c r="BY189" s="568">
        <f t="shared" si="804"/>
        <v>3570.4995600000002</v>
      </c>
      <c r="BZ189" s="571">
        <v>1127.3</v>
      </c>
      <c r="CA189" s="571">
        <f>1472.68681+970.51275</f>
        <v>2443.19956</v>
      </c>
      <c r="CB189" s="567"/>
      <c r="CC189" s="567"/>
      <c r="CD189" s="567">
        <f t="shared" si="1102"/>
        <v>3570.4995600000002</v>
      </c>
      <c r="CE189" s="567"/>
      <c r="CF189" s="568">
        <f t="shared" si="805"/>
        <v>3570.4995600000002</v>
      </c>
      <c r="CG189" s="571">
        <v>1127.3</v>
      </c>
      <c r="CH189" s="571">
        <f>1472.68681+970.51275</f>
        <v>2443.19956</v>
      </c>
      <c r="CI189" s="567"/>
      <c r="CJ189" s="567"/>
      <c r="CK189" s="567">
        <f t="shared" si="1103"/>
        <v>1396.88294</v>
      </c>
      <c r="CL189" s="567"/>
      <c r="CM189" s="567">
        <v>1396.88294</v>
      </c>
      <c r="CN189" s="567"/>
      <c r="CO189" s="567">
        <v>554.62468999999999</v>
      </c>
      <c r="CP189" s="567"/>
      <c r="CQ189" s="567"/>
      <c r="CR189" s="573">
        <f t="shared" si="1104"/>
        <v>4967.3824999999997</v>
      </c>
      <c r="CS189" s="567">
        <f t="shared" si="807"/>
        <v>4967.3824999999997</v>
      </c>
      <c r="CT189" s="567">
        <f t="shared" si="808"/>
        <v>0</v>
      </c>
      <c r="CU189" s="567">
        <f t="shared" si="809"/>
        <v>4967.3824999999997</v>
      </c>
      <c r="CV189" s="567">
        <f t="shared" si="810"/>
        <v>0</v>
      </c>
      <c r="CW189" s="567">
        <f t="shared" si="1105"/>
        <v>0</v>
      </c>
      <c r="CX189" s="567">
        <f t="shared" ca="1" si="899"/>
        <v>0</v>
      </c>
      <c r="CY189" s="567">
        <f t="shared" si="811"/>
        <v>0</v>
      </c>
      <c r="CZ189" s="567">
        <f t="shared" si="812"/>
        <v>0</v>
      </c>
      <c r="DA189" s="567">
        <f t="shared" si="813"/>
        <v>0</v>
      </c>
      <c r="DB189" s="2">
        <f t="shared" si="1106"/>
        <v>0</v>
      </c>
      <c r="DC189" s="76"/>
      <c r="DD189" s="253"/>
      <c r="DE189" s="253"/>
      <c r="DF189" s="2">
        <f t="shared" si="1107"/>
        <v>0</v>
      </c>
      <c r="DG189" s="2"/>
      <c r="DH189" s="198"/>
      <c r="DI189" s="2"/>
      <c r="DJ189" s="2"/>
      <c r="DK189" s="2">
        <f t="shared" si="1108"/>
        <v>0</v>
      </c>
      <c r="DL189" s="2"/>
      <c r="DM189" s="198"/>
      <c r="DN189" s="2"/>
      <c r="DO189" s="2"/>
      <c r="DP189" s="2">
        <f t="shared" si="1109"/>
        <v>0</v>
      </c>
      <c r="DQ189" s="2">
        <f t="shared" si="1110"/>
        <v>0</v>
      </c>
      <c r="DR189" s="2">
        <f t="shared" si="1110"/>
        <v>0</v>
      </c>
      <c r="DS189" s="2">
        <f t="shared" si="1110"/>
        <v>0</v>
      </c>
      <c r="DT189" s="2">
        <f t="shared" si="1110"/>
        <v>0</v>
      </c>
      <c r="DU189" s="2"/>
      <c r="DV189" s="2"/>
      <c r="DW189" s="2"/>
      <c r="DX189" s="2">
        <f t="shared" ca="1" si="1111"/>
        <v>0</v>
      </c>
      <c r="DY189" s="46"/>
      <c r="DZ189" s="2">
        <f t="shared" si="1112"/>
        <v>3570.4995600000002</v>
      </c>
      <c r="EA189" s="2">
        <f t="shared" si="1113"/>
        <v>3570.4995600000002</v>
      </c>
      <c r="EB189" s="46"/>
      <c r="EC189" s="2"/>
      <c r="ED189" s="2"/>
      <c r="EE189" s="46"/>
      <c r="EF189" s="2"/>
      <c r="EG189" s="46"/>
      <c r="EH189" s="46"/>
      <c r="EI189" s="2">
        <f t="shared" si="794"/>
        <v>3570.4995600000002</v>
      </c>
      <c r="EJ189" s="2"/>
      <c r="EK189" s="198">
        <f t="shared" si="814"/>
        <v>3570.4995600000002</v>
      </c>
      <c r="EL189" s="446">
        <v>1127.3</v>
      </c>
      <c r="EM189" s="446">
        <f>1472.68681+970.51275</f>
        <v>2443.19956</v>
      </c>
      <c r="EN189" s="2"/>
      <c r="EO189" s="2"/>
      <c r="EP189" s="2">
        <f t="shared" si="795"/>
        <v>1396.88294</v>
      </c>
      <c r="EQ189" s="2"/>
      <c r="ER189" s="2">
        <v>1396.88294</v>
      </c>
      <c r="ES189" s="2">
        <v>476.75599999999997</v>
      </c>
      <c r="ET189" s="2">
        <f>554.62469+365.50225</f>
        <v>920.12693999999999</v>
      </c>
      <c r="EU189" s="2"/>
      <c r="EV189" s="141"/>
      <c r="EW189" s="310"/>
      <c r="EX189" s="310"/>
      <c r="EY189" s="310"/>
      <c r="EZ189" s="396"/>
      <c r="FA189" s="396"/>
      <c r="FB189" s="310"/>
      <c r="FC189" s="310"/>
      <c r="FD189" s="310"/>
      <c r="FE189" s="396"/>
      <c r="FF189" s="396"/>
      <c r="FG189" s="396"/>
      <c r="FH189" s="311"/>
      <c r="FI189" s="310"/>
      <c r="FJ189" s="296" t="e">
        <f t="shared" si="1114"/>
        <v>#DIV/0!</v>
      </c>
      <c r="FK189" s="353">
        <f t="shared" si="817"/>
        <v>3577.8999999999996</v>
      </c>
      <c r="FL189" s="353">
        <f t="shared" si="1127"/>
        <v>3577.8999999999996</v>
      </c>
      <c r="FM189" s="353"/>
      <c r="FN189" s="388">
        <f t="shared" si="1115"/>
        <v>1</v>
      </c>
      <c r="FO189" s="388">
        <f t="shared" si="1116"/>
        <v>0</v>
      </c>
      <c r="FP189" s="353">
        <f t="shared" si="818"/>
        <v>4967.3824999999997</v>
      </c>
      <c r="FQ189" s="353">
        <f t="shared" si="1117"/>
        <v>3570.4995600000002</v>
      </c>
      <c r="FR189" s="353">
        <f t="shared" si="1118"/>
        <v>1396.88294</v>
      </c>
      <c r="FS189" s="388">
        <f t="shared" si="1119"/>
        <v>0.7187889315952618</v>
      </c>
      <c r="FT189" s="388">
        <f t="shared" si="1120"/>
        <v>0.28121106840473831</v>
      </c>
      <c r="FU189" s="388"/>
      <c r="FV189" s="353">
        <f t="shared" si="1121"/>
        <v>4967.3824999999997</v>
      </c>
      <c r="FW189" s="353">
        <f t="shared" si="819"/>
        <v>-1396.8829399999995</v>
      </c>
      <c r="FX189" s="310"/>
      <c r="FY189" s="310"/>
      <c r="FZ189" s="310"/>
      <c r="GA189" s="396"/>
      <c r="GB189" s="396"/>
      <c r="GC189" s="310"/>
      <c r="GD189" s="310"/>
      <c r="GE189" s="310"/>
      <c r="GF189" s="396"/>
      <c r="GG189" s="396"/>
      <c r="GH189" s="396"/>
      <c r="GI189" s="311"/>
      <c r="GJ189" s="344"/>
      <c r="GK189" s="303">
        <f t="shared" si="796"/>
        <v>0.9979316246960509</v>
      </c>
    </row>
    <row r="190" spans="2:193" s="37" customFormat="1" ht="15.6" customHeight="1" x14ac:dyDescent="0.25">
      <c r="B190" s="29"/>
      <c r="C190" s="30"/>
      <c r="D190" s="30">
        <v>1</v>
      </c>
      <c r="E190" s="493">
        <v>158</v>
      </c>
      <c r="F190" s="29"/>
      <c r="G190" s="30"/>
      <c r="H190" s="30"/>
      <c r="I190" s="493"/>
      <c r="J190" s="494"/>
      <c r="K190" s="494"/>
      <c r="L190" s="53"/>
      <c r="M190" s="493">
        <v>136</v>
      </c>
      <c r="N190" s="494" t="s">
        <v>135</v>
      </c>
      <c r="O190" s="494"/>
      <c r="P190" s="494">
        <f t="shared" si="816"/>
        <v>0</v>
      </c>
      <c r="Q190" s="494"/>
      <c r="R190" s="494"/>
      <c r="S190" s="494" t="s">
        <v>596</v>
      </c>
      <c r="T190" s="156">
        <v>2</v>
      </c>
      <c r="U190" s="493"/>
      <c r="V190" s="2">
        <f t="shared" si="797"/>
        <v>1235.3</v>
      </c>
      <c r="W190" s="2"/>
      <c r="X190" s="198">
        <f t="shared" si="1031"/>
        <v>1235.3</v>
      </c>
      <c r="Y190" s="198">
        <v>389.2</v>
      </c>
      <c r="Z190" s="42">
        <v>846.1</v>
      </c>
      <c r="AA190" s="2"/>
      <c r="AB190" s="567">
        <f t="shared" si="1096"/>
        <v>1235.3</v>
      </c>
      <c r="AC190" s="567"/>
      <c r="AD190" s="568">
        <f t="shared" si="1032"/>
        <v>1235.3</v>
      </c>
      <c r="AE190" s="568">
        <v>389.2</v>
      </c>
      <c r="AF190" s="569">
        <v>846.1</v>
      </c>
      <c r="AG190" s="567"/>
      <c r="AH190" s="570"/>
      <c r="AI190" s="567"/>
      <c r="AJ190" s="567"/>
      <c r="AK190" s="568"/>
      <c r="AL190" s="567"/>
      <c r="AM190" s="570"/>
      <c r="AN190" s="567"/>
      <c r="AO190" s="567"/>
      <c r="AP190" s="568"/>
      <c r="AQ190" s="567"/>
      <c r="AR190" s="570"/>
      <c r="AS190" s="567"/>
      <c r="AT190" s="567"/>
      <c r="AU190" s="568"/>
      <c r="AV190" s="567"/>
      <c r="AW190" s="604"/>
      <c r="AX190" s="410" t="s">
        <v>452</v>
      </c>
      <c r="AY190" s="567">
        <f t="shared" si="1097"/>
        <v>1197.9899999999998</v>
      </c>
      <c r="AZ190" s="567"/>
      <c r="BA190" s="568">
        <f t="shared" si="1098"/>
        <v>1197.9899999999998</v>
      </c>
      <c r="BB190" s="568">
        <f>389.2-37.31</f>
        <v>351.89</v>
      </c>
      <c r="BC190" s="569">
        <f>808.79+37.31</f>
        <v>846.09999999999991</v>
      </c>
      <c r="BD190" s="567"/>
      <c r="BE190" s="567"/>
      <c r="BF190" s="567">
        <f t="shared" si="798"/>
        <v>37.31</v>
      </c>
      <c r="BG190" s="567">
        <f t="shared" si="799"/>
        <v>0</v>
      </c>
      <c r="BH190" s="567">
        <f t="shared" si="800"/>
        <v>37.31</v>
      </c>
      <c r="BI190" s="567">
        <f t="shared" si="801"/>
        <v>37.31</v>
      </c>
      <c r="BJ190" s="567">
        <f t="shared" si="802"/>
        <v>0</v>
      </c>
      <c r="BK190" s="567">
        <f t="shared" si="803"/>
        <v>0</v>
      </c>
      <c r="BL190" s="567" t="e">
        <f>#REF!-BE190</f>
        <v>#REF!</v>
      </c>
      <c r="BM190" s="567">
        <f t="shared" si="1099"/>
        <v>441.6</v>
      </c>
      <c r="BN190" s="567"/>
      <c r="BO190" s="568">
        <v>441.6</v>
      </c>
      <c r="BP190" s="567"/>
      <c r="BQ190" s="567"/>
      <c r="BR190" s="567">
        <f t="shared" si="1100"/>
        <v>0</v>
      </c>
      <c r="BS190" s="567"/>
      <c r="BT190" s="567"/>
      <c r="BU190" s="567"/>
      <c r="BV190" s="567"/>
      <c r="BW190" s="567">
        <f t="shared" si="1101"/>
        <v>1197.9899999999998</v>
      </c>
      <c r="BX190" s="567"/>
      <c r="BY190" s="578">
        <f t="shared" si="804"/>
        <v>1197.9899999999998</v>
      </c>
      <c r="BZ190" s="571">
        <f>389.2-37.31</f>
        <v>351.89</v>
      </c>
      <c r="CA190" s="571">
        <f>37.31+404.395+404.395</f>
        <v>846.09999999999991</v>
      </c>
      <c r="CB190" s="567"/>
      <c r="CC190" s="567"/>
      <c r="CD190" s="567">
        <f t="shared" si="1102"/>
        <v>1197.9899999999998</v>
      </c>
      <c r="CE190" s="567"/>
      <c r="CF190" s="578">
        <f t="shared" si="805"/>
        <v>1197.9899999999998</v>
      </c>
      <c r="CG190" s="571">
        <f>389.2-37.31</f>
        <v>351.89</v>
      </c>
      <c r="CH190" s="571">
        <f>37.31+404.395+404.395</f>
        <v>846.09999999999991</v>
      </c>
      <c r="CI190" s="567"/>
      <c r="CJ190" s="567"/>
      <c r="CK190" s="567">
        <f t="shared" si="1103"/>
        <v>119.0204</v>
      </c>
      <c r="CL190" s="567"/>
      <c r="CM190" s="567">
        <v>119.0204</v>
      </c>
      <c r="CN190" s="567">
        <v>38.92</v>
      </c>
      <c r="CO190" s="567"/>
      <c r="CP190" s="567"/>
      <c r="CQ190" s="567"/>
      <c r="CR190" s="573">
        <f t="shared" si="1104"/>
        <v>1317.0103999999997</v>
      </c>
      <c r="CS190" s="567">
        <f t="shared" si="807"/>
        <v>1317.0103999999997</v>
      </c>
      <c r="CT190" s="567">
        <f t="shared" si="808"/>
        <v>0</v>
      </c>
      <c r="CU190" s="567">
        <f t="shared" si="809"/>
        <v>1317.0103999999997</v>
      </c>
      <c r="CV190" s="567">
        <f t="shared" si="810"/>
        <v>0</v>
      </c>
      <c r="CW190" s="567">
        <f t="shared" si="1105"/>
        <v>0</v>
      </c>
      <c r="CX190" s="567">
        <f t="shared" ca="1" si="899"/>
        <v>0</v>
      </c>
      <c r="CY190" s="567">
        <f t="shared" si="811"/>
        <v>0</v>
      </c>
      <c r="CZ190" s="567">
        <f t="shared" si="812"/>
        <v>0</v>
      </c>
      <c r="DA190" s="567">
        <f t="shared" si="813"/>
        <v>0</v>
      </c>
      <c r="DB190" s="2">
        <f t="shared" si="1106"/>
        <v>0</v>
      </c>
      <c r="DC190" s="76"/>
      <c r="DD190" s="253"/>
      <c r="DE190" s="253"/>
      <c r="DF190" s="2">
        <f t="shared" si="1107"/>
        <v>0</v>
      </c>
      <c r="DG190" s="2"/>
      <c r="DH190" s="2"/>
      <c r="DI190" s="2"/>
      <c r="DJ190" s="2"/>
      <c r="DK190" s="2">
        <f t="shared" si="1108"/>
        <v>0</v>
      </c>
      <c r="DL190" s="2"/>
      <c r="DM190" s="2"/>
      <c r="DN190" s="2"/>
      <c r="DO190" s="2"/>
      <c r="DP190" s="2">
        <f t="shared" si="1109"/>
        <v>0</v>
      </c>
      <c r="DQ190" s="2">
        <f t="shared" si="1110"/>
        <v>0</v>
      </c>
      <c r="DR190" s="2">
        <f t="shared" si="1110"/>
        <v>0</v>
      </c>
      <c r="DS190" s="2">
        <f t="shared" si="1110"/>
        <v>0</v>
      </c>
      <c r="DT190" s="2">
        <f t="shared" si="1110"/>
        <v>0</v>
      </c>
      <c r="DU190" s="2"/>
      <c r="DV190" s="2"/>
      <c r="DW190" s="2"/>
      <c r="DX190" s="2">
        <f t="shared" ca="1" si="1111"/>
        <v>0</v>
      </c>
      <c r="DY190" s="46"/>
      <c r="DZ190" s="2">
        <f t="shared" si="1112"/>
        <v>1197.9899999999998</v>
      </c>
      <c r="EA190" s="2">
        <f t="shared" si="1113"/>
        <v>1197.9899999999998</v>
      </c>
      <c r="EB190" s="46"/>
      <c r="EC190" s="2"/>
      <c r="ED190" s="2"/>
      <c r="EE190" s="46"/>
      <c r="EF190" s="2"/>
      <c r="EG190" s="46"/>
      <c r="EH190" s="46"/>
      <c r="EI190" s="2">
        <f t="shared" si="794"/>
        <v>1197.9899999999998</v>
      </c>
      <c r="EJ190" s="2"/>
      <c r="EK190" s="433">
        <f t="shared" si="814"/>
        <v>1197.9899999999998</v>
      </c>
      <c r="EL190" s="446">
        <f>389.2-37.31</f>
        <v>351.89</v>
      </c>
      <c r="EM190" s="446">
        <f>37.31+404.395+404.395</f>
        <v>846.09999999999991</v>
      </c>
      <c r="EN190" s="2"/>
      <c r="EO190" s="2"/>
      <c r="EP190" s="2">
        <f t="shared" si="795"/>
        <v>119.0204</v>
      </c>
      <c r="EQ190" s="2"/>
      <c r="ER190" s="2">
        <v>119.0204</v>
      </c>
      <c r="ES190" s="2">
        <v>38.92</v>
      </c>
      <c r="ET190" s="2">
        <f>40.0502+40.0502</f>
        <v>80.100399999999993</v>
      </c>
      <c r="EU190" s="2"/>
      <c r="EV190" s="141"/>
      <c r="EW190" s="310"/>
      <c r="EX190" s="310"/>
      <c r="EY190" s="310"/>
      <c r="EZ190" s="396"/>
      <c r="FA190" s="396"/>
      <c r="FB190" s="310"/>
      <c r="FC190" s="310"/>
      <c r="FD190" s="310"/>
      <c r="FE190" s="396"/>
      <c r="FF190" s="396"/>
      <c r="FG190" s="396"/>
      <c r="FH190" s="311"/>
      <c r="FI190" s="310"/>
      <c r="FJ190" s="296" t="e">
        <f t="shared" si="1114"/>
        <v>#DIV/0!</v>
      </c>
      <c r="FK190" s="353">
        <f t="shared" si="817"/>
        <v>1197.9899999999998</v>
      </c>
      <c r="FL190" s="353">
        <f t="shared" si="1127"/>
        <v>1197.9899999999998</v>
      </c>
      <c r="FM190" s="353"/>
      <c r="FN190" s="388">
        <f t="shared" si="1115"/>
        <v>1</v>
      </c>
      <c r="FO190" s="388">
        <f t="shared" si="1116"/>
        <v>0</v>
      </c>
      <c r="FP190" s="353">
        <f t="shared" si="818"/>
        <v>1317.0103999999997</v>
      </c>
      <c r="FQ190" s="353">
        <f t="shared" si="1117"/>
        <v>1197.9899999999998</v>
      </c>
      <c r="FR190" s="353">
        <f t="shared" si="1118"/>
        <v>119.0204</v>
      </c>
      <c r="FS190" s="388">
        <f t="shared" si="1119"/>
        <v>0.90962835221346783</v>
      </c>
      <c r="FT190" s="388">
        <f t="shared" si="1120"/>
        <v>9.0371647786532311E-2</v>
      </c>
      <c r="FU190" s="388"/>
      <c r="FV190" s="353">
        <f t="shared" si="1121"/>
        <v>1317.0103999999997</v>
      </c>
      <c r="FW190" s="353">
        <f t="shared" si="819"/>
        <v>-119.02039999999988</v>
      </c>
      <c r="FX190" s="310"/>
      <c r="FY190" s="310"/>
      <c r="FZ190" s="310"/>
      <c r="GA190" s="396"/>
      <c r="GB190" s="396"/>
      <c r="GC190" s="310"/>
      <c r="GD190" s="310"/>
      <c r="GE190" s="310"/>
      <c r="GF190" s="396"/>
      <c r="GG190" s="396"/>
      <c r="GH190" s="396"/>
      <c r="GI190" s="311"/>
      <c r="GJ190" s="344"/>
      <c r="GK190" s="303">
        <f t="shared" si="796"/>
        <v>0.96979681049137845</v>
      </c>
    </row>
    <row r="191" spans="2:193" s="37" customFormat="1" ht="15.6" customHeight="1" x14ac:dyDescent="0.25">
      <c r="B191" s="29"/>
      <c r="C191" s="30"/>
      <c r="D191" s="30">
        <v>1</v>
      </c>
      <c r="E191" s="493">
        <v>159</v>
      </c>
      <c r="F191" s="29"/>
      <c r="G191" s="30"/>
      <c r="H191" s="30">
        <v>1</v>
      </c>
      <c r="I191" s="493"/>
      <c r="J191" s="494"/>
      <c r="K191" s="494"/>
      <c r="L191" s="53"/>
      <c r="M191" s="493">
        <v>137</v>
      </c>
      <c r="N191" s="494" t="s">
        <v>136</v>
      </c>
      <c r="O191" s="494"/>
      <c r="P191" s="494">
        <f t="shared" si="816"/>
        <v>0</v>
      </c>
      <c r="Q191" s="494"/>
      <c r="R191" s="494"/>
      <c r="S191" s="494" t="s">
        <v>628</v>
      </c>
      <c r="T191" s="156">
        <v>2</v>
      </c>
      <c r="U191" s="493"/>
      <c r="V191" s="2">
        <f t="shared" si="797"/>
        <v>1888.1999999999998</v>
      </c>
      <c r="W191" s="2"/>
      <c r="X191" s="198">
        <f t="shared" si="1031"/>
        <v>1888.1999999999998</v>
      </c>
      <c r="Y191" s="198">
        <v>594.9</v>
      </c>
      <c r="Z191" s="42">
        <v>1293.3</v>
      </c>
      <c r="AA191" s="2"/>
      <c r="AB191" s="567">
        <f t="shared" si="1096"/>
        <v>1888.1999999999998</v>
      </c>
      <c r="AC191" s="567"/>
      <c r="AD191" s="568">
        <f t="shared" si="1032"/>
        <v>1888.1999999999998</v>
      </c>
      <c r="AE191" s="568">
        <v>594.9</v>
      </c>
      <c r="AF191" s="569">
        <v>1293.3</v>
      </c>
      <c r="AG191" s="567"/>
      <c r="AH191" s="570"/>
      <c r="AI191" s="567"/>
      <c r="AJ191" s="567"/>
      <c r="AK191" s="568"/>
      <c r="AL191" s="567"/>
      <c r="AM191" s="570"/>
      <c r="AN191" s="567"/>
      <c r="AO191" s="567"/>
      <c r="AP191" s="568"/>
      <c r="AQ191" s="567"/>
      <c r="AR191" s="570"/>
      <c r="AS191" s="567"/>
      <c r="AT191" s="567"/>
      <c r="AU191" s="568"/>
      <c r="AV191" s="567"/>
      <c r="AW191" s="604"/>
      <c r="AX191" s="410" t="s">
        <v>479</v>
      </c>
      <c r="AY191" s="567">
        <f t="shared" si="1097"/>
        <v>1888.1999999999998</v>
      </c>
      <c r="AZ191" s="567"/>
      <c r="BA191" s="568">
        <f t="shared" si="1098"/>
        <v>1888.1999999999998</v>
      </c>
      <c r="BB191" s="568">
        <v>594.9</v>
      </c>
      <c r="BC191" s="569">
        <v>1293.3</v>
      </c>
      <c r="BD191" s="567"/>
      <c r="BE191" s="570"/>
      <c r="BF191" s="567">
        <f t="shared" si="798"/>
        <v>0</v>
      </c>
      <c r="BG191" s="567">
        <f t="shared" si="799"/>
        <v>0</v>
      </c>
      <c r="BH191" s="567">
        <f t="shared" si="800"/>
        <v>0</v>
      </c>
      <c r="BI191" s="567">
        <f t="shared" si="801"/>
        <v>0</v>
      </c>
      <c r="BJ191" s="567">
        <f t="shared" si="802"/>
        <v>0</v>
      </c>
      <c r="BK191" s="567">
        <f t="shared" si="803"/>
        <v>0</v>
      </c>
      <c r="BL191" s="567" t="e">
        <f>#REF!-BE191</f>
        <v>#REF!</v>
      </c>
      <c r="BM191" s="567">
        <f t="shared" si="1099"/>
        <v>609.5</v>
      </c>
      <c r="BN191" s="567"/>
      <c r="BO191" s="568">
        <f>265+344.5</f>
        <v>609.5</v>
      </c>
      <c r="BP191" s="567"/>
      <c r="BQ191" s="570"/>
      <c r="BR191" s="567">
        <f t="shared" si="1100"/>
        <v>0</v>
      </c>
      <c r="BS191" s="567"/>
      <c r="BT191" s="570"/>
      <c r="BU191" s="567"/>
      <c r="BV191" s="570"/>
      <c r="BW191" s="567">
        <f t="shared" si="1101"/>
        <v>1888.1999999999998</v>
      </c>
      <c r="BX191" s="567"/>
      <c r="BY191" s="578">
        <f t="shared" si="804"/>
        <v>1888.1999999999998</v>
      </c>
      <c r="BZ191" s="571">
        <v>594.9</v>
      </c>
      <c r="CA191" s="571">
        <v>1293.3</v>
      </c>
      <c r="CB191" s="567"/>
      <c r="CC191" s="577"/>
      <c r="CD191" s="567">
        <f t="shared" si="1102"/>
        <v>1888.1999999999998</v>
      </c>
      <c r="CE191" s="567"/>
      <c r="CF191" s="578">
        <f t="shared" si="805"/>
        <v>1888.1999999999998</v>
      </c>
      <c r="CG191" s="571">
        <v>594.9</v>
      </c>
      <c r="CH191" s="571">
        <v>1293.3</v>
      </c>
      <c r="CI191" s="567"/>
      <c r="CJ191" s="570"/>
      <c r="CK191" s="567">
        <f t="shared" si="1103"/>
        <v>402.20679999999999</v>
      </c>
      <c r="CL191" s="567"/>
      <c r="CM191" s="567">
        <v>402.20679999999999</v>
      </c>
      <c r="CN191" s="567"/>
      <c r="CO191" s="567"/>
      <c r="CP191" s="567"/>
      <c r="CQ191" s="567"/>
      <c r="CR191" s="573">
        <f t="shared" si="1104"/>
        <v>2290.4067999999997</v>
      </c>
      <c r="CS191" s="567">
        <f t="shared" si="807"/>
        <v>2290.4067999999997</v>
      </c>
      <c r="CT191" s="567">
        <f t="shared" si="808"/>
        <v>0</v>
      </c>
      <c r="CU191" s="567">
        <f t="shared" si="809"/>
        <v>2290.4067999999997</v>
      </c>
      <c r="CV191" s="567">
        <f t="shared" si="810"/>
        <v>0</v>
      </c>
      <c r="CW191" s="567">
        <f t="shared" si="1105"/>
        <v>0</v>
      </c>
      <c r="CX191" s="567">
        <f t="shared" ca="1" si="899"/>
        <v>0</v>
      </c>
      <c r="CY191" s="567">
        <f t="shared" si="811"/>
        <v>0</v>
      </c>
      <c r="CZ191" s="567">
        <f t="shared" si="812"/>
        <v>0</v>
      </c>
      <c r="DA191" s="567">
        <f t="shared" si="813"/>
        <v>0</v>
      </c>
      <c r="DB191" s="2">
        <f t="shared" si="1106"/>
        <v>0</v>
      </c>
      <c r="DC191" s="76"/>
      <c r="DD191" s="253"/>
      <c r="DE191" s="253"/>
      <c r="DF191" s="2">
        <f t="shared" si="1107"/>
        <v>0</v>
      </c>
      <c r="DG191" s="2"/>
      <c r="DH191" s="234"/>
      <c r="DI191" s="2"/>
      <c r="DJ191" s="234"/>
      <c r="DK191" s="2">
        <f t="shared" si="1108"/>
        <v>0</v>
      </c>
      <c r="DL191" s="2"/>
      <c r="DM191" s="234"/>
      <c r="DN191" s="2"/>
      <c r="DO191" s="234"/>
      <c r="DP191" s="2">
        <f t="shared" si="1109"/>
        <v>0</v>
      </c>
      <c r="DQ191" s="2">
        <f t="shared" si="1110"/>
        <v>0</v>
      </c>
      <c r="DR191" s="2">
        <f t="shared" si="1110"/>
        <v>0</v>
      </c>
      <c r="DS191" s="2">
        <f t="shared" si="1110"/>
        <v>0</v>
      </c>
      <c r="DT191" s="2">
        <f t="shared" si="1110"/>
        <v>0</v>
      </c>
      <c r="DU191" s="2"/>
      <c r="DV191" s="2"/>
      <c r="DW191" s="2"/>
      <c r="DX191" s="2">
        <f t="shared" ca="1" si="1111"/>
        <v>0</v>
      </c>
      <c r="DY191" s="46"/>
      <c r="DZ191" s="2">
        <f t="shared" si="1112"/>
        <v>1888.1999999999998</v>
      </c>
      <c r="EA191" s="2">
        <f t="shared" si="1113"/>
        <v>1888.1999999999998</v>
      </c>
      <c r="EB191" s="46"/>
      <c r="EC191" s="2"/>
      <c r="ED191" s="2"/>
      <c r="EE191" s="46"/>
      <c r="EF191" s="2"/>
      <c r="EG191" s="46"/>
      <c r="EH191" s="46"/>
      <c r="EI191" s="2">
        <f t="shared" si="794"/>
        <v>1888.1999999999998</v>
      </c>
      <c r="EJ191" s="2"/>
      <c r="EK191" s="433">
        <f t="shared" si="814"/>
        <v>1888.1999999999998</v>
      </c>
      <c r="EL191" s="446">
        <v>594.9</v>
      </c>
      <c r="EM191" s="446">
        <v>1293.3</v>
      </c>
      <c r="EN191" s="2"/>
      <c r="EO191" s="234"/>
      <c r="EP191" s="2">
        <f t="shared" si="795"/>
        <v>402.20679999999999</v>
      </c>
      <c r="EQ191" s="2"/>
      <c r="ER191" s="2">
        <v>402.20679999999999</v>
      </c>
      <c r="ES191" s="2">
        <v>141.83799999999999</v>
      </c>
      <c r="ET191" s="2">
        <v>260.36880000000002</v>
      </c>
      <c r="EU191" s="2"/>
      <c r="EV191" s="141"/>
      <c r="EW191" s="310"/>
      <c r="EX191" s="310"/>
      <c r="EY191" s="310"/>
      <c r="EZ191" s="396"/>
      <c r="FA191" s="396"/>
      <c r="FB191" s="310"/>
      <c r="FC191" s="310"/>
      <c r="FD191" s="310"/>
      <c r="FE191" s="396"/>
      <c r="FF191" s="396"/>
      <c r="FG191" s="396"/>
      <c r="FH191" s="311"/>
      <c r="FI191" s="310"/>
      <c r="FJ191" s="296" t="e">
        <f t="shared" si="1114"/>
        <v>#DIV/0!</v>
      </c>
      <c r="FK191" s="353">
        <f t="shared" si="817"/>
        <v>1888.1999999999998</v>
      </c>
      <c r="FL191" s="353">
        <f t="shared" si="1127"/>
        <v>1888.1999999999998</v>
      </c>
      <c r="FM191" s="353"/>
      <c r="FN191" s="388">
        <f t="shared" si="1115"/>
        <v>1</v>
      </c>
      <c r="FO191" s="388">
        <f t="shared" si="1116"/>
        <v>0</v>
      </c>
      <c r="FP191" s="353">
        <f t="shared" si="818"/>
        <v>2290.4067999999997</v>
      </c>
      <c r="FQ191" s="353">
        <f t="shared" si="1117"/>
        <v>1888.1999999999998</v>
      </c>
      <c r="FR191" s="353">
        <f t="shared" si="1118"/>
        <v>402.20679999999999</v>
      </c>
      <c r="FS191" s="388">
        <f t="shared" si="1119"/>
        <v>0.82439503759768795</v>
      </c>
      <c r="FT191" s="388">
        <f t="shared" si="1120"/>
        <v>0.17560496240231213</v>
      </c>
      <c r="FU191" s="388"/>
      <c r="FV191" s="353">
        <f t="shared" si="1121"/>
        <v>2290.4067999999997</v>
      </c>
      <c r="FW191" s="353">
        <f t="shared" si="819"/>
        <v>-402.20679999999993</v>
      </c>
      <c r="FX191" s="310"/>
      <c r="FY191" s="310"/>
      <c r="FZ191" s="310"/>
      <c r="GA191" s="396"/>
      <c r="GB191" s="396"/>
      <c r="GC191" s="310"/>
      <c r="GD191" s="310"/>
      <c r="GE191" s="310"/>
      <c r="GF191" s="396"/>
      <c r="GG191" s="396"/>
      <c r="GH191" s="396"/>
      <c r="GI191" s="311"/>
      <c r="GJ191" s="344"/>
      <c r="GK191" s="303">
        <f t="shared" si="796"/>
        <v>1</v>
      </c>
    </row>
    <row r="192" spans="2:193" s="37" customFormat="1" ht="15.6" customHeight="1" x14ac:dyDescent="0.25">
      <c r="B192" s="29"/>
      <c r="C192" s="30"/>
      <c r="D192" s="30">
        <v>1</v>
      </c>
      <c r="E192" s="493">
        <v>160</v>
      </c>
      <c r="F192" s="29"/>
      <c r="G192" s="30"/>
      <c r="H192" s="30">
        <v>1</v>
      </c>
      <c r="I192" s="493"/>
      <c r="J192" s="494"/>
      <c r="K192" s="494"/>
      <c r="L192" s="53"/>
      <c r="M192" s="493">
        <v>138</v>
      </c>
      <c r="N192" s="494" t="s">
        <v>137</v>
      </c>
      <c r="O192" s="494"/>
      <c r="P192" s="494">
        <f t="shared" si="816"/>
        <v>0</v>
      </c>
      <c r="Q192" s="494" t="s">
        <v>701</v>
      </c>
      <c r="R192" s="494" t="s">
        <v>699</v>
      </c>
      <c r="S192" s="494" t="s">
        <v>638</v>
      </c>
      <c r="T192" s="156">
        <v>2</v>
      </c>
      <c r="U192" s="493"/>
      <c r="V192" s="2">
        <f t="shared" si="797"/>
        <v>2483.4</v>
      </c>
      <c r="W192" s="2"/>
      <c r="X192" s="198">
        <f t="shared" si="1031"/>
        <v>2483.4</v>
      </c>
      <c r="Y192" s="198">
        <v>782.4</v>
      </c>
      <c r="Z192" s="42">
        <v>1701</v>
      </c>
      <c r="AA192" s="2"/>
      <c r="AB192" s="567">
        <f t="shared" si="1096"/>
        <v>2483.4</v>
      </c>
      <c r="AC192" s="567"/>
      <c r="AD192" s="568">
        <f t="shared" si="1032"/>
        <v>2483.4</v>
      </c>
      <c r="AE192" s="568">
        <v>782.4</v>
      </c>
      <c r="AF192" s="569">
        <v>1701</v>
      </c>
      <c r="AG192" s="567"/>
      <c r="AH192" s="570"/>
      <c r="AI192" s="567"/>
      <c r="AJ192" s="567"/>
      <c r="AK192" s="568"/>
      <c r="AL192" s="567"/>
      <c r="AM192" s="570"/>
      <c r="AN192" s="567"/>
      <c r="AO192" s="567"/>
      <c r="AP192" s="568"/>
      <c r="AQ192" s="567"/>
      <c r="AR192" s="570"/>
      <c r="AS192" s="567"/>
      <c r="AT192" s="567"/>
      <c r="AU192" s="568"/>
      <c r="AV192" s="567"/>
      <c r="AW192" s="604"/>
      <c r="AX192" s="410" t="s">
        <v>487</v>
      </c>
      <c r="AY192" s="567">
        <f t="shared" si="1097"/>
        <v>2343.26953</v>
      </c>
      <c r="AZ192" s="567"/>
      <c r="BA192" s="568">
        <f t="shared" si="1098"/>
        <v>2343.26953</v>
      </c>
      <c r="BB192" s="568">
        <f>782.4-140.13047</f>
        <v>642.26953000000003</v>
      </c>
      <c r="BC192" s="569">
        <f>1560.86953+140.13047</f>
        <v>1701</v>
      </c>
      <c r="BD192" s="567"/>
      <c r="BE192" s="570"/>
      <c r="BF192" s="567">
        <f t="shared" si="798"/>
        <v>140.13046999999995</v>
      </c>
      <c r="BG192" s="567">
        <f t="shared" si="799"/>
        <v>0</v>
      </c>
      <c r="BH192" s="567">
        <f t="shared" si="800"/>
        <v>140.13046999999995</v>
      </c>
      <c r="BI192" s="567">
        <f t="shared" si="801"/>
        <v>140.13046999999995</v>
      </c>
      <c r="BJ192" s="567">
        <f t="shared" si="802"/>
        <v>0</v>
      </c>
      <c r="BK192" s="567">
        <f t="shared" si="803"/>
        <v>0</v>
      </c>
      <c r="BL192" s="567" t="e">
        <f>#REF!-BE192</f>
        <v>#REF!</v>
      </c>
      <c r="BM192" s="567">
        <f t="shared" si="1099"/>
        <v>759</v>
      </c>
      <c r="BN192" s="567"/>
      <c r="BO192" s="568">
        <f>330+429</f>
        <v>759</v>
      </c>
      <c r="BP192" s="567"/>
      <c r="BQ192" s="570"/>
      <c r="BR192" s="567">
        <f t="shared" si="1100"/>
        <v>0</v>
      </c>
      <c r="BS192" s="567"/>
      <c r="BT192" s="568"/>
      <c r="BU192" s="567"/>
      <c r="BV192" s="570"/>
      <c r="BW192" s="567">
        <f t="shared" si="1101"/>
        <v>2331.5531799999999</v>
      </c>
      <c r="BX192" s="567"/>
      <c r="BY192" s="568">
        <f t="shared" si="804"/>
        <v>2331.5531799999999</v>
      </c>
      <c r="BZ192" s="571">
        <v>638.35753</v>
      </c>
      <c r="CA192" s="571">
        <f>140.13047+1553.06518</f>
        <v>1693.1956500000001</v>
      </c>
      <c r="CB192" s="567"/>
      <c r="CC192" s="577"/>
      <c r="CD192" s="567">
        <f t="shared" si="1102"/>
        <v>2331.5531799999999</v>
      </c>
      <c r="CE192" s="567"/>
      <c r="CF192" s="568">
        <f t="shared" si="805"/>
        <v>2331.5531799999999</v>
      </c>
      <c r="CG192" s="571">
        <v>638.35753</v>
      </c>
      <c r="CH192" s="571">
        <f>140.13047+1553.06518</f>
        <v>1693.1956500000001</v>
      </c>
      <c r="CI192" s="567"/>
      <c r="CJ192" s="570"/>
      <c r="CK192" s="567">
        <f t="shared" si="1103"/>
        <v>268.20013</v>
      </c>
      <c r="CL192" s="567"/>
      <c r="CM192" s="567">
        <v>268.20013</v>
      </c>
      <c r="CN192" s="567"/>
      <c r="CO192" s="567"/>
      <c r="CP192" s="567"/>
      <c r="CQ192" s="567"/>
      <c r="CR192" s="573">
        <f t="shared" si="1104"/>
        <v>2599.7533100000001</v>
      </c>
      <c r="CS192" s="567">
        <f t="shared" si="807"/>
        <v>2599.7533100000001</v>
      </c>
      <c r="CT192" s="567">
        <f t="shared" si="808"/>
        <v>0</v>
      </c>
      <c r="CU192" s="567">
        <f t="shared" si="809"/>
        <v>2599.7533100000001</v>
      </c>
      <c r="CV192" s="567">
        <f t="shared" si="810"/>
        <v>0</v>
      </c>
      <c r="CW192" s="567">
        <f t="shared" si="1105"/>
        <v>0</v>
      </c>
      <c r="CX192" s="567">
        <f t="shared" ca="1" si="899"/>
        <v>0</v>
      </c>
      <c r="CY192" s="567">
        <f t="shared" si="811"/>
        <v>0</v>
      </c>
      <c r="CZ192" s="567">
        <f t="shared" si="812"/>
        <v>0</v>
      </c>
      <c r="DA192" s="567">
        <f t="shared" si="813"/>
        <v>0</v>
      </c>
      <c r="DB192" s="2">
        <f t="shared" si="1106"/>
        <v>0</v>
      </c>
      <c r="DC192" s="76"/>
      <c r="DD192" s="253"/>
      <c r="DE192" s="253"/>
      <c r="DF192" s="2">
        <f t="shared" si="1107"/>
        <v>0</v>
      </c>
      <c r="DG192" s="2"/>
      <c r="DH192" s="198"/>
      <c r="DI192" s="2"/>
      <c r="DJ192" s="234"/>
      <c r="DK192" s="2">
        <f t="shared" si="1108"/>
        <v>0</v>
      </c>
      <c r="DL192" s="2"/>
      <c r="DM192" s="198"/>
      <c r="DN192" s="2"/>
      <c r="DO192" s="234"/>
      <c r="DP192" s="2">
        <f t="shared" si="1109"/>
        <v>0</v>
      </c>
      <c r="DQ192" s="2">
        <f t="shared" si="1110"/>
        <v>0</v>
      </c>
      <c r="DR192" s="2">
        <f t="shared" si="1110"/>
        <v>0</v>
      </c>
      <c r="DS192" s="2">
        <f t="shared" si="1110"/>
        <v>0</v>
      </c>
      <c r="DT192" s="2">
        <f t="shared" si="1110"/>
        <v>0</v>
      </c>
      <c r="DU192" s="2"/>
      <c r="DV192" s="2"/>
      <c r="DW192" s="2"/>
      <c r="DX192" s="2">
        <f t="shared" ca="1" si="1111"/>
        <v>0</v>
      </c>
      <c r="DY192" s="46"/>
      <c r="DZ192" s="2">
        <f t="shared" si="1112"/>
        <v>2331.5531799999999</v>
      </c>
      <c r="EA192" s="2">
        <f t="shared" si="1113"/>
        <v>2331.5531799999999</v>
      </c>
      <c r="EB192" s="46"/>
      <c r="EC192" s="2"/>
      <c r="ED192" s="2"/>
      <c r="EE192" s="46"/>
      <c r="EF192" s="2"/>
      <c r="EG192" s="46"/>
      <c r="EH192" s="46"/>
      <c r="EI192" s="2">
        <f t="shared" si="794"/>
        <v>2331.5531799999999</v>
      </c>
      <c r="EJ192" s="2"/>
      <c r="EK192" s="198">
        <f t="shared" si="814"/>
        <v>2331.5531799999999</v>
      </c>
      <c r="EL192" s="446">
        <v>638.35753</v>
      </c>
      <c r="EM192" s="446">
        <f>140.13047+1553.06518</f>
        <v>1693.1956500000001</v>
      </c>
      <c r="EN192" s="2"/>
      <c r="EO192" s="234"/>
      <c r="EP192" s="2">
        <f t="shared" si="795"/>
        <v>268.20013</v>
      </c>
      <c r="EQ192" s="2"/>
      <c r="ER192" s="2">
        <v>268.20013</v>
      </c>
      <c r="ES192" s="2">
        <v>140.13047</v>
      </c>
      <c r="ET192" s="2">
        <v>178.65012999999999</v>
      </c>
      <c r="EU192" s="2"/>
      <c r="EV192" s="141"/>
      <c r="EW192" s="310"/>
      <c r="EX192" s="310"/>
      <c r="EY192" s="310"/>
      <c r="EZ192" s="400"/>
      <c r="FA192" s="400"/>
      <c r="FB192" s="310"/>
      <c r="FC192" s="310"/>
      <c r="FD192" s="310"/>
      <c r="FE192" s="400"/>
      <c r="FF192" s="400"/>
      <c r="FG192" s="402"/>
      <c r="FH192" s="320"/>
      <c r="FI192" s="440"/>
      <c r="FJ192" s="301" t="e">
        <f t="shared" si="1114"/>
        <v>#DIV/0!</v>
      </c>
      <c r="FK192" s="353">
        <f t="shared" si="817"/>
        <v>2343.26953</v>
      </c>
      <c r="FL192" s="353">
        <f t="shared" si="1127"/>
        <v>2343.26953</v>
      </c>
      <c r="FM192" s="353"/>
      <c r="FN192" s="394">
        <f t="shared" si="1115"/>
        <v>1</v>
      </c>
      <c r="FO192" s="394">
        <f t="shared" si="1116"/>
        <v>0</v>
      </c>
      <c r="FP192" s="353">
        <f t="shared" si="818"/>
        <v>2599.7533100000001</v>
      </c>
      <c r="FQ192" s="353">
        <f t="shared" si="1117"/>
        <v>2331.5531799999999</v>
      </c>
      <c r="FR192" s="353">
        <f t="shared" si="1118"/>
        <v>268.20013</v>
      </c>
      <c r="FS192" s="394">
        <f t="shared" si="1119"/>
        <v>0.89683631559642085</v>
      </c>
      <c r="FT192" s="394">
        <f t="shared" si="1120"/>
        <v>0.10316368440357905</v>
      </c>
      <c r="FU192" s="394"/>
      <c r="FV192" s="354">
        <f t="shared" si="1121"/>
        <v>2599.7533100000001</v>
      </c>
      <c r="FW192" s="354">
        <f t="shared" si="819"/>
        <v>-268.20013000000017</v>
      </c>
      <c r="FX192" s="310"/>
      <c r="FY192" s="310"/>
      <c r="FZ192" s="310"/>
      <c r="GA192" s="400"/>
      <c r="GB192" s="400"/>
      <c r="GC192" s="310"/>
      <c r="GD192" s="310"/>
      <c r="GE192" s="310"/>
      <c r="GF192" s="400"/>
      <c r="GG192" s="400"/>
      <c r="GH192" s="402"/>
      <c r="GI192" s="320"/>
      <c r="GJ192" s="455"/>
      <c r="GK192" s="303">
        <f t="shared" si="796"/>
        <v>0.93885527099943622</v>
      </c>
    </row>
    <row r="193" spans="2:193" s="37" customFormat="1" ht="15" hidden="1" customHeight="1" x14ac:dyDescent="0.25">
      <c r="B193" s="29"/>
      <c r="C193" s="30"/>
      <c r="D193" s="30">
        <v>1</v>
      </c>
      <c r="E193" s="493">
        <v>161</v>
      </c>
      <c r="F193" s="29"/>
      <c r="G193" s="30"/>
      <c r="H193" s="30">
        <v>1</v>
      </c>
      <c r="I193" s="493"/>
      <c r="J193" s="494"/>
      <c r="K193" s="494"/>
      <c r="L193" s="53"/>
      <c r="M193" s="493">
        <v>158</v>
      </c>
      <c r="N193" s="494" t="s">
        <v>138</v>
      </c>
      <c r="O193" s="494"/>
      <c r="P193" s="494">
        <f t="shared" si="816"/>
        <v>0</v>
      </c>
      <c r="Q193" s="494"/>
      <c r="R193" s="494"/>
      <c r="S193" s="494"/>
      <c r="T193" s="156"/>
      <c r="U193" s="493"/>
      <c r="V193" s="2">
        <f t="shared" si="797"/>
        <v>0</v>
      </c>
      <c r="W193" s="2"/>
      <c r="X193" s="198">
        <f t="shared" si="1031"/>
        <v>0</v>
      </c>
      <c r="Y193" s="198"/>
      <c r="Z193" s="42"/>
      <c r="AA193" s="2"/>
      <c r="AB193" s="567">
        <f t="shared" si="1096"/>
        <v>0</v>
      </c>
      <c r="AC193" s="567"/>
      <c r="AD193" s="568">
        <f t="shared" si="1032"/>
        <v>0</v>
      </c>
      <c r="AE193" s="568"/>
      <c r="AF193" s="569"/>
      <c r="AG193" s="567"/>
      <c r="AH193" s="570"/>
      <c r="AI193" s="567"/>
      <c r="AJ193" s="567"/>
      <c r="AK193" s="568"/>
      <c r="AL193" s="567"/>
      <c r="AM193" s="570"/>
      <c r="AN193" s="567"/>
      <c r="AO193" s="567"/>
      <c r="AP193" s="568"/>
      <c r="AQ193" s="567"/>
      <c r="AR193" s="570"/>
      <c r="AS193" s="567"/>
      <c r="AT193" s="567"/>
      <c r="AU193" s="568"/>
      <c r="AV193" s="567"/>
      <c r="AW193" s="604"/>
      <c r="AX193" s="410"/>
      <c r="AY193" s="567">
        <f t="shared" si="1097"/>
        <v>0</v>
      </c>
      <c r="AZ193" s="567"/>
      <c r="BA193" s="568">
        <f t="shared" si="1098"/>
        <v>0</v>
      </c>
      <c r="BB193" s="568"/>
      <c r="BC193" s="569"/>
      <c r="BD193" s="567"/>
      <c r="BE193" s="570"/>
      <c r="BF193" s="567">
        <f t="shared" si="798"/>
        <v>0</v>
      </c>
      <c r="BG193" s="567">
        <f t="shared" si="799"/>
        <v>0</v>
      </c>
      <c r="BH193" s="567">
        <f t="shared" si="800"/>
        <v>0</v>
      </c>
      <c r="BI193" s="567">
        <f t="shared" si="801"/>
        <v>0</v>
      </c>
      <c r="BJ193" s="567">
        <f t="shared" si="802"/>
        <v>0</v>
      </c>
      <c r="BK193" s="567">
        <f t="shared" si="803"/>
        <v>0</v>
      </c>
      <c r="BL193" s="567" t="e">
        <f>#REF!-BE193</f>
        <v>#REF!</v>
      </c>
      <c r="BM193" s="567">
        <f t="shared" si="1099"/>
        <v>0</v>
      </c>
      <c r="BN193" s="567"/>
      <c r="BO193" s="570"/>
      <c r="BP193" s="567"/>
      <c r="BQ193" s="570"/>
      <c r="BR193" s="567">
        <f t="shared" si="1100"/>
        <v>0</v>
      </c>
      <c r="BS193" s="567"/>
      <c r="BT193" s="570"/>
      <c r="BU193" s="567"/>
      <c r="BV193" s="570"/>
      <c r="BW193" s="567">
        <f t="shared" si="1101"/>
        <v>0</v>
      </c>
      <c r="BX193" s="567"/>
      <c r="BY193" s="568">
        <f t="shared" si="804"/>
        <v>0</v>
      </c>
      <c r="BZ193" s="571"/>
      <c r="CA193" s="571"/>
      <c r="CB193" s="567"/>
      <c r="CC193" s="577"/>
      <c r="CD193" s="567">
        <f t="shared" si="1102"/>
        <v>0</v>
      </c>
      <c r="CE193" s="567"/>
      <c r="CF193" s="568">
        <f t="shared" si="805"/>
        <v>0</v>
      </c>
      <c r="CG193" s="571"/>
      <c r="CH193" s="571"/>
      <c r="CI193" s="567"/>
      <c r="CJ193" s="570"/>
      <c r="CK193" s="567">
        <f t="shared" si="1103"/>
        <v>0</v>
      </c>
      <c r="CL193" s="567"/>
      <c r="CM193" s="567">
        <f t="shared" si="806"/>
        <v>0</v>
      </c>
      <c r="CN193" s="567"/>
      <c r="CO193" s="567"/>
      <c r="CP193" s="567"/>
      <c r="CQ193" s="567"/>
      <c r="CR193" s="573">
        <f t="shared" si="1104"/>
        <v>0</v>
      </c>
      <c r="CS193" s="567">
        <f t="shared" si="807"/>
        <v>0</v>
      </c>
      <c r="CT193" s="567">
        <f t="shared" si="808"/>
        <v>0</v>
      </c>
      <c r="CU193" s="567">
        <f t="shared" si="809"/>
        <v>0</v>
      </c>
      <c r="CV193" s="567">
        <f t="shared" si="810"/>
        <v>0</v>
      </c>
      <c r="CW193" s="567">
        <f t="shared" si="1105"/>
        <v>0</v>
      </c>
      <c r="CX193" s="567">
        <f t="shared" ca="1" si="899"/>
        <v>0</v>
      </c>
      <c r="CY193" s="567">
        <f t="shared" si="811"/>
        <v>0</v>
      </c>
      <c r="CZ193" s="567">
        <f t="shared" si="812"/>
        <v>0</v>
      </c>
      <c r="DA193" s="567">
        <f t="shared" si="813"/>
        <v>0</v>
      </c>
      <c r="DB193" s="2">
        <f t="shared" si="1106"/>
        <v>0</v>
      </c>
      <c r="DC193" s="76"/>
      <c r="DD193" s="253"/>
      <c r="DE193" s="253"/>
      <c r="DF193" s="2">
        <f t="shared" si="1107"/>
        <v>0</v>
      </c>
      <c r="DG193" s="2"/>
      <c r="DH193" s="234"/>
      <c r="DI193" s="2"/>
      <c r="DJ193" s="234"/>
      <c r="DK193" s="2">
        <f t="shared" si="1108"/>
        <v>0</v>
      </c>
      <c r="DL193" s="2"/>
      <c r="DM193" s="234"/>
      <c r="DN193" s="2"/>
      <c r="DO193" s="234"/>
      <c r="DP193" s="2">
        <f t="shared" si="1109"/>
        <v>0</v>
      </c>
      <c r="DQ193" s="2">
        <f t="shared" si="1110"/>
        <v>0</v>
      </c>
      <c r="DR193" s="2">
        <f t="shared" si="1110"/>
        <v>0</v>
      </c>
      <c r="DS193" s="2">
        <f t="shared" si="1110"/>
        <v>0</v>
      </c>
      <c r="DT193" s="2">
        <f t="shared" si="1110"/>
        <v>0</v>
      </c>
      <c r="DU193" s="2"/>
      <c r="DV193" s="2"/>
      <c r="DW193" s="2"/>
      <c r="DX193" s="2">
        <f t="shared" ca="1" si="1111"/>
        <v>0</v>
      </c>
      <c r="DY193" s="46"/>
      <c r="DZ193" s="2">
        <f t="shared" si="1112"/>
        <v>0</v>
      </c>
      <c r="EA193" s="2">
        <f t="shared" si="1113"/>
        <v>0</v>
      </c>
      <c r="EB193" s="46"/>
      <c r="EC193" s="2"/>
      <c r="ED193" s="2"/>
      <c r="EE193" s="46"/>
      <c r="EF193" s="2"/>
      <c r="EG193" s="46"/>
      <c r="EH193" s="46"/>
      <c r="EI193" s="2">
        <f t="shared" si="794"/>
        <v>0</v>
      </c>
      <c r="EJ193" s="2"/>
      <c r="EK193" s="198">
        <f t="shared" si="814"/>
        <v>0</v>
      </c>
      <c r="EL193" s="446"/>
      <c r="EM193" s="446"/>
      <c r="EN193" s="2"/>
      <c r="EO193" s="234"/>
      <c r="EP193" s="2">
        <f t="shared" si="795"/>
        <v>0</v>
      </c>
      <c r="EQ193" s="2"/>
      <c r="ER193" s="2">
        <f t="shared" si="815"/>
        <v>0</v>
      </c>
      <c r="ES193" s="2"/>
      <c r="ET193" s="2"/>
      <c r="EU193" s="2"/>
      <c r="EV193" s="141"/>
      <c r="EW193" s="310"/>
      <c r="EX193" s="310"/>
      <c r="EY193" s="310"/>
      <c r="EZ193" s="396"/>
      <c r="FA193" s="396"/>
      <c r="FB193" s="310"/>
      <c r="FC193" s="310"/>
      <c r="FD193" s="310"/>
      <c r="FE193" s="396"/>
      <c r="FF193" s="396"/>
      <c r="FG193" s="396"/>
      <c r="FH193" s="311"/>
      <c r="FI193" s="310"/>
      <c r="FJ193" s="296" t="e">
        <f t="shared" si="1114"/>
        <v>#DIV/0!</v>
      </c>
      <c r="FK193" s="353">
        <f t="shared" ref="FK193" si="1138">FL193+FM193</f>
        <v>0</v>
      </c>
      <c r="FL193" s="353">
        <f t="shared" si="1127"/>
        <v>0</v>
      </c>
      <c r="FM193" s="353"/>
      <c r="FN193" s="388" t="e">
        <f t="shared" ref="FN193" si="1139">FL193/FK193</f>
        <v>#DIV/0!</v>
      </c>
      <c r="FO193" s="388" t="e">
        <f t="shared" ref="FO193" si="1140">FM193/FK193</f>
        <v>#DIV/0!</v>
      </c>
      <c r="FP193" s="353">
        <f t="shared" ref="FP193" si="1141">FQ193+FR193</f>
        <v>0</v>
      </c>
      <c r="FQ193" s="353">
        <f t="shared" ref="FQ193" si="1142">EK193</f>
        <v>0</v>
      </c>
      <c r="FR193" s="353">
        <f t="shared" ref="FR193" si="1143">ER193</f>
        <v>0</v>
      </c>
      <c r="FS193" s="388" t="e">
        <f t="shared" ref="FS193" si="1144">FQ193/FP193</f>
        <v>#DIV/0!</v>
      </c>
      <c r="FT193" s="388" t="e">
        <f t="shared" ref="FT193" si="1145">FR193/FP193</f>
        <v>#DIV/0!</v>
      </c>
      <c r="FU193" s="388"/>
      <c r="FV193" s="353" t="e">
        <f t="shared" ref="FV193" si="1146">FP193*FN193</f>
        <v>#DIV/0!</v>
      </c>
      <c r="FW193" s="353" t="e">
        <f t="shared" si="819"/>
        <v>#DIV/0!</v>
      </c>
      <c r="FX193" s="310"/>
      <c r="FY193" s="310"/>
      <c r="FZ193" s="310"/>
      <c r="GA193" s="396"/>
      <c r="GB193" s="396"/>
      <c r="GC193" s="310"/>
      <c r="GD193" s="310"/>
      <c r="GE193" s="310"/>
      <c r="GF193" s="396"/>
      <c r="GG193" s="396"/>
      <c r="GH193" s="396"/>
      <c r="GI193" s="311"/>
      <c r="GJ193" s="344"/>
      <c r="GK193" s="303" t="e">
        <f t="shared" si="796"/>
        <v>#DIV/0!</v>
      </c>
    </row>
    <row r="194" spans="2:193" s="37" customFormat="1" ht="15.6" customHeight="1" x14ac:dyDescent="0.25">
      <c r="B194" s="29"/>
      <c r="C194" s="30">
        <v>1</v>
      </c>
      <c r="D194" s="30"/>
      <c r="E194" s="493">
        <v>162</v>
      </c>
      <c r="F194" s="29"/>
      <c r="G194" s="30">
        <v>1</v>
      </c>
      <c r="H194" s="30">
        <v>1</v>
      </c>
      <c r="I194" s="493"/>
      <c r="J194" s="494"/>
      <c r="K194" s="494"/>
      <c r="L194" s="53"/>
      <c r="M194" s="493">
        <v>139</v>
      </c>
      <c r="N194" s="494" t="s">
        <v>61</v>
      </c>
      <c r="O194" s="494"/>
      <c r="P194" s="494">
        <f t="shared" si="816"/>
        <v>0</v>
      </c>
      <c r="Q194" s="494" t="s">
        <v>701</v>
      </c>
      <c r="R194" s="494" t="s">
        <v>699</v>
      </c>
      <c r="S194" s="494" t="s">
        <v>645</v>
      </c>
      <c r="T194" s="156">
        <v>2</v>
      </c>
      <c r="U194" s="493"/>
      <c r="V194" s="2">
        <f t="shared" si="797"/>
        <v>5997.2999999999993</v>
      </c>
      <c r="W194" s="2"/>
      <c r="X194" s="198">
        <f t="shared" si="1031"/>
        <v>5997.2999999999993</v>
      </c>
      <c r="Y194" s="198">
        <v>1889.6</v>
      </c>
      <c r="Z194" s="42">
        <v>4107.7</v>
      </c>
      <c r="AA194" s="2"/>
      <c r="AB194" s="567">
        <f t="shared" si="1096"/>
        <v>5997.2999999999993</v>
      </c>
      <c r="AC194" s="567"/>
      <c r="AD194" s="568">
        <f t="shared" si="1032"/>
        <v>5997.2999999999993</v>
      </c>
      <c r="AE194" s="568">
        <v>1889.6</v>
      </c>
      <c r="AF194" s="569">
        <v>4107.7</v>
      </c>
      <c r="AG194" s="567"/>
      <c r="AH194" s="570"/>
      <c r="AI194" s="567"/>
      <c r="AJ194" s="567"/>
      <c r="AK194" s="568"/>
      <c r="AL194" s="567"/>
      <c r="AM194" s="570"/>
      <c r="AN194" s="567"/>
      <c r="AO194" s="567"/>
      <c r="AP194" s="568"/>
      <c r="AQ194" s="567"/>
      <c r="AR194" s="570"/>
      <c r="AS194" s="567"/>
      <c r="AT194" s="567"/>
      <c r="AU194" s="568"/>
      <c r="AV194" s="567"/>
      <c r="AW194" s="604"/>
      <c r="AX194" s="410" t="s">
        <v>491</v>
      </c>
      <c r="AY194" s="567">
        <f t="shared" si="1097"/>
        <v>5997.2999999999993</v>
      </c>
      <c r="AZ194" s="567"/>
      <c r="BA194" s="568">
        <f t="shared" si="1098"/>
        <v>5997.2999999999993</v>
      </c>
      <c r="BB194" s="568">
        <v>1889.6</v>
      </c>
      <c r="BC194" s="569">
        <v>4107.7</v>
      </c>
      <c r="BD194" s="567"/>
      <c r="BE194" s="570"/>
      <c r="BF194" s="567">
        <f t="shared" si="798"/>
        <v>0</v>
      </c>
      <c r="BG194" s="567">
        <f t="shared" si="799"/>
        <v>0</v>
      </c>
      <c r="BH194" s="567">
        <f t="shared" si="800"/>
        <v>0</v>
      </c>
      <c r="BI194" s="567">
        <f t="shared" si="801"/>
        <v>0</v>
      </c>
      <c r="BJ194" s="567">
        <f t="shared" si="802"/>
        <v>0</v>
      </c>
      <c r="BK194" s="567">
        <f t="shared" si="803"/>
        <v>0</v>
      </c>
      <c r="BL194" s="567" t="e">
        <f>#REF!-BE194</f>
        <v>#REF!</v>
      </c>
      <c r="BM194" s="567">
        <f t="shared" si="1099"/>
        <v>1559.4</v>
      </c>
      <c r="BN194" s="567"/>
      <c r="BO194" s="568">
        <v>1559.4</v>
      </c>
      <c r="BP194" s="567"/>
      <c r="BQ194" s="570"/>
      <c r="BR194" s="567">
        <f t="shared" si="1100"/>
        <v>0</v>
      </c>
      <c r="BS194" s="567"/>
      <c r="BT194" s="568"/>
      <c r="BU194" s="567"/>
      <c r="BV194" s="570"/>
      <c r="BW194" s="567">
        <f t="shared" si="1101"/>
        <v>4947.6188000000002</v>
      </c>
      <c r="BX194" s="567"/>
      <c r="BY194" s="568">
        <f t="shared" si="804"/>
        <v>4947.6188000000002</v>
      </c>
      <c r="BZ194" s="571">
        <v>1540.41533</v>
      </c>
      <c r="CA194" s="571">
        <v>3407.2034699999999</v>
      </c>
      <c r="CB194" s="567"/>
      <c r="CC194" s="577"/>
      <c r="CD194" s="567">
        <f t="shared" si="1102"/>
        <v>4947.6188000000002</v>
      </c>
      <c r="CE194" s="567"/>
      <c r="CF194" s="568">
        <f t="shared" si="805"/>
        <v>4947.6188000000002</v>
      </c>
      <c r="CG194" s="571">
        <v>1540.41533</v>
      </c>
      <c r="CH194" s="571">
        <v>3407.2034699999999</v>
      </c>
      <c r="CI194" s="567"/>
      <c r="CJ194" s="570"/>
      <c r="CK194" s="567">
        <f t="shared" si="1103"/>
        <v>779.1454</v>
      </c>
      <c r="CL194" s="567"/>
      <c r="CM194" s="567">
        <f t="shared" si="806"/>
        <v>779.1454</v>
      </c>
      <c r="CN194" s="567">
        <f>64.65494+47.61281+20.11471+42.67247+45.97664+21.55124</f>
        <v>242.58281000000002</v>
      </c>
      <c r="CO194" s="567">
        <v>536.56259</v>
      </c>
      <c r="CP194" s="567"/>
      <c r="CQ194" s="567"/>
      <c r="CR194" s="573">
        <f t="shared" si="1104"/>
        <v>5726.7642000000005</v>
      </c>
      <c r="CS194" s="567">
        <f t="shared" si="807"/>
        <v>5726.7642000000005</v>
      </c>
      <c r="CT194" s="567">
        <f t="shared" si="808"/>
        <v>0</v>
      </c>
      <c r="CU194" s="567">
        <f t="shared" si="809"/>
        <v>5726.7642000000005</v>
      </c>
      <c r="CV194" s="567">
        <f t="shared" si="810"/>
        <v>0</v>
      </c>
      <c r="CW194" s="567">
        <f t="shared" si="1105"/>
        <v>0</v>
      </c>
      <c r="CX194" s="567">
        <f t="shared" ca="1" si="899"/>
        <v>0</v>
      </c>
      <c r="CY194" s="567">
        <f t="shared" si="811"/>
        <v>0</v>
      </c>
      <c r="CZ194" s="567">
        <f t="shared" si="812"/>
        <v>0</v>
      </c>
      <c r="DA194" s="567">
        <f t="shared" si="813"/>
        <v>0</v>
      </c>
      <c r="DB194" s="2">
        <f t="shared" si="1106"/>
        <v>0</v>
      </c>
      <c r="DC194" s="76"/>
      <c r="DD194" s="253"/>
      <c r="DE194" s="253"/>
      <c r="DF194" s="2">
        <f t="shared" si="1107"/>
        <v>0</v>
      </c>
      <c r="DG194" s="2"/>
      <c r="DH194" s="198"/>
      <c r="DI194" s="2"/>
      <c r="DJ194" s="234"/>
      <c r="DK194" s="2">
        <f t="shared" si="1108"/>
        <v>0</v>
      </c>
      <c r="DL194" s="2"/>
      <c r="DM194" s="198"/>
      <c r="DN194" s="2"/>
      <c r="DO194" s="234"/>
      <c r="DP194" s="2">
        <f t="shared" si="1109"/>
        <v>0</v>
      </c>
      <c r="DQ194" s="2">
        <f t="shared" si="1110"/>
        <v>0</v>
      </c>
      <c r="DR194" s="2">
        <f t="shared" si="1110"/>
        <v>0</v>
      </c>
      <c r="DS194" s="2">
        <f t="shared" si="1110"/>
        <v>0</v>
      </c>
      <c r="DT194" s="2">
        <f t="shared" si="1110"/>
        <v>0</v>
      </c>
      <c r="DU194" s="2"/>
      <c r="DV194" s="2"/>
      <c r="DW194" s="2"/>
      <c r="DX194" s="2">
        <f t="shared" ca="1" si="1111"/>
        <v>0</v>
      </c>
      <c r="DY194" s="46"/>
      <c r="DZ194" s="2">
        <f t="shared" si="1112"/>
        <v>4947.6188000000002</v>
      </c>
      <c r="EA194" s="2">
        <f t="shared" si="1113"/>
        <v>4947.6188000000002</v>
      </c>
      <c r="EB194" s="46"/>
      <c r="EC194" s="2"/>
      <c r="ED194" s="2"/>
      <c r="EE194" s="46"/>
      <c r="EF194" s="2"/>
      <c r="EG194" s="46"/>
      <c r="EH194" s="46"/>
      <c r="EI194" s="2">
        <f t="shared" si="794"/>
        <v>4947.6188000000002</v>
      </c>
      <c r="EJ194" s="2"/>
      <c r="EK194" s="198">
        <f t="shared" si="814"/>
        <v>4947.6188000000002</v>
      </c>
      <c r="EL194" s="446">
        <v>1540.41533</v>
      </c>
      <c r="EM194" s="446">
        <v>3407.2034699999999</v>
      </c>
      <c r="EN194" s="2"/>
      <c r="EO194" s="234"/>
      <c r="EP194" s="2">
        <f t="shared" si="795"/>
        <v>779.1454</v>
      </c>
      <c r="EQ194" s="2"/>
      <c r="ER194" s="2">
        <f t="shared" si="815"/>
        <v>779.1454</v>
      </c>
      <c r="ES194" s="2">
        <f>64.65494+47.61281+20.11471+42.67247+45.97664+21.55124</f>
        <v>242.58281000000002</v>
      </c>
      <c r="ET194" s="2">
        <v>536.56259</v>
      </c>
      <c r="EU194" s="2"/>
      <c r="EV194" s="141"/>
      <c r="EW194" s="310"/>
      <c r="EX194" s="310"/>
      <c r="EY194" s="310"/>
      <c r="EZ194" s="396"/>
      <c r="FA194" s="396"/>
      <c r="FB194" s="310"/>
      <c r="FC194" s="310"/>
      <c r="FD194" s="310"/>
      <c r="FE194" s="396"/>
      <c r="FF194" s="396"/>
      <c r="FG194" s="396"/>
      <c r="FH194" s="311"/>
      <c r="FI194" s="310"/>
      <c r="FJ194" s="296" t="e">
        <f t="shared" si="1114"/>
        <v>#DIV/0!</v>
      </c>
      <c r="FK194" s="353">
        <f t="shared" si="817"/>
        <v>5997.2999999999993</v>
      </c>
      <c r="FL194" s="353">
        <f t="shared" si="1127"/>
        <v>5997.2999999999993</v>
      </c>
      <c r="FM194" s="353"/>
      <c r="FN194" s="388">
        <f t="shared" si="1115"/>
        <v>1</v>
      </c>
      <c r="FO194" s="388">
        <f t="shared" si="1116"/>
        <v>0</v>
      </c>
      <c r="FP194" s="353">
        <f t="shared" si="818"/>
        <v>5726.7642000000005</v>
      </c>
      <c r="FQ194" s="353">
        <f t="shared" si="1117"/>
        <v>4947.6188000000002</v>
      </c>
      <c r="FR194" s="353">
        <f t="shared" si="1118"/>
        <v>779.1454</v>
      </c>
      <c r="FS194" s="388">
        <f t="shared" si="1119"/>
        <v>0.86394665944164417</v>
      </c>
      <c r="FT194" s="388">
        <f t="shared" si="1120"/>
        <v>0.13605334055835577</v>
      </c>
      <c r="FU194" s="388"/>
      <c r="FV194" s="353">
        <f t="shared" si="1121"/>
        <v>5726.7642000000005</v>
      </c>
      <c r="FW194" s="353">
        <f t="shared" si="819"/>
        <v>-779.14540000000034</v>
      </c>
      <c r="FX194" s="310"/>
      <c r="FY194" s="310"/>
      <c r="FZ194" s="310"/>
      <c r="GA194" s="396"/>
      <c r="GB194" s="396"/>
      <c r="GC194" s="310"/>
      <c r="GD194" s="310"/>
      <c r="GE194" s="310"/>
      <c r="GF194" s="396"/>
      <c r="GG194" s="396"/>
      <c r="GH194" s="396"/>
      <c r="GI194" s="311"/>
      <c r="GJ194" s="344"/>
      <c r="GK194" s="303">
        <f t="shared" si="796"/>
        <v>0.8249743718006437</v>
      </c>
    </row>
    <row r="195" spans="2:193" s="37" customFormat="1" ht="15.6" customHeight="1" x14ac:dyDescent="0.25">
      <c r="B195" s="29"/>
      <c r="C195" s="30"/>
      <c r="D195" s="30">
        <v>1</v>
      </c>
      <c r="E195" s="493">
        <v>163</v>
      </c>
      <c r="F195" s="29"/>
      <c r="G195" s="30"/>
      <c r="H195" s="30">
        <v>1</v>
      </c>
      <c r="I195" s="493"/>
      <c r="J195" s="494"/>
      <c r="K195" s="494"/>
      <c r="L195" s="53"/>
      <c r="M195" s="493">
        <v>140</v>
      </c>
      <c r="N195" s="494" t="s">
        <v>231</v>
      </c>
      <c r="O195" s="494"/>
      <c r="P195" s="494">
        <f t="shared" si="816"/>
        <v>0</v>
      </c>
      <c r="Q195" s="494" t="s">
        <v>701</v>
      </c>
      <c r="R195" s="469" t="s">
        <v>699</v>
      </c>
      <c r="S195" s="494" t="s">
        <v>572</v>
      </c>
      <c r="T195" s="156">
        <v>2</v>
      </c>
      <c r="U195" s="493">
        <v>3</v>
      </c>
      <c r="V195" s="2">
        <f t="shared" si="797"/>
        <v>1843.3999999999999</v>
      </c>
      <c r="W195" s="2"/>
      <c r="X195" s="198">
        <f t="shared" si="1031"/>
        <v>1843.3999999999999</v>
      </c>
      <c r="Y195" s="198">
        <v>580.79999999999995</v>
      </c>
      <c r="Z195" s="42">
        <v>1262.5999999999999</v>
      </c>
      <c r="AA195" s="2"/>
      <c r="AB195" s="567">
        <f t="shared" si="1096"/>
        <v>1843.3999999999999</v>
      </c>
      <c r="AC195" s="567"/>
      <c r="AD195" s="568">
        <f t="shared" si="1032"/>
        <v>1843.3999999999999</v>
      </c>
      <c r="AE195" s="568">
        <v>580.79999999999995</v>
      </c>
      <c r="AF195" s="569">
        <v>1262.5999999999999</v>
      </c>
      <c r="AG195" s="567"/>
      <c r="AH195" s="570"/>
      <c r="AI195" s="567"/>
      <c r="AJ195" s="567"/>
      <c r="AK195" s="568"/>
      <c r="AL195" s="567"/>
      <c r="AM195" s="570"/>
      <c r="AN195" s="567"/>
      <c r="AO195" s="567"/>
      <c r="AP195" s="568"/>
      <c r="AQ195" s="567"/>
      <c r="AR195" s="570"/>
      <c r="AS195" s="567"/>
      <c r="AT195" s="567"/>
      <c r="AU195" s="568"/>
      <c r="AV195" s="567"/>
      <c r="AW195" s="604"/>
      <c r="AX195" s="410" t="s">
        <v>677</v>
      </c>
      <c r="AY195" s="567">
        <f t="shared" si="1097"/>
        <v>1843.3999999999999</v>
      </c>
      <c r="AZ195" s="567"/>
      <c r="BA195" s="568">
        <f t="shared" si="1098"/>
        <v>1843.3999999999999</v>
      </c>
      <c r="BB195" s="568">
        <v>580.79999999999995</v>
      </c>
      <c r="BC195" s="569">
        <v>1262.5999999999999</v>
      </c>
      <c r="BD195" s="567"/>
      <c r="BE195" s="570"/>
      <c r="BF195" s="567">
        <f t="shared" si="798"/>
        <v>0</v>
      </c>
      <c r="BG195" s="567">
        <f t="shared" si="799"/>
        <v>0</v>
      </c>
      <c r="BH195" s="567">
        <f t="shared" si="800"/>
        <v>0</v>
      </c>
      <c r="BI195" s="567">
        <f t="shared" si="801"/>
        <v>0</v>
      </c>
      <c r="BJ195" s="567">
        <f t="shared" si="802"/>
        <v>0</v>
      </c>
      <c r="BK195" s="567">
        <f t="shared" si="803"/>
        <v>0</v>
      </c>
      <c r="BL195" s="567" t="e">
        <f>#REF!-BE195</f>
        <v>#REF!</v>
      </c>
      <c r="BM195" s="567">
        <f t="shared" si="1099"/>
        <v>1935.925</v>
      </c>
      <c r="BN195" s="567"/>
      <c r="BO195" s="568">
        <f>259+336.7</f>
        <v>595.70000000000005</v>
      </c>
      <c r="BP195" s="567">
        <v>1340.2249999999999</v>
      </c>
      <c r="BQ195" s="570"/>
      <c r="BR195" s="567">
        <f t="shared" si="1100"/>
        <v>0</v>
      </c>
      <c r="BS195" s="567"/>
      <c r="BT195" s="568"/>
      <c r="BU195" s="567"/>
      <c r="BV195" s="570"/>
      <c r="BW195" s="567">
        <f t="shared" si="1101"/>
        <v>1843.3999999999999</v>
      </c>
      <c r="BX195" s="567"/>
      <c r="BY195" s="568">
        <f t="shared" si="804"/>
        <v>1843.3999999999999</v>
      </c>
      <c r="BZ195" s="571">
        <f>463.72923+117.07077</f>
        <v>580.79999999999995</v>
      </c>
      <c r="CA195" s="571">
        <f>255.88197+1006.71803</f>
        <v>1262.5999999999999</v>
      </c>
      <c r="CB195" s="567"/>
      <c r="CC195" s="577"/>
      <c r="CD195" s="567">
        <f t="shared" si="1102"/>
        <v>1843.3999999999999</v>
      </c>
      <c r="CE195" s="567"/>
      <c r="CF195" s="568">
        <f t="shared" si="805"/>
        <v>1843.3999999999999</v>
      </c>
      <c r="CG195" s="571">
        <f>463.72923+117.07077</f>
        <v>580.79999999999995</v>
      </c>
      <c r="CH195" s="571">
        <f>255.88197+1006.71803</f>
        <v>1262.5999999999999</v>
      </c>
      <c r="CI195" s="567"/>
      <c r="CJ195" s="570"/>
      <c r="CK195" s="567">
        <f t="shared" si="1103"/>
        <v>280.92140000000001</v>
      </c>
      <c r="CL195" s="567"/>
      <c r="CM195" s="567">
        <v>280.92140000000001</v>
      </c>
      <c r="CN195" s="567">
        <f>124.03607+31.31353</f>
        <v>155.34960000000001</v>
      </c>
      <c r="CO195" s="567">
        <f>25.44872</f>
        <v>25.448720000000002</v>
      </c>
      <c r="CP195" s="567"/>
      <c r="CQ195" s="567"/>
      <c r="CR195" s="573">
        <f t="shared" si="1104"/>
        <v>2124.3213999999998</v>
      </c>
      <c r="CS195" s="567">
        <f t="shared" si="807"/>
        <v>2124.3213999999998</v>
      </c>
      <c r="CT195" s="567">
        <f t="shared" si="808"/>
        <v>0</v>
      </c>
      <c r="CU195" s="567">
        <f t="shared" si="809"/>
        <v>2124.3213999999998</v>
      </c>
      <c r="CV195" s="567">
        <f t="shared" si="810"/>
        <v>0</v>
      </c>
      <c r="CW195" s="567">
        <f t="shared" si="1105"/>
        <v>0</v>
      </c>
      <c r="CX195" s="567">
        <f t="shared" ca="1" si="899"/>
        <v>0</v>
      </c>
      <c r="CY195" s="567">
        <f t="shared" si="811"/>
        <v>0</v>
      </c>
      <c r="CZ195" s="567">
        <f t="shared" si="812"/>
        <v>0</v>
      </c>
      <c r="DA195" s="567">
        <f t="shared" si="813"/>
        <v>0</v>
      </c>
      <c r="DB195" s="2">
        <f t="shared" si="1106"/>
        <v>0</v>
      </c>
      <c r="DC195" s="76"/>
      <c r="DD195" s="253"/>
      <c r="DE195" s="253"/>
      <c r="DF195" s="2">
        <f t="shared" si="1107"/>
        <v>0</v>
      </c>
      <c r="DG195" s="2"/>
      <c r="DH195" s="198"/>
      <c r="DI195" s="2"/>
      <c r="DJ195" s="234"/>
      <c r="DK195" s="2">
        <f t="shared" si="1108"/>
        <v>0</v>
      </c>
      <c r="DL195" s="2"/>
      <c r="DM195" s="198"/>
      <c r="DN195" s="2"/>
      <c r="DO195" s="234"/>
      <c r="DP195" s="2">
        <f t="shared" si="1109"/>
        <v>0</v>
      </c>
      <c r="DQ195" s="2">
        <f t="shared" si="1110"/>
        <v>0</v>
      </c>
      <c r="DR195" s="2">
        <f t="shared" si="1110"/>
        <v>0</v>
      </c>
      <c r="DS195" s="2">
        <f t="shared" si="1110"/>
        <v>0</v>
      </c>
      <c r="DT195" s="2">
        <f t="shared" si="1110"/>
        <v>0</v>
      </c>
      <c r="DU195" s="2"/>
      <c r="DV195" s="2"/>
      <c r="DW195" s="2"/>
      <c r="DX195" s="2">
        <f t="shared" ca="1" si="1111"/>
        <v>0</v>
      </c>
      <c r="DY195" s="46"/>
      <c r="DZ195" s="2">
        <f t="shared" si="1112"/>
        <v>1843.3999999999999</v>
      </c>
      <c r="EA195" s="2">
        <f t="shared" si="1113"/>
        <v>1843.3999999999999</v>
      </c>
      <c r="EB195" s="46"/>
      <c r="EC195" s="2"/>
      <c r="ED195" s="2"/>
      <c r="EE195" s="46"/>
      <c r="EF195" s="2"/>
      <c r="EG195" s="46"/>
      <c r="EH195" s="46"/>
      <c r="EI195" s="2">
        <f t="shared" si="794"/>
        <v>1843.3999999999999</v>
      </c>
      <c r="EJ195" s="2"/>
      <c r="EK195" s="198">
        <f t="shared" si="814"/>
        <v>1843.3999999999999</v>
      </c>
      <c r="EL195" s="446">
        <f>463.72923+117.07077</f>
        <v>580.79999999999995</v>
      </c>
      <c r="EM195" s="446">
        <f>255.88197+1006.71803</f>
        <v>1262.5999999999999</v>
      </c>
      <c r="EN195" s="2"/>
      <c r="EO195" s="234"/>
      <c r="EP195" s="2">
        <f t="shared" si="795"/>
        <v>280.92140000000001</v>
      </c>
      <c r="EQ195" s="2"/>
      <c r="ER195" s="2">
        <v>280.92140000000001</v>
      </c>
      <c r="ES195" s="2">
        <f>124.03607+31.31353</f>
        <v>155.34960000000001</v>
      </c>
      <c r="ET195" s="2">
        <f>100.12308+25.44872</f>
        <v>125.5718</v>
      </c>
      <c r="EU195" s="2"/>
      <c r="EV195" s="141"/>
      <c r="EW195" s="310"/>
      <c r="EX195" s="310"/>
      <c r="EY195" s="310"/>
      <c r="EZ195" s="396"/>
      <c r="FA195" s="396"/>
      <c r="FB195" s="310"/>
      <c r="FC195" s="310"/>
      <c r="FD195" s="310"/>
      <c r="FE195" s="396"/>
      <c r="FF195" s="396"/>
      <c r="FG195" s="396"/>
      <c r="FH195" s="311"/>
      <c r="FI195" s="310"/>
      <c r="FJ195" s="296" t="e">
        <f t="shared" si="1114"/>
        <v>#DIV/0!</v>
      </c>
      <c r="FK195" s="353">
        <f t="shared" si="817"/>
        <v>1843.3999999999999</v>
      </c>
      <c r="FL195" s="353">
        <f t="shared" si="1127"/>
        <v>1843.3999999999999</v>
      </c>
      <c r="FM195" s="353"/>
      <c r="FN195" s="388">
        <f t="shared" si="1115"/>
        <v>1</v>
      </c>
      <c r="FO195" s="388">
        <f t="shared" si="1116"/>
        <v>0</v>
      </c>
      <c r="FP195" s="353">
        <f t="shared" si="818"/>
        <v>2124.3213999999998</v>
      </c>
      <c r="FQ195" s="353">
        <f t="shared" si="1117"/>
        <v>1843.3999999999999</v>
      </c>
      <c r="FR195" s="353">
        <f t="shared" si="1118"/>
        <v>280.92140000000001</v>
      </c>
      <c r="FS195" s="388">
        <f t="shared" si="1119"/>
        <v>0.86775946426938977</v>
      </c>
      <c r="FT195" s="388">
        <f t="shared" si="1120"/>
        <v>0.13224053573061026</v>
      </c>
      <c r="FU195" s="388"/>
      <c r="FV195" s="353">
        <f t="shared" si="1121"/>
        <v>2124.3213999999998</v>
      </c>
      <c r="FW195" s="353">
        <f t="shared" si="819"/>
        <v>-280.92139999999995</v>
      </c>
      <c r="FX195" s="310">
        <f t="shared" si="1122"/>
        <v>0</v>
      </c>
      <c r="FY195" s="310">
        <f>BD195</f>
        <v>0</v>
      </c>
      <c r="FZ195" s="310"/>
      <c r="GA195" s="396" t="e">
        <f t="shared" si="1123"/>
        <v>#DIV/0!</v>
      </c>
      <c r="GB195" s="396" t="e">
        <f t="shared" si="1124"/>
        <v>#DIV/0!</v>
      </c>
      <c r="GC195" s="310">
        <f t="shared" si="847"/>
        <v>0</v>
      </c>
      <c r="GD195" s="310">
        <f t="shared" si="900"/>
        <v>0</v>
      </c>
      <c r="GE195" s="310">
        <f t="shared" si="901"/>
        <v>0</v>
      </c>
      <c r="GF195" s="396" t="e">
        <f t="shared" si="1125"/>
        <v>#DIV/0!</v>
      </c>
      <c r="GG195" s="396" t="e">
        <f t="shared" si="1126"/>
        <v>#DIV/0!</v>
      </c>
      <c r="GH195" s="396"/>
      <c r="GI195" s="311" t="e">
        <f t="shared" si="1095"/>
        <v>#DIV/0!</v>
      </c>
      <c r="GJ195" s="344" t="e">
        <f t="shared" si="848"/>
        <v>#DIV/0!</v>
      </c>
      <c r="GK195" s="303">
        <f t="shared" si="796"/>
        <v>1</v>
      </c>
    </row>
    <row r="196" spans="2:193" s="37" customFormat="1" ht="15.75" customHeight="1" x14ac:dyDescent="0.25">
      <c r="B196" s="29"/>
      <c r="C196" s="30"/>
      <c r="D196" s="30">
        <v>1</v>
      </c>
      <c r="E196" s="493">
        <v>164</v>
      </c>
      <c r="F196" s="29"/>
      <c r="G196" s="30"/>
      <c r="H196" s="30">
        <v>1</v>
      </c>
      <c r="I196" s="493"/>
      <c r="J196" s="494"/>
      <c r="K196" s="494"/>
      <c r="L196" s="53"/>
      <c r="M196" s="493">
        <v>141</v>
      </c>
      <c r="N196" s="494" t="s">
        <v>139</v>
      </c>
      <c r="O196" s="494"/>
      <c r="P196" s="494">
        <f t="shared" si="816"/>
        <v>0</v>
      </c>
      <c r="Q196" s="494"/>
      <c r="R196" s="494"/>
      <c r="S196" s="494" t="s">
        <v>584</v>
      </c>
      <c r="T196" s="156">
        <v>2</v>
      </c>
      <c r="U196" s="493"/>
      <c r="V196" s="2">
        <f t="shared" si="797"/>
        <v>5075.7</v>
      </c>
      <c r="W196" s="2"/>
      <c r="X196" s="198">
        <f t="shared" si="1031"/>
        <v>5075.7</v>
      </c>
      <c r="Y196" s="198">
        <v>1599.2</v>
      </c>
      <c r="Z196" s="42">
        <v>3476.5</v>
      </c>
      <c r="AA196" s="2"/>
      <c r="AB196" s="567">
        <f t="shared" si="1096"/>
        <v>5075.7</v>
      </c>
      <c r="AC196" s="567"/>
      <c r="AD196" s="568">
        <f t="shared" si="1032"/>
        <v>5075.7</v>
      </c>
      <c r="AE196" s="568">
        <v>1599.2</v>
      </c>
      <c r="AF196" s="569">
        <v>3476.5</v>
      </c>
      <c r="AG196" s="567"/>
      <c r="AH196" s="570"/>
      <c r="AI196" s="567"/>
      <c r="AJ196" s="567"/>
      <c r="AK196" s="568"/>
      <c r="AL196" s="567"/>
      <c r="AM196" s="570"/>
      <c r="AN196" s="567"/>
      <c r="AO196" s="567"/>
      <c r="AP196" s="568"/>
      <c r="AQ196" s="567"/>
      <c r="AR196" s="570"/>
      <c r="AS196" s="567"/>
      <c r="AT196" s="567"/>
      <c r="AU196" s="568"/>
      <c r="AV196" s="567"/>
      <c r="AW196" s="604"/>
      <c r="AX196" s="410" t="s">
        <v>442</v>
      </c>
      <c r="AY196" s="567">
        <f t="shared" si="1097"/>
        <v>5075.7</v>
      </c>
      <c r="AZ196" s="567"/>
      <c r="BA196" s="578">
        <f t="shared" si="1098"/>
        <v>5075.7</v>
      </c>
      <c r="BB196" s="568">
        <v>1599.2</v>
      </c>
      <c r="BC196" s="569">
        <v>3476.5</v>
      </c>
      <c r="BD196" s="567"/>
      <c r="BE196" s="567"/>
      <c r="BF196" s="567">
        <f t="shared" si="798"/>
        <v>0</v>
      </c>
      <c r="BG196" s="567">
        <f t="shared" si="799"/>
        <v>0</v>
      </c>
      <c r="BH196" s="567">
        <f t="shared" si="800"/>
        <v>0</v>
      </c>
      <c r="BI196" s="567">
        <f t="shared" si="801"/>
        <v>0</v>
      </c>
      <c r="BJ196" s="567">
        <f t="shared" si="802"/>
        <v>0</v>
      </c>
      <c r="BK196" s="567">
        <f t="shared" si="803"/>
        <v>0</v>
      </c>
      <c r="BL196" s="567" t="e">
        <f>#REF!-BE196</f>
        <v>#REF!</v>
      </c>
      <c r="BM196" s="567">
        <f t="shared" si="1099"/>
        <v>1637.6</v>
      </c>
      <c r="BN196" s="567"/>
      <c r="BO196" s="568">
        <v>1637.6</v>
      </c>
      <c r="BP196" s="567"/>
      <c r="BQ196" s="567"/>
      <c r="BR196" s="567">
        <f t="shared" si="1100"/>
        <v>0</v>
      </c>
      <c r="BS196" s="567"/>
      <c r="BT196" s="568"/>
      <c r="BU196" s="567"/>
      <c r="BV196" s="567"/>
      <c r="BW196" s="567">
        <f t="shared" si="1101"/>
        <v>5067.7039999999997</v>
      </c>
      <c r="BX196" s="567"/>
      <c r="BY196" s="568">
        <f t="shared" si="804"/>
        <v>5067.7039999999997</v>
      </c>
      <c r="BZ196" s="571">
        <v>1591.204</v>
      </c>
      <c r="CA196" s="571">
        <v>3476.5</v>
      </c>
      <c r="CB196" s="567"/>
      <c r="CC196" s="567"/>
      <c r="CD196" s="567">
        <f t="shared" si="1102"/>
        <v>5067.7039999999997</v>
      </c>
      <c r="CE196" s="567"/>
      <c r="CF196" s="568">
        <f t="shared" si="805"/>
        <v>5067.7039999999997</v>
      </c>
      <c r="CG196" s="571">
        <v>1591.204</v>
      </c>
      <c r="CH196" s="571">
        <v>3476.5</v>
      </c>
      <c r="CI196" s="567"/>
      <c r="CJ196" s="567"/>
      <c r="CK196" s="567">
        <f t="shared" si="1103"/>
        <v>938.54013999999995</v>
      </c>
      <c r="CL196" s="567"/>
      <c r="CM196" s="568">
        <v>938.54013999999995</v>
      </c>
      <c r="CN196" s="569"/>
      <c r="CO196" s="569"/>
      <c r="CP196" s="567"/>
      <c r="CQ196" s="567"/>
      <c r="CR196" s="573">
        <f t="shared" si="1104"/>
        <v>6006.2441399999998</v>
      </c>
      <c r="CS196" s="567">
        <f t="shared" si="807"/>
        <v>6006.2441399999998</v>
      </c>
      <c r="CT196" s="567">
        <f t="shared" si="808"/>
        <v>0</v>
      </c>
      <c r="CU196" s="567">
        <f t="shared" si="809"/>
        <v>6006.2441399999998</v>
      </c>
      <c r="CV196" s="567">
        <f t="shared" si="810"/>
        <v>0</v>
      </c>
      <c r="CW196" s="567">
        <f t="shared" si="1105"/>
        <v>0</v>
      </c>
      <c r="CX196" s="567">
        <f t="shared" ca="1" si="899"/>
        <v>0</v>
      </c>
      <c r="CY196" s="567">
        <f t="shared" si="811"/>
        <v>0</v>
      </c>
      <c r="CZ196" s="567">
        <f t="shared" si="812"/>
        <v>0</v>
      </c>
      <c r="DA196" s="567">
        <f t="shared" si="813"/>
        <v>0</v>
      </c>
      <c r="DB196" s="2">
        <f t="shared" si="1106"/>
        <v>0</v>
      </c>
      <c r="DC196" s="76"/>
      <c r="DD196" s="253"/>
      <c r="DE196" s="253"/>
      <c r="DF196" s="2">
        <f t="shared" si="1107"/>
        <v>0</v>
      </c>
      <c r="DG196" s="2"/>
      <c r="DH196" s="198"/>
      <c r="DI196" s="2"/>
      <c r="DJ196" s="2"/>
      <c r="DK196" s="2">
        <f t="shared" si="1108"/>
        <v>0</v>
      </c>
      <c r="DL196" s="2"/>
      <c r="DM196" s="198"/>
      <c r="DN196" s="2"/>
      <c r="DO196" s="2"/>
      <c r="DP196" s="2">
        <f t="shared" si="1109"/>
        <v>0</v>
      </c>
      <c r="DQ196" s="2">
        <f t="shared" si="1110"/>
        <v>0</v>
      </c>
      <c r="DR196" s="2">
        <f t="shared" si="1110"/>
        <v>0</v>
      </c>
      <c r="DS196" s="2">
        <f t="shared" si="1110"/>
        <v>0</v>
      </c>
      <c r="DT196" s="2">
        <f t="shared" si="1110"/>
        <v>0</v>
      </c>
      <c r="DU196" s="2"/>
      <c r="DV196" s="2"/>
      <c r="DW196" s="2"/>
      <c r="DX196" s="2">
        <f t="shared" ca="1" si="1111"/>
        <v>0</v>
      </c>
      <c r="DY196" s="46"/>
      <c r="DZ196" s="2">
        <f t="shared" si="1112"/>
        <v>5067.7039999999997</v>
      </c>
      <c r="EA196" s="2">
        <f t="shared" si="1113"/>
        <v>5067.7039999999997</v>
      </c>
      <c r="EB196" s="46"/>
      <c r="EC196" s="2"/>
      <c r="ED196" s="2"/>
      <c r="EE196" s="46"/>
      <c r="EF196" s="2"/>
      <c r="EG196" s="46"/>
      <c r="EH196" s="46"/>
      <c r="EI196" s="2">
        <f t="shared" si="794"/>
        <v>5067.7039999999997</v>
      </c>
      <c r="EJ196" s="2"/>
      <c r="EK196" s="198">
        <f t="shared" si="814"/>
        <v>5067.7039999999997</v>
      </c>
      <c r="EL196" s="446">
        <v>1591.204</v>
      </c>
      <c r="EM196" s="446">
        <v>3476.5</v>
      </c>
      <c r="EN196" s="2"/>
      <c r="EO196" s="2"/>
      <c r="EP196" s="2">
        <f t="shared" si="795"/>
        <v>938.54013999999995</v>
      </c>
      <c r="EQ196" s="2"/>
      <c r="ER196" s="198">
        <v>938.54013999999995</v>
      </c>
      <c r="ES196" s="42">
        <v>294.69013999999999</v>
      </c>
      <c r="ET196" s="42">
        <v>643.85</v>
      </c>
      <c r="EU196" s="2"/>
      <c r="EV196" s="141"/>
      <c r="EW196" s="310"/>
      <c r="EX196" s="310"/>
      <c r="EY196" s="317"/>
      <c r="EZ196" s="396"/>
      <c r="FA196" s="396"/>
      <c r="FB196" s="310"/>
      <c r="FC196" s="310"/>
      <c r="FD196" s="317"/>
      <c r="FE196" s="396"/>
      <c r="FF196" s="396"/>
      <c r="FG196" s="396"/>
      <c r="FH196" s="311"/>
      <c r="FI196" s="310"/>
      <c r="FJ196" s="296" t="e">
        <f t="shared" si="1114"/>
        <v>#DIV/0!</v>
      </c>
      <c r="FK196" s="353">
        <f t="shared" si="817"/>
        <v>5075.7</v>
      </c>
      <c r="FL196" s="353">
        <f t="shared" si="1127"/>
        <v>5075.7</v>
      </c>
      <c r="FM196" s="358"/>
      <c r="FN196" s="388">
        <f t="shared" si="1115"/>
        <v>1</v>
      </c>
      <c r="FO196" s="388">
        <f t="shared" si="1116"/>
        <v>0</v>
      </c>
      <c r="FP196" s="353">
        <f t="shared" si="818"/>
        <v>6006.2441399999998</v>
      </c>
      <c r="FQ196" s="353">
        <f t="shared" si="1117"/>
        <v>5067.7039999999997</v>
      </c>
      <c r="FR196" s="358">
        <f t="shared" si="1118"/>
        <v>938.54013999999995</v>
      </c>
      <c r="FS196" s="388">
        <f t="shared" si="1119"/>
        <v>0.84373926232042906</v>
      </c>
      <c r="FT196" s="388">
        <f t="shared" si="1120"/>
        <v>0.15626073767957091</v>
      </c>
      <c r="FU196" s="388"/>
      <c r="FV196" s="353">
        <f t="shared" si="1121"/>
        <v>6006.2441399999998</v>
      </c>
      <c r="FW196" s="353">
        <f t="shared" si="819"/>
        <v>-938.54014000000006</v>
      </c>
      <c r="FX196" s="310"/>
      <c r="FY196" s="310"/>
      <c r="FZ196" s="317"/>
      <c r="GA196" s="396"/>
      <c r="GB196" s="396"/>
      <c r="GC196" s="310"/>
      <c r="GD196" s="310"/>
      <c r="GE196" s="317"/>
      <c r="GF196" s="396"/>
      <c r="GG196" s="396"/>
      <c r="GH196" s="396"/>
      <c r="GI196" s="311"/>
      <c r="GJ196" s="344"/>
      <c r="GK196" s="303">
        <f t="shared" si="796"/>
        <v>0.99842465078708353</v>
      </c>
    </row>
    <row r="197" spans="2:193" s="115" customFormat="1" ht="15.6" customHeight="1" x14ac:dyDescent="0.25">
      <c r="B197" s="109"/>
      <c r="C197" s="110"/>
      <c r="D197" s="110"/>
      <c r="E197" s="111"/>
      <c r="F197" s="109"/>
      <c r="G197" s="110"/>
      <c r="H197" s="110"/>
      <c r="I197" s="111"/>
      <c r="J197" s="112"/>
      <c r="K197" s="112"/>
      <c r="L197" s="113"/>
      <c r="M197" s="111"/>
      <c r="N197" s="114" t="s">
        <v>14</v>
      </c>
      <c r="O197" s="114"/>
      <c r="P197" s="114">
        <f t="shared" si="816"/>
        <v>0</v>
      </c>
      <c r="Q197" s="114"/>
      <c r="R197" s="114"/>
      <c r="S197" s="114"/>
      <c r="T197" s="158">
        <f t="shared" ref="T197:AH197" si="1147">SUM(T198:T204)-T199</f>
        <v>13</v>
      </c>
      <c r="U197" s="158">
        <f>U198+U199+U200+U201+U202+U203+U204</f>
        <v>1</v>
      </c>
      <c r="V197" s="57">
        <f t="shared" si="797"/>
        <v>33235.925000000003</v>
      </c>
      <c r="W197" s="57">
        <f t="shared" ref="W197:AA197" si="1148">SUM(W198:W204)-W199</f>
        <v>0</v>
      </c>
      <c r="X197" s="57">
        <f t="shared" si="1148"/>
        <v>15726.1</v>
      </c>
      <c r="Y197" s="57">
        <f t="shared" si="1148"/>
        <v>4954.8</v>
      </c>
      <c r="Z197" s="57">
        <f t="shared" si="1148"/>
        <v>10771.300000000001</v>
      </c>
      <c r="AA197" s="57">
        <f t="shared" si="1148"/>
        <v>17509.825000000001</v>
      </c>
      <c r="AB197" s="564">
        <f t="shared" si="1147"/>
        <v>33235.924999999996</v>
      </c>
      <c r="AC197" s="564">
        <f t="shared" si="1147"/>
        <v>0</v>
      </c>
      <c r="AD197" s="564">
        <f t="shared" si="1147"/>
        <v>15726.1</v>
      </c>
      <c r="AE197" s="564">
        <f t="shared" si="1147"/>
        <v>4954.8</v>
      </c>
      <c r="AF197" s="564">
        <f t="shared" si="1147"/>
        <v>10771.300000000001</v>
      </c>
      <c r="AG197" s="564">
        <f t="shared" si="1147"/>
        <v>17509.825000000001</v>
      </c>
      <c r="AH197" s="564">
        <f t="shared" si="1147"/>
        <v>0</v>
      </c>
      <c r="AI197" s="564">
        <f t="shared" ref="AI197:AM197" si="1149">SUM(AI198:AI204)-AI199</f>
        <v>4903.6000000000004</v>
      </c>
      <c r="AJ197" s="564">
        <f t="shared" si="1149"/>
        <v>0</v>
      </c>
      <c r="AK197" s="564">
        <f t="shared" si="1149"/>
        <v>4903.6000000000004</v>
      </c>
      <c r="AL197" s="564">
        <f t="shared" si="1149"/>
        <v>0</v>
      </c>
      <c r="AM197" s="564">
        <f t="shared" si="1149"/>
        <v>0</v>
      </c>
      <c r="AN197" s="564">
        <f t="shared" ref="AN197:AR197" si="1150">SUM(AN198:AN204)-AN199</f>
        <v>4903.6000000000004</v>
      </c>
      <c r="AO197" s="564">
        <f t="shared" si="1150"/>
        <v>0</v>
      </c>
      <c r="AP197" s="564">
        <f t="shared" si="1150"/>
        <v>4903.6000000000004</v>
      </c>
      <c r="AQ197" s="564">
        <f t="shared" si="1150"/>
        <v>0</v>
      </c>
      <c r="AR197" s="564">
        <f t="shared" si="1150"/>
        <v>0</v>
      </c>
      <c r="AS197" s="566">
        <f t="shared" ref="AS197:AW197" si="1151">SUM(AS198:AS204)-AS199</f>
        <v>2132</v>
      </c>
      <c r="AT197" s="564">
        <f t="shared" si="1151"/>
        <v>0</v>
      </c>
      <c r="AU197" s="564">
        <f t="shared" si="1151"/>
        <v>2132</v>
      </c>
      <c r="AV197" s="564">
        <f t="shared" si="1151"/>
        <v>0</v>
      </c>
      <c r="AW197" s="564">
        <f t="shared" si="1151"/>
        <v>0</v>
      </c>
      <c r="AX197" s="565"/>
      <c r="AY197" s="564">
        <f t="shared" ref="AY197:BD197" si="1152">SUM(AY198:AY204)-AY199</f>
        <v>33012.463519999998</v>
      </c>
      <c r="AZ197" s="564">
        <f t="shared" si="1152"/>
        <v>0</v>
      </c>
      <c r="BA197" s="564">
        <f t="shared" si="1152"/>
        <v>15502.638999999999</v>
      </c>
      <c r="BB197" s="564">
        <f t="shared" ref="BB197:BC197" si="1153">SUM(BB198:BB204)-BB199</f>
        <v>4731.3389999999999</v>
      </c>
      <c r="BC197" s="564">
        <f t="shared" si="1153"/>
        <v>10771.300000000001</v>
      </c>
      <c r="BD197" s="564">
        <f t="shared" si="1152"/>
        <v>17509.824520000002</v>
      </c>
      <c r="BE197" s="564">
        <f>SUM(BE198:BE204)-BE199</f>
        <v>0</v>
      </c>
      <c r="BF197" s="564">
        <f t="shared" si="798"/>
        <v>223.46147999999903</v>
      </c>
      <c r="BG197" s="564">
        <f t="shared" si="799"/>
        <v>0</v>
      </c>
      <c r="BH197" s="564">
        <f t="shared" si="800"/>
        <v>223.46100000000024</v>
      </c>
      <c r="BI197" s="564">
        <f t="shared" si="801"/>
        <v>223.46100000000024</v>
      </c>
      <c r="BJ197" s="564">
        <f t="shared" si="802"/>
        <v>0</v>
      </c>
      <c r="BK197" s="564">
        <f t="shared" si="803"/>
        <v>4.799999987881165E-4</v>
      </c>
      <c r="BL197" s="564" t="e">
        <f t="shared" ref="BL197:BQ197" si="1154">SUM(BL198:BL204)-BL199</f>
        <v>#REF!</v>
      </c>
      <c r="BM197" s="564">
        <f t="shared" si="1154"/>
        <v>4859.8159999999998</v>
      </c>
      <c r="BN197" s="564">
        <f t="shared" si="1154"/>
        <v>0</v>
      </c>
      <c r="BO197" s="564">
        <f t="shared" si="1154"/>
        <v>4859.8159999999998</v>
      </c>
      <c r="BP197" s="564">
        <f t="shared" si="1154"/>
        <v>0</v>
      </c>
      <c r="BQ197" s="564">
        <f t="shared" si="1154"/>
        <v>0</v>
      </c>
      <c r="BR197" s="564">
        <f t="shared" ref="BR197:DB197" si="1155">SUM(BR198:BR204)-BR199</f>
        <v>0</v>
      </c>
      <c r="BS197" s="564">
        <f t="shared" si="1155"/>
        <v>0</v>
      </c>
      <c r="BT197" s="564">
        <f t="shared" si="1155"/>
        <v>0</v>
      </c>
      <c r="BU197" s="564">
        <f t="shared" si="1155"/>
        <v>0</v>
      </c>
      <c r="BV197" s="564">
        <f t="shared" si="1155"/>
        <v>0</v>
      </c>
      <c r="BW197" s="564">
        <f t="shared" si="1155"/>
        <v>31503.602289999999</v>
      </c>
      <c r="BX197" s="564">
        <f t="shared" si="1155"/>
        <v>0</v>
      </c>
      <c r="BY197" s="564">
        <f t="shared" si="804"/>
        <v>15448.66332</v>
      </c>
      <c r="BZ197" s="564">
        <f t="shared" si="1155"/>
        <v>4731.3389999999999</v>
      </c>
      <c r="CA197" s="564">
        <f t="shared" si="1155"/>
        <v>10717.32432</v>
      </c>
      <c r="CB197" s="564">
        <f t="shared" si="1155"/>
        <v>16054.938969999999</v>
      </c>
      <c r="CC197" s="564">
        <f t="shared" si="1155"/>
        <v>0</v>
      </c>
      <c r="CD197" s="564">
        <f t="shared" si="1155"/>
        <v>31503.602289999999</v>
      </c>
      <c r="CE197" s="564">
        <f t="shared" ref="CE197" si="1156">SUM(CE198:CE204)-CE199</f>
        <v>0</v>
      </c>
      <c r="CF197" s="564">
        <f t="shared" si="805"/>
        <v>15448.66332</v>
      </c>
      <c r="CG197" s="564">
        <f t="shared" ref="CG197:CH197" si="1157">SUM(CG198:CG204)-CG199</f>
        <v>4731.3389999999999</v>
      </c>
      <c r="CH197" s="564">
        <f t="shared" si="1157"/>
        <v>10717.32432</v>
      </c>
      <c r="CI197" s="564">
        <f t="shared" ref="CI197" si="1158">SUM(CI198:CI204)-CI199</f>
        <v>16054.938969999999</v>
      </c>
      <c r="CJ197" s="564">
        <f t="shared" si="1155"/>
        <v>0</v>
      </c>
      <c r="CK197" s="566">
        <f t="shared" si="1155"/>
        <v>4441.9775499999996</v>
      </c>
      <c r="CL197" s="564">
        <f t="shared" si="1155"/>
        <v>0</v>
      </c>
      <c r="CM197" s="564">
        <f>SUM(CM198:CM204)</f>
        <v>2544.26802</v>
      </c>
      <c r="CN197" s="564">
        <f t="shared" si="1155"/>
        <v>526.58243999999991</v>
      </c>
      <c r="CO197" s="564">
        <f t="shared" si="1155"/>
        <v>1129.6372799999999</v>
      </c>
      <c r="CP197" s="564">
        <f t="shared" si="1155"/>
        <v>1897.7095300000001</v>
      </c>
      <c r="CQ197" s="564">
        <f t="shared" si="1155"/>
        <v>0</v>
      </c>
      <c r="CR197" s="564">
        <f t="shared" si="1155"/>
        <v>35945.579839999999</v>
      </c>
      <c r="CS197" s="564">
        <f t="shared" si="807"/>
        <v>35945.579839999999</v>
      </c>
      <c r="CT197" s="564">
        <f t="shared" si="808"/>
        <v>0</v>
      </c>
      <c r="CU197" s="564">
        <f t="shared" si="809"/>
        <v>17992.931339999999</v>
      </c>
      <c r="CV197" s="564">
        <f t="shared" si="810"/>
        <v>17952.648499999999</v>
      </c>
      <c r="CW197" s="564">
        <f t="shared" si="1155"/>
        <v>0</v>
      </c>
      <c r="CX197" s="564">
        <f t="shared" ca="1" si="899"/>
        <v>0</v>
      </c>
      <c r="CY197" s="564">
        <f t="shared" si="811"/>
        <v>0</v>
      </c>
      <c r="CZ197" s="564">
        <f t="shared" si="812"/>
        <v>0</v>
      </c>
      <c r="DA197" s="564">
        <f t="shared" si="813"/>
        <v>0</v>
      </c>
      <c r="DB197" s="57">
        <f t="shared" si="1155"/>
        <v>0</v>
      </c>
      <c r="DC197" s="225">
        <f>DD197+DF197-BR197</f>
        <v>4859.8159999999998</v>
      </c>
      <c r="DD197" s="226">
        <f t="shared" ref="DD197:DX197" si="1159">SUM(DD198:DD204)-DD199</f>
        <v>4859.8159999999998</v>
      </c>
      <c r="DE197" s="226">
        <f t="shared" si="1159"/>
        <v>4859.8159999999998</v>
      </c>
      <c r="DF197" s="57">
        <f t="shared" si="1159"/>
        <v>0</v>
      </c>
      <c r="DG197" s="57">
        <f t="shared" si="1159"/>
        <v>0</v>
      </c>
      <c r="DH197" s="57">
        <f t="shared" si="1159"/>
        <v>0</v>
      </c>
      <c r="DI197" s="57">
        <f t="shared" si="1159"/>
        <v>0</v>
      </c>
      <c r="DJ197" s="57">
        <f t="shared" si="1159"/>
        <v>0</v>
      </c>
      <c r="DK197" s="57">
        <f t="shared" si="1159"/>
        <v>0</v>
      </c>
      <c r="DL197" s="57">
        <f t="shared" si="1159"/>
        <v>0</v>
      </c>
      <c r="DM197" s="57">
        <f t="shared" si="1159"/>
        <v>0</v>
      </c>
      <c r="DN197" s="57">
        <f t="shared" si="1159"/>
        <v>0</v>
      </c>
      <c r="DO197" s="57">
        <f t="shared" si="1159"/>
        <v>0</v>
      </c>
      <c r="DP197" s="57">
        <f t="shared" si="1159"/>
        <v>0</v>
      </c>
      <c r="DQ197" s="57">
        <f t="shared" si="1159"/>
        <v>0</v>
      </c>
      <c r="DR197" s="57">
        <f t="shared" si="1159"/>
        <v>0</v>
      </c>
      <c r="DS197" s="57">
        <f t="shared" si="1159"/>
        <v>0</v>
      </c>
      <c r="DT197" s="57">
        <f t="shared" si="1159"/>
        <v>0</v>
      </c>
      <c r="DU197" s="57">
        <f t="shared" si="1159"/>
        <v>0</v>
      </c>
      <c r="DV197" s="57">
        <f t="shared" si="1159"/>
        <v>0</v>
      </c>
      <c r="DW197" s="57">
        <f t="shared" si="1159"/>
        <v>0</v>
      </c>
      <c r="DX197" s="57">
        <f t="shared" ca="1" si="1159"/>
        <v>0</v>
      </c>
      <c r="DY197" s="124"/>
      <c r="DZ197" s="57">
        <f>SUM(DZ198:DZ204)-DZ199</f>
        <v>31503.602289999999</v>
      </c>
      <c r="EA197" s="57">
        <f>SUM(EA198:EA204)-EA199</f>
        <v>31503.602289999999</v>
      </c>
      <c r="EB197" s="124"/>
      <c r="EC197" s="57">
        <f>SUM(EC198:EC204)-EC199</f>
        <v>31503.602289999995</v>
      </c>
      <c r="ED197" s="57">
        <f ca="1">SUM(ED198:ED204)-ED199</f>
        <v>0</v>
      </c>
      <c r="EE197" s="124"/>
      <c r="EF197" s="57">
        <f>SUM(EF198:EF204)-EF199</f>
        <v>-26643.786289999996</v>
      </c>
      <c r="EG197" s="124">
        <f ca="1">DX197-EF197</f>
        <v>26643.786289999996</v>
      </c>
      <c r="EH197" s="124"/>
      <c r="EI197" s="57">
        <f t="shared" si="794"/>
        <v>31503.602289999999</v>
      </c>
      <c r="EJ197" s="57">
        <f t="shared" ref="EJ197:EN197" si="1160">SUM(EJ198:EJ204)-EJ199</f>
        <v>0</v>
      </c>
      <c r="EK197" s="57">
        <f t="shared" si="814"/>
        <v>15448.66332</v>
      </c>
      <c r="EL197" s="57">
        <f t="shared" ref="EL197:EM197" si="1161">SUM(EL198:EL204)-EL199</f>
        <v>4731.3389999999999</v>
      </c>
      <c r="EM197" s="57">
        <f t="shared" si="1161"/>
        <v>10717.32432</v>
      </c>
      <c r="EN197" s="57">
        <f t="shared" si="1160"/>
        <v>16054.938969999999</v>
      </c>
      <c r="EO197" s="57">
        <f t="shared" ref="EO197" si="1162">SUM(EO198:EO204)-EO199</f>
        <v>0</v>
      </c>
      <c r="EP197" s="57">
        <f t="shared" si="795"/>
        <v>4441.9775499999996</v>
      </c>
      <c r="EQ197" s="57">
        <f t="shared" ref="EQ197" si="1163">SUM(EQ198:EQ204)-EQ199</f>
        <v>0</v>
      </c>
      <c r="ER197" s="57">
        <f>SUM(ER198:ER204)</f>
        <v>2544.26802</v>
      </c>
      <c r="ES197" s="57">
        <f t="shared" ref="ES197:EU197" si="1164">SUM(ES198:ES204)-ES199</f>
        <v>844.00681000000009</v>
      </c>
      <c r="ET197" s="57">
        <f t="shared" si="1164"/>
        <v>1700.2612099999999</v>
      </c>
      <c r="EU197" s="57">
        <f t="shared" si="1164"/>
        <v>1897.7095300000001</v>
      </c>
      <c r="EV197" s="140">
        <f t="shared" ref="EV197" si="1165">SUM(EV198:EV204)-EV199</f>
        <v>0</v>
      </c>
      <c r="EW197" s="57">
        <f t="shared" si="980"/>
        <v>0</v>
      </c>
      <c r="EX197" s="57">
        <f>AZ197</f>
        <v>0</v>
      </c>
      <c r="EY197" s="57">
        <f t="shared" ref="EY197" si="1166">SUM(EY198:EY204)-EY199</f>
        <v>0</v>
      </c>
      <c r="EZ197" s="390"/>
      <c r="FA197" s="390"/>
      <c r="FB197" s="57">
        <f t="shared" si="841"/>
        <v>0</v>
      </c>
      <c r="FC197" s="57">
        <f>SUM(FC198:FC204)</f>
        <v>0</v>
      </c>
      <c r="FD197" s="57">
        <f>SUM(FD198:FD204)</f>
        <v>0</v>
      </c>
      <c r="FE197" s="390"/>
      <c r="FF197" s="390"/>
      <c r="FG197" s="390"/>
      <c r="FH197" s="304">
        <f t="shared" ref="FH197" si="1167">SUM(FH198:FH204)</f>
        <v>0</v>
      </c>
      <c r="FI197" s="57">
        <f t="shared" si="843"/>
        <v>0</v>
      </c>
      <c r="FJ197" s="295"/>
      <c r="FK197" s="57">
        <f t="shared" si="817"/>
        <v>15502.638999999999</v>
      </c>
      <c r="FL197" s="57">
        <f t="shared" si="1127"/>
        <v>15502.638999999999</v>
      </c>
      <c r="FM197" s="57">
        <f t="shared" ref="FM197" si="1168">SUM(FM198:FM204)-FM199</f>
        <v>0</v>
      </c>
      <c r="FN197" s="390"/>
      <c r="FO197" s="390"/>
      <c r="FP197" s="57">
        <f t="shared" si="818"/>
        <v>17992.931339999999</v>
      </c>
      <c r="FQ197" s="57">
        <f>SUM(FQ198:FQ204)</f>
        <v>15448.66332</v>
      </c>
      <c r="FR197" s="57">
        <f>SUM(FR198:FR204)</f>
        <v>2544.26802</v>
      </c>
      <c r="FS197" s="390"/>
      <c r="FT197" s="390"/>
      <c r="FU197" s="390"/>
      <c r="FV197" s="57">
        <f t="shared" ref="FV197" si="1169">SUM(FV198:FV204)</f>
        <v>17992.931339999999</v>
      </c>
      <c r="FW197" s="57">
        <f t="shared" si="819"/>
        <v>-2544.2680199999995</v>
      </c>
      <c r="FX197" s="57">
        <f t="shared" ref="FX197" si="1170">FY197+FZ197+GA197</f>
        <v>17509.824520000002</v>
      </c>
      <c r="FY197" s="57">
        <f>BD197</f>
        <v>17509.824520000002</v>
      </c>
      <c r="FZ197" s="57">
        <f t="shared" ref="FZ197" si="1171">SUM(FZ198:FZ204)-FZ199</f>
        <v>0</v>
      </c>
      <c r="GA197" s="390"/>
      <c r="GB197" s="390"/>
      <c r="GC197" s="57">
        <f t="shared" si="847"/>
        <v>17952.648499999999</v>
      </c>
      <c r="GD197" s="57">
        <f t="shared" si="900"/>
        <v>16054.938969999999</v>
      </c>
      <c r="GE197" s="57">
        <f t="shared" si="901"/>
        <v>1897.7095300000001</v>
      </c>
      <c r="GF197" s="390"/>
      <c r="GG197" s="390"/>
      <c r="GH197" s="390"/>
      <c r="GI197" s="304">
        <f t="shared" si="1095"/>
        <v>0</v>
      </c>
      <c r="GJ197" s="77">
        <f t="shared" si="848"/>
        <v>16054.938969999999</v>
      </c>
      <c r="GK197" s="462">
        <f t="shared" si="796"/>
        <v>0.94787800520069787</v>
      </c>
    </row>
    <row r="198" spans="2:193" s="37" customFormat="1" ht="15.75" hidden="1" customHeight="1" x14ac:dyDescent="0.25">
      <c r="B198" s="29">
        <v>1</v>
      </c>
      <c r="C198" s="30"/>
      <c r="D198" s="30"/>
      <c r="E198" s="493">
        <v>165</v>
      </c>
      <c r="F198" s="29"/>
      <c r="G198" s="30"/>
      <c r="H198" s="30"/>
      <c r="I198" s="493"/>
      <c r="J198" s="494"/>
      <c r="K198" s="494"/>
      <c r="L198" s="53"/>
      <c r="M198" s="493">
        <v>153</v>
      </c>
      <c r="N198" s="494" t="s">
        <v>232</v>
      </c>
      <c r="O198" s="127"/>
      <c r="P198" s="127">
        <f t="shared" si="816"/>
        <v>0</v>
      </c>
      <c r="Q198" s="127"/>
      <c r="R198" s="127"/>
      <c r="S198" s="127"/>
      <c r="T198" s="127"/>
      <c r="U198" s="127"/>
      <c r="V198" s="2">
        <f t="shared" si="797"/>
        <v>0</v>
      </c>
      <c r="W198" s="2"/>
      <c r="X198" s="198">
        <f t="shared" si="1031"/>
        <v>0</v>
      </c>
      <c r="Y198" s="198"/>
      <c r="Z198" s="42"/>
      <c r="AA198" s="2"/>
      <c r="AB198" s="567">
        <f t="shared" ref="AB198:AB204" si="1172">AC198+AD198+AG198+AH198</f>
        <v>0</v>
      </c>
      <c r="AC198" s="567"/>
      <c r="AD198" s="568">
        <f t="shared" si="1032"/>
        <v>0</v>
      </c>
      <c r="AE198" s="568"/>
      <c r="AF198" s="569"/>
      <c r="AG198" s="567"/>
      <c r="AH198" s="573"/>
      <c r="AI198" s="567">
        <f t="shared" ref="AI198:AI204" si="1173">AJ198+AK198+AL198+AM198</f>
        <v>0</v>
      </c>
      <c r="AJ198" s="567"/>
      <c r="AK198" s="568"/>
      <c r="AL198" s="567"/>
      <c r="AM198" s="573"/>
      <c r="AN198" s="567">
        <f t="shared" ref="AN198:AN204" si="1174">AO198+AP198+AQ198+AR198</f>
        <v>0</v>
      </c>
      <c r="AO198" s="567"/>
      <c r="AP198" s="568"/>
      <c r="AQ198" s="567"/>
      <c r="AR198" s="573"/>
      <c r="AS198" s="567">
        <f t="shared" ref="AS198:AS204" si="1175">AT198+AU198+AV198+AW198</f>
        <v>0</v>
      </c>
      <c r="AT198" s="567"/>
      <c r="AU198" s="568"/>
      <c r="AV198" s="567"/>
      <c r="AW198" s="567"/>
      <c r="AX198" s="409"/>
      <c r="AY198" s="567">
        <f t="shared" ref="AY198:AY204" si="1176">AZ198+BA198+BD198+BE198</f>
        <v>0</v>
      </c>
      <c r="AZ198" s="567"/>
      <c r="BA198" s="567">
        <f t="shared" ref="BA198:BA204" si="1177">BB198+BC198</f>
        <v>0</v>
      </c>
      <c r="BB198" s="567"/>
      <c r="BC198" s="567"/>
      <c r="BD198" s="567"/>
      <c r="BE198" s="567"/>
      <c r="BF198" s="567">
        <f t="shared" si="798"/>
        <v>0</v>
      </c>
      <c r="BG198" s="567">
        <f t="shared" si="799"/>
        <v>0</v>
      </c>
      <c r="BH198" s="567">
        <f t="shared" si="800"/>
        <v>0</v>
      </c>
      <c r="BI198" s="567">
        <f t="shared" si="801"/>
        <v>0</v>
      </c>
      <c r="BJ198" s="567">
        <f t="shared" si="802"/>
        <v>0</v>
      </c>
      <c r="BK198" s="567">
        <f t="shared" si="803"/>
        <v>0</v>
      </c>
      <c r="BL198" s="567" t="e">
        <f>#REF!-BE198</f>
        <v>#REF!</v>
      </c>
      <c r="BM198" s="567">
        <f t="shared" ref="BM198:BM204" si="1178">BN198+BO198+BP198+BQ198</f>
        <v>0</v>
      </c>
      <c r="BN198" s="567"/>
      <c r="BO198" s="567"/>
      <c r="BP198" s="567"/>
      <c r="BQ198" s="567"/>
      <c r="BR198" s="567">
        <f t="shared" ref="BR198:BR204" si="1179">BS198+BT198+BU198+BV198</f>
        <v>0</v>
      </c>
      <c r="BS198" s="567"/>
      <c r="BT198" s="567"/>
      <c r="BU198" s="567"/>
      <c r="BV198" s="567"/>
      <c r="BW198" s="567">
        <f t="shared" ref="BW198:BW204" si="1180">BX198+BY198+CB198+CC198</f>
        <v>0</v>
      </c>
      <c r="BX198" s="567"/>
      <c r="BY198" s="567">
        <f t="shared" si="804"/>
        <v>0</v>
      </c>
      <c r="BZ198" s="567"/>
      <c r="CA198" s="567"/>
      <c r="CB198" s="567"/>
      <c r="CC198" s="567"/>
      <c r="CD198" s="567">
        <f t="shared" ref="CD198:CD204" si="1181">CE198+CF198+CI198+CJ198</f>
        <v>0</v>
      </c>
      <c r="CE198" s="567"/>
      <c r="CF198" s="567">
        <f t="shared" si="805"/>
        <v>0</v>
      </c>
      <c r="CG198" s="567"/>
      <c r="CH198" s="567"/>
      <c r="CI198" s="567"/>
      <c r="CJ198" s="567"/>
      <c r="CK198" s="567">
        <f t="shared" ref="CK198:CK204" si="1182">CL198+CM198+CP198+CQ198</f>
        <v>0</v>
      </c>
      <c r="CL198" s="567"/>
      <c r="CM198" s="567">
        <f t="shared" si="806"/>
        <v>0</v>
      </c>
      <c r="CN198" s="567"/>
      <c r="CO198" s="567"/>
      <c r="CP198" s="567"/>
      <c r="CQ198" s="567"/>
      <c r="CR198" s="573">
        <f t="shared" ref="CR198:CR204" si="1183">CS198</f>
        <v>0</v>
      </c>
      <c r="CS198" s="567">
        <f t="shared" si="807"/>
        <v>0</v>
      </c>
      <c r="CT198" s="567">
        <f t="shared" si="808"/>
        <v>0</v>
      </c>
      <c r="CU198" s="567">
        <f t="shared" si="809"/>
        <v>0</v>
      </c>
      <c r="CV198" s="567">
        <f t="shared" si="810"/>
        <v>0</v>
      </c>
      <c r="CW198" s="567">
        <f t="shared" ref="CW198:CW204" si="1184">CJ198+CQ198</f>
        <v>0</v>
      </c>
      <c r="CX198" s="567">
        <f t="shared" ca="1" si="899"/>
        <v>0</v>
      </c>
      <c r="CY198" s="567">
        <f t="shared" si="811"/>
        <v>0</v>
      </c>
      <c r="CZ198" s="567">
        <f t="shared" si="812"/>
        <v>0</v>
      </c>
      <c r="DA198" s="567">
        <f t="shared" si="813"/>
        <v>0</v>
      </c>
      <c r="DB198" s="2">
        <f t="shared" ref="DB198:DB204" si="1185">CC198-CJ198</f>
        <v>0</v>
      </c>
      <c r="DC198" s="76"/>
      <c r="DD198" s="253"/>
      <c r="DE198" s="253"/>
      <c r="DF198" s="2">
        <f t="shared" ref="DF198:DF204" si="1186">DG198+DH198+DI198+DJ198</f>
        <v>0</v>
      </c>
      <c r="DG198" s="2"/>
      <c r="DH198" s="2"/>
      <c r="DI198" s="2"/>
      <c r="DJ198" s="2"/>
      <c r="DK198" s="2">
        <f t="shared" ref="DK198:DK204" si="1187">DL198+DM198+DN198+DO198</f>
        <v>0</v>
      </c>
      <c r="DL198" s="2"/>
      <c r="DM198" s="2"/>
      <c r="DN198" s="2"/>
      <c r="DO198" s="2"/>
      <c r="DP198" s="2">
        <f t="shared" ref="DP198:DP204" si="1188">DQ198+DR198+DS198+DT198</f>
        <v>0</v>
      </c>
      <c r="DQ198" s="2">
        <f t="shared" ref="DQ198:DT204" si="1189">DG198-DL198</f>
        <v>0</v>
      </c>
      <c r="DR198" s="2">
        <f t="shared" si="1189"/>
        <v>0</v>
      </c>
      <c r="DS198" s="2">
        <f t="shared" si="1189"/>
        <v>0</v>
      </c>
      <c r="DT198" s="2">
        <f t="shared" si="1189"/>
        <v>0</v>
      </c>
      <c r="DU198" s="2"/>
      <c r="DV198" s="2"/>
      <c r="DW198" s="2"/>
      <c r="DX198" s="2">
        <f t="shared" ref="DX198:DX204" ca="1" si="1190">CX198+DP198+DW198</f>
        <v>0</v>
      </c>
      <c r="DY198" s="46"/>
      <c r="DZ198" s="2">
        <f t="shared" ref="DZ198:DZ204" si="1191">BW198+DF198+DU198</f>
        <v>0</v>
      </c>
      <c r="EA198" s="2">
        <f t="shared" ref="EA198:EA204" si="1192">CD198+DK198+DV198</f>
        <v>0</v>
      </c>
      <c r="EB198" s="46"/>
      <c r="EC198" s="2">
        <f t="shared" ref="EC198:EC199" si="1193">EA198</f>
        <v>0</v>
      </c>
      <c r="ED198" s="2">
        <f t="shared" ref="ED198:ED199" ca="1" si="1194">DX198</f>
        <v>0</v>
      </c>
      <c r="EE198" s="46"/>
      <c r="EF198" s="2">
        <f>DE198-EC198</f>
        <v>0</v>
      </c>
      <c r="EG198" s="46"/>
      <c r="EH198" s="46"/>
      <c r="EI198" s="2">
        <f t="shared" si="794"/>
        <v>0</v>
      </c>
      <c r="EJ198" s="2"/>
      <c r="EK198" s="2">
        <f t="shared" si="814"/>
        <v>0</v>
      </c>
      <c r="EL198" s="2"/>
      <c r="EM198" s="2"/>
      <c r="EN198" s="2"/>
      <c r="EO198" s="2"/>
      <c r="EP198" s="2">
        <f t="shared" si="795"/>
        <v>0</v>
      </c>
      <c r="EQ198" s="2"/>
      <c r="ER198" s="2">
        <f t="shared" si="815"/>
        <v>0</v>
      </c>
      <c r="ES198" s="2"/>
      <c r="ET198" s="2"/>
      <c r="EU198" s="2"/>
      <c r="EV198" s="141"/>
      <c r="EW198" s="310"/>
      <c r="EX198" s="310"/>
      <c r="EY198" s="310"/>
      <c r="EZ198" s="396"/>
      <c r="FA198" s="396"/>
      <c r="FB198" s="310"/>
      <c r="FC198" s="310"/>
      <c r="FD198" s="310"/>
      <c r="FE198" s="396"/>
      <c r="FF198" s="396"/>
      <c r="FG198" s="396"/>
      <c r="FH198" s="311"/>
      <c r="FI198" s="310"/>
      <c r="FJ198" s="296" t="e">
        <f t="shared" ref="FJ198:FJ204" si="1195">FH198/FE198</f>
        <v>#DIV/0!</v>
      </c>
      <c r="FK198" s="353"/>
      <c r="FL198" s="353"/>
      <c r="FM198" s="353"/>
      <c r="FN198" s="388"/>
      <c r="FO198" s="388"/>
      <c r="FP198" s="353"/>
      <c r="FQ198" s="353"/>
      <c r="FR198" s="353"/>
      <c r="FS198" s="388"/>
      <c r="FT198" s="388"/>
      <c r="FU198" s="388"/>
      <c r="FV198" s="353"/>
      <c r="FW198" s="353">
        <f t="shared" si="819"/>
        <v>0</v>
      </c>
      <c r="FX198" s="310"/>
      <c r="FY198" s="310"/>
      <c r="FZ198" s="310"/>
      <c r="GA198" s="396"/>
      <c r="GB198" s="396"/>
      <c r="GC198" s="310"/>
      <c r="GD198" s="310"/>
      <c r="GE198" s="310"/>
      <c r="GF198" s="396"/>
      <c r="GG198" s="396"/>
      <c r="GH198" s="396"/>
      <c r="GI198" s="311"/>
      <c r="GJ198" s="344"/>
      <c r="GK198" s="303" t="e">
        <f t="shared" si="796"/>
        <v>#DIV/0!</v>
      </c>
    </row>
    <row r="199" spans="2:193" s="37" customFormat="1" ht="15.75" hidden="1" customHeight="1" x14ac:dyDescent="0.25">
      <c r="B199" s="29"/>
      <c r="C199" s="30"/>
      <c r="D199" s="30"/>
      <c r="E199" s="493"/>
      <c r="F199" s="29"/>
      <c r="G199" s="30"/>
      <c r="H199" s="30"/>
      <c r="I199" s="493"/>
      <c r="J199" s="494"/>
      <c r="K199" s="494"/>
      <c r="L199" s="53"/>
      <c r="M199" s="493"/>
      <c r="N199" s="18" t="s">
        <v>246</v>
      </c>
      <c r="O199" s="128"/>
      <c r="P199" s="128">
        <f t="shared" si="816"/>
        <v>0</v>
      </c>
      <c r="Q199" s="128"/>
      <c r="R199" s="128"/>
      <c r="S199" s="128"/>
      <c r="T199" s="128"/>
      <c r="U199" s="128"/>
      <c r="V199" s="2">
        <f t="shared" si="797"/>
        <v>0</v>
      </c>
      <c r="W199" s="2"/>
      <c r="X199" s="198">
        <f t="shared" si="1031"/>
        <v>0</v>
      </c>
      <c r="Y199" s="198"/>
      <c r="Z199" s="42"/>
      <c r="AA199" s="2"/>
      <c r="AB199" s="567">
        <f t="shared" si="1172"/>
        <v>0</v>
      </c>
      <c r="AC199" s="567"/>
      <c r="AD199" s="568">
        <f t="shared" si="1032"/>
        <v>0</v>
      </c>
      <c r="AE199" s="568"/>
      <c r="AF199" s="569"/>
      <c r="AG199" s="567"/>
      <c r="AH199" s="573"/>
      <c r="AI199" s="567">
        <f t="shared" si="1173"/>
        <v>0</v>
      </c>
      <c r="AJ199" s="567"/>
      <c r="AK199" s="568"/>
      <c r="AL199" s="567"/>
      <c r="AM199" s="573"/>
      <c r="AN199" s="567">
        <f t="shared" si="1174"/>
        <v>0</v>
      </c>
      <c r="AO199" s="567"/>
      <c r="AP199" s="568"/>
      <c r="AQ199" s="567"/>
      <c r="AR199" s="573"/>
      <c r="AS199" s="567">
        <f t="shared" si="1175"/>
        <v>0</v>
      </c>
      <c r="AT199" s="567"/>
      <c r="AU199" s="568"/>
      <c r="AV199" s="567"/>
      <c r="AW199" s="567"/>
      <c r="AX199" s="409"/>
      <c r="AY199" s="567">
        <f t="shared" si="1176"/>
        <v>0</v>
      </c>
      <c r="AZ199" s="567"/>
      <c r="BA199" s="567">
        <f t="shared" si="1177"/>
        <v>0</v>
      </c>
      <c r="BB199" s="567"/>
      <c r="BC199" s="567"/>
      <c r="BD199" s="567"/>
      <c r="BE199" s="567"/>
      <c r="BF199" s="567">
        <f t="shared" si="798"/>
        <v>0</v>
      </c>
      <c r="BG199" s="567">
        <f t="shared" si="799"/>
        <v>0</v>
      </c>
      <c r="BH199" s="567">
        <f t="shared" si="800"/>
        <v>0</v>
      </c>
      <c r="BI199" s="567">
        <f t="shared" si="801"/>
        <v>0</v>
      </c>
      <c r="BJ199" s="567">
        <f t="shared" si="802"/>
        <v>0</v>
      </c>
      <c r="BK199" s="567">
        <f t="shared" si="803"/>
        <v>0</v>
      </c>
      <c r="BL199" s="567" t="e">
        <f>#REF!-BE199</f>
        <v>#REF!</v>
      </c>
      <c r="BM199" s="567">
        <f t="shared" si="1178"/>
        <v>0</v>
      </c>
      <c r="BN199" s="567"/>
      <c r="BO199" s="567"/>
      <c r="BP199" s="567"/>
      <c r="BQ199" s="567"/>
      <c r="BR199" s="567">
        <f t="shared" si="1179"/>
        <v>0</v>
      </c>
      <c r="BS199" s="567"/>
      <c r="BT199" s="567"/>
      <c r="BU199" s="567"/>
      <c r="BV199" s="567"/>
      <c r="BW199" s="567">
        <f t="shared" si="1180"/>
        <v>0</v>
      </c>
      <c r="BX199" s="567"/>
      <c r="BY199" s="567">
        <f t="shared" si="804"/>
        <v>0</v>
      </c>
      <c r="BZ199" s="567"/>
      <c r="CA199" s="567"/>
      <c r="CB199" s="567"/>
      <c r="CC199" s="567"/>
      <c r="CD199" s="567">
        <f t="shared" si="1181"/>
        <v>0</v>
      </c>
      <c r="CE199" s="567"/>
      <c r="CF199" s="567">
        <f t="shared" si="805"/>
        <v>0</v>
      </c>
      <c r="CG199" s="567"/>
      <c r="CH199" s="567"/>
      <c r="CI199" s="567"/>
      <c r="CJ199" s="567"/>
      <c r="CK199" s="567">
        <f t="shared" si="1182"/>
        <v>0</v>
      </c>
      <c r="CL199" s="567"/>
      <c r="CM199" s="567">
        <f t="shared" si="806"/>
        <v>0</v>
      </c>
      <c r="CN199" s="567"/>
      <c r="CO199" s="567"/>
      <c r="CP199" s="567"/>
      <c r="CQ199" s="567"/>
      <c r="CR199" s="573">
        <f t="shared" si="1183"/>
        <v>0</v>
      </c>
      <c r="CS199" s="567">
        <f t="shared" si="807"/>
        <v>0</v>
      </c>
      <c r="CT199" s="567">
        <f t="shared" si="808"/>
        <v>0</v>
      </c>
      <c r="CU199" s="567">
        <f t="shared" si="809"/>
        <v>0</v>
      </c>
      <c r="CV199" s="567">
        <f t="shared" si="810"/>
        <v>0</v>
      </c>
      <c r="CW199" s="567">
        <f t="shared" si="1184"/>
        <v>0</v>
      </c>
      <c r="CX199" s="567">
        <f t="shared" ca="1" si="899"/>
        <v>0</v>
      </c>
      <c r="CY199" s="567">
        <f t="shared" si="811"/>
        <v>0</v>
      </c>
      <c r="CZ199" s="567">
        <f t="shared" si="812"/>
        <v>0</v>
      </c>
      <c r="DA199" s="567">
        <f t="shared" si="813"/>
        <v>0</v>
      </c>
      <c r="DB199" s="2">
        <f t="shared" si="1185"/>
        <v>0</v>
      </c>
      <c r="DC199" s="76"/>
      <c r="DD199" s="253"/>
      <c r="DE199" s="253"/>
      <c r="DF199" s="2">
        <f t="shared" si="1186"/>
        <v>0</v>
      </c>
      <c r="DG199" s="2"/>
      <c r="DH199" s="2"/>
      <c r="DI199" s="2"/>
      <c r="DJ199" s="2"/>
      <c r="DK199" s="2">
        <f t="shared" si="1187"/>
        <v>0</v>
      </c>
      <c r="DL199" s="2"/>
      <c r="DM199" s="2"/>
      <c r="DN199" s="2"/>
      <c r="DO199" s="2"/>
      <c r="DP199" s="2">
        <f t="shared" si="1188"/>
        <v>0</v>
      </c>
      <c r="DQ199" s="2">
        <f t="shared" si="1189"/>
        <v>0</v>
      </c>
      <c r="DR199" s="2">
        <f t="shared" si="1189"/>
        <v>0</v>
      </c>
      <c r="DS199" s="2">
        <f t="shared" si="1189"/>
        <v>0</v>
      </c>
      <c r="DT199" s="2">
        <f t="shared" si="1189"/>
        <v>0</v>
      </c>
      <c r="DU199" s="2"/>
      <c r="DV199" s="2"/>
      <c r="DW199" s="2"/>
      <c r="DX199" s="2">
        <f t="shared" ca="1" si="1190"/>
        <v>0</v>
      </c>
      <c r="DY199" s="46"/>
      <c r="DZ199" s="2">
        <f t="shared" si="1191"/>
        <v>0</v>
      </c>
      <c r="EA199" s="2">
        <f t="shared" si="1192"/>
        <v>0</v>
      </c>
      <c r="EB199" s="46"/>
      <c r="EC199" s="2">
        <f t="shared" si="1193"/>
        <v>0</v>
      </c>
      <c r="ED199" s="2">
        <f t="shared" ca="1" si="1194"/>
        <v>0</v>
      </c>
      <c r="EE199" s="46"/>
      <c r="EF199" s="2"/>
      <c r="EG199" s="46"/>
      <c r="EH199" s="46"/>
      <c r="EI199" s="2">
        <f t="shared" si="794"/>
        <v>0</v>
      </c>
      <c r="EJ199" s="2"/>
      <c r="EK199" s="2">
        <f t="shared" si="814"/>
        <v>0</v>
      </c>
      <c r="EL199" s="2"/>
      <c r="EM199" s="2"/>
      <c r="EN199" s="2"/>
      <c r="EO199" s="2"/>
      <c r="EP199" s="2">
        <f t="shared" si="795"/>
        <v>0</v>
      </c>
      <c r="EQ199" s="2"/>
      <c r="ER199" s="2">
        <f t="shared" si="815"/>
        <v>0</v>
      </c>
      <c r="ES199" s="2"/>
      <c r="ET199" s="2"/>
      <c r="EU199" s="2"/>
      <c r="EV199" s="141"/>
      <c r="EW199" s="310"/>
      <c r="EX199" s="310"/>
      <c r="EY199" s="310"/>
      <c r="EZ199" s="396"/>
      <c r="FA199" s="396"/>
      <c r="FB199" s="310"/>
      <c r="FC199" s="310"/>
      <c r="FD199" s="310"/>
      <c r="FE199" s="396"/>
      <c r="FF199" s="396"/>
      <c r="FG199" s="396"/>
      <c r="FH199" s="311"/>
      <c r="FI199" s="310"/>
      <c r="FJ199" s="296" t="e">
        <f t="shared" si="1195"/>
        <v>#DIV/0!</v>
      </c>
      <c r="FK199" s="353"/>
      <c r="FL199" s="353"/>
      <c r="FM199" s="353"/>
      <c r="FN199" s="388"/>
      <c r="FO199" s="388"/>
      <c r="FP199" s="353"/>
      <c r="FQ199" s="353"/>
      <c r="FR199" s="353"/>
      <c r="FS199" s="388"/>
      <c r="FT199" s="388"/>
      <c r="FU199" s="388"/>
      <c r="FV199" s="353"/>
      <c r="FW199" s="353">
        <f t="shared" si="819"/>
        <v>0</v>
      </c>
      <c r="FX199" s="310"/>
      <c r="FY199" s="310"/>
      <c r="FZ199" s="310"/>
      <c r="GA199" s="396"/>
      <c r="GB199" s="396"/>
      <c r="GC199" s="310"/>
      <c r="GD199" s="310"/>
      <c r="GE199" s="310"/>
      <c r="GF199" s="396"/>
      <c r="GG199" s="396"/>
      <c r="GH199" s="396"/>
      <c r="GI199" s="311"/>
      <c r="GJ199" s="344"/>
      <c r="GK199" s="303" t="e">
        <f t="shared" si="796"/>
        <v>#DIV/0!</v>
      </c>
    </row>
    <row r="200" spans="2:193" s="37" customFormat="1" ht="15" customHeight="1" x14ac:dyDescent="0.25">
      <c r="B200" s="29"/>
      <c r="C200" s="30">
        <v>1</v>
      </c>
      <c r="D200" s="30"/>
      <c r="E200" s="493">
        <v>166</v>
      </c>
      <c r="F200" s="29"/>
      <c r="G200" s="30">
        <v>1</v>
      </c>
      <c r="H200" s="30">
        <v>1</v>
      </c>
      <c r="I200" s="493"/>
      <c r="J200" s="494"/>
      <c r="K200" s="494"/>
      <c r="L200" s="53"/>
      <c r="M200" s="493">
        <v>142</v>
      </c>
      <c r="N200" s="494" t="s">
        <v>233</v>
      </c>
      <c r="O200" s="494"/>
      <c r="P200" s="494">
        <f t="shared" si="816"/>
        <v>0</v>
      </c>
      <c r="Q200" s="494"/>
      <c r="R200" s="494"/>
      <c r="S200" s="494" t="s">
        <v>646</v>
      </c>
      <c r="T200" s="156">
        <v>3</v>
      </c>
      <c r="U200" s="493"/>
      <c r="V200" s="2">
        <f t="shared" si="797"/>
        <v>4628.7379999999994</v>
      </c>
      <c r="W200" s="2"/>
      <c r="X200" s="198">
        <f t="shared" si="1031"/>
        <v>2048.1999999999998</v>
      </c>
      <c r="Y200" s="198">
        <v>645.29999999999995</v>
      </c>
      <c r="Z200" s="42">
        <v>1402.9</v>
      </c>
      <c r="AA200" s="2">
        <v>2580.538</v>
      </c>
      <c r="AB200" s="567">
        <f t="shared" si="1172"/>
        <v>4628.7379999999994</v>
      </c>
      <c r="AC200" s="567"/>
      <c r="AD200" s="568">
        <f t="shared" si="1032"/>
        <v>2048.1999999999998</v>
      </c>
      <c r="AE200" s="568">
        <v>645.29999999999995</v>
      </c>
      <c r="AF200" s="569">
        <v>1402.9</v>
      </c>
      <c r="AG200" s="567">
        <v>2580.538</v>
      </c>
      <c r="AH200" s="570"/>
      <c r="AI200" s="567">
        <f t="shared" si="1173"/>
        <v>683.1</v>
      </c>
      <c r="AJ200" s="567"/>
      <c r="AK200" s="568">
        <v>683.1</v>
      </c>
      <c r="AL200" s="567"/>
      <c r="AM200" s="570"/>
      <c r="AN200" s="567">
        <f t="shared" si="1174"/>
        <v>683.1</v>
      </c>
      <c r="AO200" s="567"/>
      <c r="AP200" s="568">
        <v>683.1</v>
      </c>
      <c r="AQ200" s="567"/>
      <c r="AR200" s="570"/>
      <c r="AS200" s="567">
        <f t="shared" si="1175"/>
        <v>297</v>
      </c>
      <c r="AT200" s="567"/>
      <c r="AU200" s="568">
        <v>297</v>
      </c>
      <c r="AV200" s="567"/>
      <c r="AW200" s="570"/>
      <c r="AX200" s="409" t="s">
        <v>492</v>
      </c>
      <c r="AY200" s="567">
        <f t="shared" si="1176"/>
        <v>4628.7375199999997</v>
      </c>
      <c r="AZ200" s="567"/>
      <c r="BA200" s="568">
        <f t="shared" si="1177"/>
        <v>2048.1999999999998</v>
      </c>
      <c r="BB200" s="568">
        <v>645.29999999999995</v>
      </c>
      <c r="BC200" s="569">
        <v>1402.9</v>
      </c>
      <c r="BD200" s="567">
        <v>2580.5375199999999</v>
      </c>
      <c r="BE200" s="567"/>
      <c r="BF200" s="567">
        <f t="shared" si="798"/>
        <v>4.8000000015235855E-4</v>
      </c>
      <c r="BG200" s="567">
        <f t="shared" si="799"/>
        <v>0</v>
      </c>
      <c r="BH200" s="567">
        <f t="shared" si="800"/>
        <v>0</v>
      </c>
      <c r="BI200" s="567">
        <f t="shared" si="801"/>
        <v>0</v>
      </c>
      <c r="BJ200" s="567">
        <f t="shared" si="802"/>
        <v>0</v>
      </c>
      <c r="BK200" s="567">
        <f t="shared" si="803"/>
        <v>4.8000000015235855E-4</v>
      </c>
      <c r="BL200" s="567" t="e">
        <f>#REF!-BE200</f>
        <v>#REF!</v>
      </c>
      <c r="BM200" s="567">
        <f t="shared" si="1178"/>
        <v>683.1</v>
      </c>
      <c r="BN200" s="567"/>
      <c r="BO200" s="568">
        <v>683.1</v>
      </c>
      <c r="BP200" s="567"/>
      <c r="BQ200" s="567"/>
      <c r="BR200" s="567">
        <f t="shared" si="1179"/>
        <v>0</v>
      </c>
      <c r="BS200" s="567"/>
      <c r="BT200" s="568"/>
      <c r="BU200" s="567"/>
      <c r="BV200" s="567"/>
      <c r="BW200" s="567">
        <f t="shared" si="1180"/>
        <v>4069.0590300000003</v>
      </c>
      <c r="BX200" s="567"/>
      <c r="BY200" s="568">
        <f t="shared" si="804"/>
        <v>1994.22432</v>
      </c>
      <c r="BZ200" s="571">
        <v>645.29999999999995</v>
      </c>
      <c r="CA200" s="571">
        <f>1040.61425+308.31007</f>
        <v>1348.9243200000001</v>
      </c>
      <c r="CB200" s="567">
        <v>2074.8347100000001</v>
      </c>
      <c r="CC200" s="567"/>
      <c r="CD200" s="567">
        <f t="shared" si="1181"/>
        <v>4069.0590300000003</v>
      </c>
      <c r="CE200" s="567"/>
      <c r="CF200" s="568">
        <f t="shared" si="805"/>
        <v>1994.22432</v>
      </c>
      <c r="CG200" s="571">
        <v>645.29999999999995</v>
      </c>
      <c r="CH200" s="571">
        <f>1040.61425+308.31007</f>
        <v>1348.9243200000001</v>
      </c>
      <c r="CI200" s="567">
        <v>2074.8347100000001</v>
      </c>
      <c r="CJ200" s="567"/>
      <c r="CK200" s="567">
        <f t="shared" si="1182"/>
        <v>625.54701</v>
      </c>
      <c r="CL200" s="567"/>
      <c r="CM200" s="567">
        <v>342.61500000000001</v>
      </c>
      <c r="CN200" s="567"/>
      <c r="CO200" s="567"/>
      <c r="CP200" s="567">
        <v>282.93200999999999</v>
      </c>
      <c r="CQ200" s="567"/>
      <c r="CR200" s="573">
        <f t="shared" si="1183"/>
        <v>4694.6060400000006</v>
      </c>
      <c r="CS200" s="567">
        <f t="shared" si="807"/>
        <v>4694.6060400000006</v>
      </c>
      <c r="CT200" s="567">
        <f t="shared" si="808"/>
        <v>0</v>
      </c>
      <c r="CU200" s="567">
        <f t="shared" si="809"/>
        <v>2336.83932</v>
      </c>
      <c r="CV200" s="567">
        <f t="shared" si="810"/>
        <v>2357.7667200000001</v>
      </c>
      <c r="CW200" s="567">
        <f t="shared" si="1184"/>
        <v>0</v>
      </c>
      <c r="CX200" s="567">
        <f t="shared" ca="1" si="899"/>
        <v>0</v>
      </c>
      <c r="CY200" s="567">
        <f t="shared" si="811"/>
        <v>0</v>
      </c>
      <c r="CZ200" s="567">
        <f t="shared" si="812"/>
        <v>0</v>
      </c>
      <c r="DA200" s="567">
        <f t="shared" si="813"/>
        <v>0</v>
      </c>
      <c r="DB200" s="2">
        <f t="shared" si="1185"/>
        <v>0</v>
      </c>
      <c r="DC200" s="76"/>
      <c r="DD200" s="545">
        <f>BM200+BM202+BM203+BM204</f>
        <v>4102.8189999999995</v>
      </c>
      <c r="DE200" s="545">
        <f>DD200-BR200</f>
        <v>4102.8189999999995</v>
      </c>
      <c r="DF200" s="2">
        <f t="shared" si="1186"/>
        <v>0</v>
      </c>
      <c r="DG200" s="2"/>
      <c r="DH200" s="198"/>
      <c r="DI200" s="2"/>
      <c r="DJ200" s="2"/>
      <c r="DK200" s="2">
        <f t="shared" si="1187"/>
        <v>0</v>
      </c>
      <c r="DL200" s="2"/>
      <c r="DM200" s="198"/>
      <c r="DN200" s="2"/>
      <c r="DO200" s="2"/>
      <c r="DP200" s="2">
        <f t="shared" si="1188"/>
        <v>0</v>
      </c>
      <c r="DQ200" s="2">
        <f t="shared" si="1189"/>
        <v>0</v>
      </c>
      <c r="DR200" s="2">
        <f t="shared" si="1189"/>
        <v>0</v>
      </c>
      <c r="DS200" s="2">
        <f t="shared" si="1189"/>
        <v>0</v>
      </c>
      <c r="DT200" s="2">
        <f t="shared" si="1189"/>
        <v>0</v>
      </c>
      <c r="DU200" s="2"/>
      <c r="DV200" s="2"/>
      <c r="DW200" s="2"/>
      <c r="DX200" s="2">
        <f t="shared" ca="1" si="1190"/>
        <v>0</v>
      </c>
      <c r="DY200" s="46"/>
      <c r="DZ200" s="2">
        <f t="shared" si="1191"/>
        <v>4069.0590300000003</v>
      </c>
      <c r="EA200" s="2">
        <f t="shared" si="1192"/>
        <v>4069.0590300000003</v>
      </c>
      <c r="EB200" s="46"/>
      <c r="EC200" s="546">
        <f>EA200+EA202+EA203+EA204</f>
        <v>28667.663289999997</v>
      </c>
      <c r="ED200" s="546">
        <f ca="1">DX200+DX202+DX203+DX204</f>
        <v>0</v>
      </c>
      <c r="EE200" s="46"/>
      <c r="EF200" s="2">
        <f>DE200-EC200</f>
        <v>-24564.844289999997</v>
      </c>
      <c r="EG200" s="46"/>
      <c r="EH200" s="46"/>
      <c r="EI200" s="2">
        <f t="shared" ref="EI200:EI240" si="1196">EJ200+EK200+EN200</f>
        <v>4069.0590300000003</v>
      </c>
      <c r="EJ200" s="2"/>
      <c r="EK200" s="198">
        <f t="shared" si="814"/>
        <v>1994.22432</v>
      </c>
      <c r="EL200" s="446">
        <v>645.29999999999995</v>
      </c>
      <c r="EM200" s="446">
        <f>1040.61425+308.31007</f>
        <v>1348.9243200000001</v>
      </c>
      <c r="EN200" s="2">
        <v>2074.8347100000001</v>
      </c>
      <c r="EO200" s="2"/>
      <c r="EP200" s="2">
        <f>EQ200+ER200+EU200</f>
        <v>625.54701</v>
      </c>
      <c r="EQ200" s="2"/>
      <c r="ER200" s="2">
        <v>342.61500000000001</v>
      </c>
      <c r="ES200" s="2">
        <v>158.57899</v>
      </c>
      <c r="ET200" s="2">
        <f>141.97275+42.06326</f>
        <v>184.03600999999998</v>
      </c>
      <c r="EU200" s="2">
        <v>282.93200999999999</v>
      </c>
      <c r="EV200" s="141"/>
      <c r="EW200" s="310"/>
      <c r="EX200" s="310"/>
      <c r="EY200" s="310"/>
      <c r="EZ200" s="396"/>
      <c r="FA200" s="396"/>
      <c r="FB200" s="310"/>
      <c r="FC200" s="310"/>
      <c r="FD200" s="310"/>
      <c r="FE200" s="396"/>
      <c r="FF200" s="396"/>
      <c r="FG200" s="396"/>
      <c r="FH200" s="311"/>
      <c r="FI200" s="310"/>
      <c r="FJ200" s="296" t="e">
        <f t="shared" si="1195"/>
        <v>#DIV/0!</v>
      </c>
      <c r="FK200" s="353">
        <f t="shared" si="817"/>
        <v>2048.1999999999998</v>
      </c>
      <c r="FL200" s="353">
        <f t="shared" ref="FL200:FL205" si="1197">BA200</f>
        <v>2048.1999999999998</v>
      </c>
      <c r="FM200" s="353"/>
      <c r="FN200" s="388">
        <f t="shared" ref="FN200:FN204" si="1198">FL200/FK200</f>
        <v>1</v>
      </c>
      <c r="FO200" s="388">
        <f t="shared" ref="FO200:FO204" si="1199">FM200/FK200</f>
        <v>0</v>
      </c>
      <c r="FP200" s="353">
        <f t="shared" si="818"/>
        <v>2336.83932</v>
      </c>
      <c r="FQ200" s="353">
        <f t="shared" ref="FQ200:FQ204" si="1200">EK200</f>
        <v>1994.22432</v>
      </c>
      <c r="FR200" s="353">
        <f t="shared" ref="FR200:FR204" si="1201">ER200</f>
        <v>342.61500000000001</v>
      </c>
      <c r="FS200" s="388">
        <f t="shared" ref="FS200:FS204" si="1202">FQ200/FP200</f>
        <v>0.8533852982240987</v>
      </c>
      <c r="FT200" s="388">
        <f t="shared" ref="FT200:FT204" si="1203">FR200/FP200</f>
        <v>0.1466147017759013</v>
      </c>
      <c r="FU200" s="388"/>
      <c r="FV200" s="353">
        <f t="shared" ref="FV200:FV204" si="1204">FP200*FN200</f>
        <v>2336.83932</v>
      </c>
      <c r="FW200" s="353">
        <f t="shared" si="819"/>
        <v>-342.61500000000001</v>
      </c>
      <c r="FX200" s="310">
        <f t="shared" ref="FX200" si="1205">FY200+FZ200</f>
        <v>2580.5375199999999</v>
      </c>
      <c r="FY200" s="310">
        <f>BD200</f>
        <v>2580.5375199999999</v>
      </c>
      <c r="FZ200" s="310"/>
      <c r="GA200" s="396">
        <f t="shared" ref="GA200" si="1206">FY200/FX200</f>
        <v>1</v>
      </c>
      <c r="GB200" s="396">
        <f t="shared" ref="GB200" si="1207">FZ200/FX200</f>
        <v>0</v>
      </c>
      <c r="GC200" s="310">
        <f t="shared" ref="GC200" si="1208">GD200+GE200</f>
        <v>2357.7667200000001</v>
      </c>
      <c r="GD200" s="310">
        <f t="shared" ref="GD200" si="1209">EN200</f>
        <v>2074.8347100000001</v>
      </c>
      <c r="GE200" s="310">
        <f t="shared" ref="GE200" si="1210">EU200</f>
        <v>282.93200999999999</v>
      </c>
      <c r="GF200" s="396">
        <f t="shared" ref="GF200" si="1211">GD200/GC200</f>
        <v>0.87999999847313137</v>
      </c>
      <c r="GG200" s="396">
        <f t="shared" ref="GG200" si="1212">GE200/GC200</f>
        <v>0.1200000015268686</v>
      </c>
      <c r="GH200" s="396"/>
      <c r="GI200" s="311">
        <f t="shared" ref="GI200" si="1213">GC200*GA200</f>
        <v>2357.7667200000001</v>
      </c>
      <c r="GJ200" s="344">
        <f t="shared" ref="GJ200" si="1214">GD200-GI200</f>
        <v>-282.93200999999999</v>
      </c>
      <c r="GK200" s="303">
        <f t="shared" ref="GK200:GK263" si="1215">BW200/AB200</f>
        <v>0.87908605542158591</v>
      </c>
    </row>
    <row r="201" spans="2:193" s="37" customFormat="1" ht="15.6" customHeight="1" x14ac:dyDescent="0.25">
      <c r="B201" s="29"/>
      <c r="C201" s="30"/>
      <c r="D201" s="30">
        <v>1</v>
      </c>
      <c r="E201" s="493">
        <v>167</v>
      </c>
      <c r="F201" s="29"/>
      <c r="G201" s="30"/>
      <c r="H201" s="30">
        <v>1</v>
      </c>
      <c r="I201" s="493"/>
      <c r="J201" s="494"/>
      <c r="K201" s="494"/>
      <c r="L201" s="53"/>
      <c r="M201" s="493">
        <v>143</v>
      </c>
      <c r="N201" s="494" t="s">
        <v>234</v>
      </c>
      <c r="O201" s="494"/>
      <c r="P201" s="494">
        <f t="shared" si="816"/>
        <v>0</v>
      </c>
      <c r="Q201" s="494" t="s">
        <v>701</v>
      </c>
      <c r="R201" s="494" t="s">
        <v>699</v>
      </c>
      <c r="S201" s="494" t="s">
        <v>536</v>
      </c>
      <c r="T201" s="156">
        <v>2</v>
      </c>
      <c r="U201" s="493"/>
      <c r="V201" s="2">
        <f t="shared" ref="V201:V266" si="1216">W201+X201+AA201</f>
        <v>3059.4</v>
      </c>
      <c r="W201" s="2"/>
      <c r="X201" s="198">
        <f t="shared" si="1031"/>
        <v>3059.4</v>
      </c>
      <c r="Y201" s="198">
        <v>963.9</v>
      </c>
      <c r="Z201" s="42">
        <v>2095.5</v>
      </c>
      <c r="AA201" s="2"/>
      <c r="AB201" s="567">
        <f t="shared" si="1172"/>
        <v>3059.4</v>
      </c>
      <c r="AC201" s="567"/>
      <c r="AD201" s="568">
        <f t="shared" si="1032"/>
        <v>3059.4</v>
      </c>
      <c r="AE201" s="568">
        <v>963.9</v>
      </c>
      <c r="AF201" s="569">
        <v>2095.5</v>
      </c>
      <c r="AG201" s="567"/>
      <c r="AH201" s="570"/>
      <c r="AI201" s="567">
        <f t="shared" si="1173"/>
        <v>800.4</v>
      </c>
      <c r="AJ201" s="567"/>
      <c r="AK201" s="568">
        <v>800.4</v>
      </c>
      <c r="AL201" s="567"/>
      <c r="AM201" s="570"/>
      <c r="AN201" s="567">
        <f t="shared" si="1174"/>
        <v>800.4</v>
      </c>
      <c r="AO201" s="567"/>
      <c r="AP201" s="568">
        <v>800.4</v>
      </c>
      <c r="AQ201" s="567"/>
      <c r="AR201" s="570"/>
      <c r="AS201" s="567">
        <f t="shared" si="1175"/>
        <v>348</v>
      </c>
      <c r="AT201" s="567"/>
      <c r="AU201" s="568">
        <v>348</v>
      </c>
      <c r="AV201" s="567"/>
      <c r="AW201" s="570"/>
      <c r="AX201" s="409" t="s">
        <v>407</v>
      </c>
      <c r="AY201" s="567">
        <f t="shared" si="1176"/>
        <v>2835.9389999999999</v>
      </c>
      <c r="AZ201" s="567"/>
      <c r="BA201" s="568">
        <f t="shared" si="1177"/>
        <v>2835.9389999999999</v>
      </c>
      <c r="BB201" s="568">
        <f>740.399+0.04</f>
        <v>740.43899999999996</v>
      </c>
      <c r="BC201" s="569">
        <v>2095.5</v>
      </c>
      <c r="BD201" s="574"/>
      <c r="BE201" s="570"/>
      <c r="BF201" s="567">
        <f t="shared" ref="BF201:BF264" si="1217">BG201+BH201+BK201</f>
        <v>223.46100000000001</v>
      </c>
      <c r="BG201" s="567">
        <f t="shared" ref="BG201:BG264" si="1218">AC201-AZ201</f>
        <v>0</v>
      </c>
      <c r="BH201" s="567">
        <f t="shared" ref="BH201:BH264" si="1219">BI201+BJ201</f>
        <v>223.46100000000001</v>
      </c>
      <c r="BI201" s="567">
        <f t="shared" ref="BI201:BI264" si="1220">AE201-BB201</f>
        <v>223.46100000000001</v>
      </c>
      <c r="BJ201" s="567">
        <f t="shared" ref="BJ201:BJ264" si="1221">AF201-BC201</f>
        <v>0</v>
      </c>
      <c r="BK201" s="567">
        <f t="shared" ref="BK201:BK264" si="1222">AG201-BD201</f>
        <v>0</v>
      </c>
      <c r="BL201" s="567" t="e">
        <f>#REF!-BE201</f>
        <v>#REF!</v>
      </c>
      <c r="BM201" s="567">
        <f t="shared" si="1178"/>
        <v>756.99700000000007</v>
      </c>
      <c r="BN201" s="567"/>
      <c r="BO201" s="568">
        <f>347+409.997</f>
        <v>756.99700000000007</v>
      </c>
      <c r="BP201" s="567"/>
      <c r="BQ201" s="570"/>
      <c r="BR201" s="567">
        <f t="shared" si="1179"/>
        <v>0</v>
      </c>
      <c r="BS201" s="567"/>
      <c r="BT201" s="568"/>
      <c r="BU201" s="567"/>
      <c r="BV201" s="570"/>
      <c r="BW201" s="567">
        <f t="shared" si="1180"/>
        <v>2835.9389999999999</v>
      </c>
      <c r="BX201" s="567"/>
      <c r="BY201" s="578">
        <f t="shared" ref="BY201:BY260" si="1223">BZ201+CA201</f>
        <v>2835.9389999999999</v>
      </c>
      <c r="BZ201" s="571">
        <f>740.399+0.04</f>
        <v>740.43899999999996</v>
      </c>
      <c r="CA201" s="571">
        <v>2095.5</v>
      </c>
      <c r="CB201" s="567"/>
      <c r="CC201" s="577"/>
      <c r="CD201" s="567">
        <f t="shared" si="1181"/>
        <v>2835.9389999999999</v>
      </c>
      <c r="CE201" s="567"/>
      <c r="CF201" s="578">
        <f t="shared" ref="CF201:CF260" si="1224">CG201+CH201</f>
        <v>2835.9389999999999</v>
      </c>
      <c r="CG201" s="571">
        <f>740.399+0.04</f>
        <v>740.43899999999996</v>
      </c>
      <c r="CH201" s="571">
        <v>2095.5</v>
      </c>
      <c r="CI201" s="567"/>
      <c r="CJ201" s="570"/>
      <c r="CK201" s="567">
        <f t="shared" si="1182"/>
        <v>423.76289999999995</v>
      </c>
      <c r="CL201" s="567"/>
      <c r="CM201" s="567">
        <f t="shared" ref="CM201:CM258" si="1225">CN201+CO201</f>
        <v>423.76289999999995</v>
      </c>
      <c r="CN201" s="567">
        <f>110.63458+0.00598</f>
        <v>110.64055999999999</v>
      </c>
      <c r="CO201" s="567">
        <f>313.12832-0.00598</f>
        <v>313.12233999999995</v>
      </c>
      <c r="CP201" s="567"/>
      <c r="CQ201" s="567"/>
      <c r="CR201" s="573">
        <f t="shared" si="1183"/>
        <v>3259.7019</v>
      </c>
      <c r="CS201" s="567">
        <f t="shared" ref="CS201:CS264" si="1226">CT201+CU201+CV201</f>
        <v>3259.7019</v>
      </c>
      <c r="CT201" s="567">
        <f t="shared" ref="CT201:CT264" si="1227">CE201+CL201</f>
        <v>0</v>
      </c>
      <c r="CU201" s="567">
        <f t="shared" ref="CU201:CU264" si="1228">CF201+CM201</f>
        <v>3259.7019</v>
      </c>
      <c r="CV201" s="567">
        <f t="shared" ref="CV201:CV264" si="1229">CI201+CP201</f>
        <v>0</v>
      </c>
      <c r="CW201" s="567">
        <f t="shared" si="1184"/>
        <v>0</v>
      </c>
      <c r="CX201" s="567">
        <f t="shared" ca="1" si="899"/>
        <v>0</v>
      </c>
      <c r="CY201" s="567">
        <f t="shared" ref="CY201:CY264" si="1230">BX201-CE201</f>
        <v>0</v>
      </c>
      <c r="CZ201" s="567">
        <f t="shared" ref="CZ201:CZ264" si="1231">BY201-CF201</f>
        <v>0</v>
      </c>
      <c r="DA201" s="567">
        <f t="shared" ref="DA201:DA264" si="1232">CB201-CI201</f>
        <v>0</v>
      </c>
      <c r="DB201" s="2">
        <f t="shared" si="1185"/>
        <v>0</v>
      </c>
      <c r="DC201" s="76"/>
      <c r="DD201" s="253">
        <f>BM197-DD198-DD200</f>
        <v>756.9970000000003</v>
      </c>
      <c r="DE201" s="253">
        <f>DD201-BR201</f>
        <v>756.9970000000003</v>
      </c>
      <c r="DF201" s="2">
        <f t="shared" si="1186"/>
        <v>0</v>
      </c>
      <c r="DG201" s="2"/>
      <c r="DH201" s="198"/>
      <c r="DI201" s="2"/>
      <c r="DJ201" s="234"/>
      <c r="DK201" s="2">
        <f t="shared" si="1187"/>
        <v>0</v>
      </c>
      <c r="DL201" s="2"/>
      <c r="DM201" s="198"/>
      <c r="DN201" s="2"/>
      <c r="DO201" s="234"/>
      <c r="DP201" s="2">
        <f t="shared" si="1188"/>
        <v>0</v>
      </c>
      <c r="DQ201" s="2">
        <f t="shared" si="1189"/>
        <v>0</v>
      </c>
      <c r="DR201" s="2">
        <f t="shared" si="1189"/>
        <v>0</v>
      </c>
      <c r="DS201" s="2">
        <f t="shared" si="1189"/>
        <v>0</v>
      </c>
      <c r="DT201" s="2">
        <f t="shared" si="1189"/>
        <v>0</v>
      </c>
      <c r="DU201" s="2"/>
      <c r="DV201" s="2"/>
      <c r="DW201" s="2"/>
      <c r="DX201" s="2">
        <f t="shared" ca="1" si="1190"/>
        <v>0</v>
      </c>
      <c r="DY201" s="46"/>
      <c r="DZ201" s="2">
        <f t="shared" si="1191"/>
        <v>2835.9389999999999</v>
      </c>
      <c r="EA201" s="2">
        <f t="shared" si="1192"/>
        <v>2835.9389999999999</v>
      </c>
      <c r="EB201" s="46"/>
      <c r="EC201" s="2">
        <f>EA201</f>
        <v>2835.9389999999999</v>
      </c>
      <c r="ED201" s="2">
        <f ca="1">DX201</f>
        <v>0</v>
      </c>
      <c r="EE201" s="46"/>
      <c r="EF201" s="2">
        <f>DE201-EC201</f>
        <v>-2078.9419999999996</v>
      </c>
      <c r="EG201" s="46"/>
      <c r="EH201" s="46"/>
      <c r="EI201" s="2">
        <f t="shared" si="1196"/>
        <v>2835.9389999999999</v>
      </c>
      <c r="EJ201" s="2"/>
      <c r="EK201" s="433">
        <f t="shared" ref="EK201:EK260" si="1233">EL201+EM201</f>
        <v>2835.9389999999999</v>
      </c>
      <c r="EL201" s="446">
        <f>740.399+0.04</f>
        <v>740.43899999999996</v>
      </c>
      <c r="EM201" s="446">
        <v>2095.5</v>
      </c>
      <c r="EN201" s="2"/>
      <c r="EO201" s="234"/>
      <c r="EP201" s="2">
        <f t="shared" ref="EP201:EP262" si="1234">EQ201+ER201+EU201</f>
        <v>423.76289999999995</v>
      </c>
      <c r="EQ201" s="2"/>
      <c r="ER201" s="2">
        <f t="shared" ref="ER201:ER258" si="1235">ES201+ET201</f>
        <v>423.76289999999995</v>
      </c>
      <c r="ES201" s="2">
        <f>110.63458+0.00598</f>
        <v>110.64055999999999</v>
      </c>
      <c r="ET201" s="2">
        <f>313.12832-0.00598</f>
        <v>313.12233999999995</v>
      </c>
      <c r="EU201" s="2"/>
      <c r="EV201" s="141"/>
      <c r="EW201" s="310"/>
      <c r="EX201" s="310"/>
      <c r="EY201" s="310"/>
      <c r="EZ201" s="396"/>
      <c r="FA201" s="396"/>
      <c r="FB201" s="310"/>
      <c r="FC201" s="310"/>
      <c r="FD201" s="310"/>
      <c r="FE201" s="396"/>
      <c r="FF201" s="396"/>
      <c r="FG201" s="396"/>
      <c r="FH201" s="311"/>
      <c r="FI201" s="310"/>
      <c r="FJ201" s="296" t="e">
        <f t="shared" si="1195"/>
        <v>#DIV/0!</v>
      </c>
      <c r="FK201" s="353">
        <f t="shared" si="817"/>
        <v>2835.9389999999999</v>
      </c>
      <c r="FL201" s="353">
        <f t="shared" si="1197"/>
        <v>2835.9389999999999</v>
      </c>
      <c r="FM201" s="353"/>
      <c r="FN201" s="388">
        <f t="shared" si="1198"/>
        <v>1</v>
      </c>
      <c r="FO201" s="388">
        <f t="shared" si="1199"/>
        <v>0</v>
      </c>
      <c r="FP201" s="353">
        <f t="shared" si="818"/>
        <v>3259.7019</v>
      </c>
      <c r="FQ201" s="353">
        <f t="shared" si="1200"/>
        <v>2835.9389999999999</v>
      </c>
      <c r="FR201" s="353">
        <f t="shared" si="1201"/>
        <v>423.76289999999995</v>
      </c>
      <c r="FS201" s="388">
        <f t="shared" si="1202"/>
        <v>0.86999949289841494</v>
      </c>
      <c r="FT201" s="388">
        <f t="shared" si="1203"/>
        <v>0.13000050710158495</v>
      </c>
      <c r="FU201" s="388"/>
      <c r="FV201" s="353">
        <f t="shared" si="1204"/>
        <v>3259.7019</v>
      </c>
      <c r="FW201" s="353">
        <f t="shared" si="819"/>
        <v>-423.76290000000017</v>
      </c>
      <c r="FX201" s="310"/>
      <c r="FY201" s="310"/>
      <c r="FZ201" s="310"/>
      <c r="GA201" s="396"/>
      <c r="GB201" s="396"/>
      <c r="GC201" s="310"/>
      <c r="GD201" s="310"/>
      <c r="GE201" s="310"/>
      <c r="GF201" s="396"/>
      <c r="GG201" s="396"/>
      <c r="GH201" s="396"/>
      <c r="GI201" s="311"/>
      <c r="GJ201" s="344"/>
      <c r="GK201" s="303">
        <f t="shared" si="1215"/>
        <v>0.92695920768778184</v>
      </c>
    </row>
    <row r="202" spans="2:193" s="37" customFormat="1" ht="15.75" customHeight="1" x14ac:dyDescent="0.25">
      <c r="B202" s="29"/>
      <c r="C202" s="30">
        <v>1</v>
      </c>
      <c r="D202" s="30"/>
      <c r="E202" s="493">
        <v>168</v>
      </c>
      <c r="F202" s="29"/>
      <c r="G202" s="30">
        <v>1</v>
      </c>
      <c r="H202" s="30">
        <v>1</v>
      </c>
      <c r="I202" s="493"/>
      <c r="J202" s="494"/>
      <c r="K202" s="494"/>
      <c r="L202" s="53"/>
      <c r="M202" s="493">
        <v>144</v>
      </c>
      <c r="N202" s="494" t="s">
        <v>235</v>
      </c>
      <c r="O202" s="494"/>
      <c r="P202" s="494">
        <f t="shared" ref="P202:P260" si="1236">BW202-CD202</f>
        <v>0</v>
      </c>
      <c r="Q202" s="494"/>
      <c r="R202" s="494"/>
      <c r="S202" s="494" t="s">
        <v>550</v>
      </c>
      <c r="T202" s="156">
        <v>3</v>
      </c>
      <c r="U202" s="493"/>
      <c r="V202" s="2">
        <f t="shared" si="1216"/>
        <v>8277.6090000000004</v>
      </c>
      <c r="W202" s="2"/>
      <c r="X202" s="198">
        <f t="shared" si="1031"/>
        <v>3014.6000000000004</v>
      </c>
      <c r="Y202" s="198">
        <v>949.8</v>
      </c>
      <c r="Z202" s="42">
        <v>2064.8000000000002</v>
      </c>
      <c r="AA202" s="2">
        <v>5263.009</v>
      </c>
      <c r="AB202" s="567">
        <f t="shared" si="1172"/>
        <v>8277.6090000000004</v>
      </c>
      <c r="AC202" s="567"/>
      <c r="AD202" s="568">
        <f t="shared" si="1032"/>
        <v>3014.6000000000004</v>
      </c>
      <c r="AE202" s="568">
        <v>949.8</v>
      </c>
      <c r="AF202" s="569">
        <v>2064.8000000000002</v>
      </c>
      <c r="AG202" s="567">
        <v>5263.009</v>
      </c>
      <c r="AH202" s="570"/>
      <c r="AI202" s="567">
        <f t="shared" si="1173"/>
        <v>968.3</v>
      </c>
      <c r="AJ202" s="567"/>
      <c r="AK202" s="568">
        <v>968.3</v>
      </c>
      <c r="AL202" s="567"/>
      <c r="AM202" s="570"/>
      <c r="AN202" s="567">
        <f t="shared" si="1174"/>
        <v>968.3</v>
      </c>
      <c r="AO202" s="567"/>
      <c r="AP202" s="568">
        <v>968.3</v>
      </c>
      <c r="AQ202" s="567"/>
      <c r="AR202" s="570"/>
      <c r="AS202" s="567">
        <f t="shared" si="1175"/>
        <v>421</v>
      </c>
      <c r="AT202" s="567"/>
      <c r="AU202" s="568">
        <v>421</v>
      </c>
      <c r="AV202" s="567"/>
      <c r="AW202" s="570"/>
      <c r="AX202" s="409" t="s">
        <v>420</v>
      </c>
      <c r="AY202" s="567">
        <f t="shared" si="1176"/>
        <v>8277.6090000000004</v>
      </c>
      <c r="AZ202" s="567"/>
      <c r="BA202" s="568">
        <f t="shared" si="1177"/>
        <v>3014.6000000000004</v>
      </c>
      <c r="BB202" s="568">
        <v>949.8</v>
      </c>
      <c r="BC202" s="569">
        <v>2064.8000000000002</v>
      </c>
      <c r="BD202" s="574">
        <v>5263.009</v>
      </c>
      <c r="BE202" s="570"/>
      <c r="BF202" s="567">
        <f t="shared" si="1217"/>
        <v>0</v>
      </c>
      <c r="BG202" s="567">
        <f t="shared" si="1218"/>
        <v>0</v>
      </c>
      <c r="BH202" s="567">
        <f t="shared" si="1219"/>
        <v>0</v>
      </c>
      <c r="BI202" s="567">
        <f t="shared" si="1220"/>
        <v>0</v>
      </c>
      <c r="BJ202" s="567">
        <f t="shared" si="1221"/>
        <v>0</v>
      </c>
      <c r="BK202" s="567">
        <f t="shared" si="1222"/>
        <v>0</v>
      </c>
      <c r="BL202" s="567" t="e">
        <f>#REF!-BE202</f>
        <v>#REF!</v>
      </c>
      <c r="BM202" s="567">
        <f t="shared" si="1178"/>
        <v>968.3</v>
      </c>
      <c r="BN202" s="567"/>
      <c r="BO202" s="568">
        <v>968.3</v>
      </c>
      <c r="BP202" s="567"/>
      <c r="BQ202" s="570"/>
      <c r="BR202" s="567">
        <f t="shared" si="1179"/>
        <v>0</v>
      </c>
      <c r="BS202" s="567"/>
      <c r="BT202" s="567"/>
      <c r="BU202" s="567"/>
      <c r="BV202" s="570"/>
      <c r="BW202" s="567">
        <f t="shared" si="1180"/>
        <v>8277.6090000000004</v>
      </c>
      <c r="BX202" s="567"/>
      <c r="BY202" s="578">
        <f t="shared" si="1223"/>
        <v>3014.6000000000004</v>
      </c>
      <c r="BZ202" s="578">
        <v>949.8</v>
      </c>
      <c r="CA202" s="571">
        <v>2064.8000000000002</v>
      </c>
      <c r="CB202" s="567">
        <v>5263.009</v>
      </c>
      <c r="CC202" s="577"/>
      <c r="CD202" s="567">
        <f t="shared" si="1181"/>
        <v>8277.6090000000004</v>
      </c>
      <c r="CE202" s="567"/>
      <c r="CF202" s="578">
        <f t="shared" si="1224"/>
        <v>3014.6000000000004</v>
      </c>
      <c r="CG202" s="578">
        <v>949.8</v>
      </c>
      <c r="CH202" s="571">
        <v>2064.8000000000002</v>
      </c>
      <c r="CI202" s="567">
        <v>5263.009</v>
      </c>
      <c r="CJ202" s="570"/>
      <c r="CK202" s="567">
        <f t="shared" si="1182"/>
        <v>1402.20246</v>
      </c>
      <c r="CL202" s="567"/>
      <c r="CM202" s="567">
        <v>545.43330000000003</v>
      </c>
      <c r="CN202" s="567"/>
      <c r="CO202" s="567"/>
      <c r="CP202" s="567">
        <v>856.76916000000006</v>
      </c>
      <c r="CQ202" s="567"/>
      <c r="CR202" s="573">
        <f t="shared" si="1183"/>
        <v>9679.8114600000008</v>
      </c>
      <c r="CS202" s="567">
        <f t="shared" si="1226"/>
        <v>9679.8114600000008</v>
      </c>
      <c r="CT202" s="567">
        <f t="shared" si="1227"/>
        <v>0</v>
      </c>
      <c r="CU202" s="567">
        <f t="shared" si="1228"/>
        <v>3560.0333000000005</v>
      </c>
      <c r="CV202" s="567">
        <f t="shared" si="1229"/>
        <v>6119.7781599999998</v>
      </c>
      <c r="CW202" s="567">
        <f t="shared" si="1184"/>
        <v>0</v>
      </c>
      <c r="CX202" s="567">
        <f t="shared" ca="1" si="899"/>
        <v>0</v>
      </c>
      <c r="CY202" s="567">
        <f t="shared" si="1230"/>
        <v>0</v>
      </c>
      <c r="CZ202" s="567">
        <f t="shared" si="1231"/>
        <v>0</v>
      </c>
      <c r="DA202" s="567">
        <f t="shared" si="1232"/>
        <v>0</v>
      </c>
      <c r="DB202" s="2">
        <f t="shared" si="1185"/>
        <v>0</v>
      </c>
      <c r="DC202" s="76"/>
      <c r="DD202" s="253"/>
      <c r="DE202" s="253"/>
      <c r="DF202" s="2">
        <f t="shared" si="1186"/>
        <v>0</v>
      </c>
      <c r="DG202" s="2"/>
      <c r="DH202" s="2"/>
      <c r="DI202" s="2"/>
      <c r="DJ202" s="234"/>
      <c r="DK202" s="2">
        <f t="shared" si="1187"/>
        <v>0</v>
      </c>
      <c r="DL202" s="2"/>
      <c r="DM202" s="2"/>
      <c r="DN202" s="2"/>
      <c r="DO202" s="234"/>
      <c r="DP202" s="2">
        <f t="shared" si="1188"/>
        <v>0</v>
      </c>
      <c r="DQ202" s="2">
        <f t="shared" si="1189"/>
        <v>0</v>
      </c>
      <c r="DR202" s="2">
        <f t="shared" si="1189"/>
        <v>0</v>
      </c>
      <c r="DS202" s="2">
        <f t="shared" si="1189"/>
        <v>0</v>
      </c>
      <c r="DT202" s="2">
        <f t="shared" si="1189"/>
        <v>0</v>
      </c>
      <c r="DU202" s="2"/>
      <c r="DV202" s="2"/>
      <c r="DW202" s="2"/>
      <c r="DX202" s="2">
        <f t="shared" ca="1" si="1190"/>
        <v>0</v>
      </c>
      <c r="DY202" s="46"/>
      <c r="DZ202" s="2">
        <f t="shared" si="1191"/>
        <v>8277.6090000000004</v>
      </c>
      <c r="EA202" s="2">
        <f t="shared" si="1192"/>
        <v>8277.6090000000004</v>
      </c>
      <c r="EB202" s="46"/>
      <c r="EC202" s="2"/>
      <c r="ED202" s="2"/>
      <c r="EE202" s="46"/>
      <c r="EF202" s="2"/>
      <c r="EG202" s="46"/>
      <c r="EH202" s="46"/>
      <c r="EI202" s="2">
        <f t="shared" si="1196"/>
        <v>8277.6090000000004</v>
      </c>
      <c r="EJ202" s="2"/>
      <c r="EK202" s="433">
        <f t="shared" si="1233"/>
        <v>3014.6000000000004</v>
      </c>
      <c r="EL202" s="433">
        <v>949.8</v>
      </c>
      <c r="EM202" s="446">
        <v>2064.8000000000002</v>
      </c>
      <c r="EN202" s="2">
        <v>5263.009</v>
      </c>
      <c r="EO202" s="234"/>
      <c r="EP202" s="2">
        <f t="shared" si="1234"/>
        <v>1402.20246</v>
      </c>
      <c r="EQ202" s="2"/>
      <c r="ER202" s="2">
        <v>545.43330000000003</v>
      </c>
      <c r="ES202" s="2">
        <v>158.84538000000001</v>
      </c>
      <c r="ET202" s="2">
        <v>386.58792</v>
      </c>
      <c r="EU202" s="2">
        <v>856.76916000000006</v>
      </c>
      <c r="EV202" s="141"/>
      <c r="EW202" s="310"/>
      <c r="EX202" s="310"/>
      <c r="EY202" s="310"/>
      <c r="EZ202" s="396"/>
      <c r="FA202" s="396"/>
      <c r="FB202" s="310"/>
      <c r="FC202" s="310"/>
      <c r="FD202" s="310"/>
      <c r="FE202" s="396"/>
      <c r="FF202" s="396"/>
      <c r="FG202" s="396"/>
      <c r="FH202" s="311"/>
      <c r="FI202" s="310"/>
      <c r="FJ202" s="296" t="e">
        <f t="shared" si="1195"/>
        <v>#DIV/0!</v>
      </c>
      <c r="FK202" s="353">
        <f t="shared" ref="FK202:FK260" si="1237">FL202+FM202</f>
        <v>3014.6000000000004</v>
      </c>
      <c r="FL202" s="353">
        <f t="shared" si="1197"/>
        <v>3014.6000000000004</v>
      </c>
      <c r="FM202" s="353"/>
      <c r="FN202" s="388">
        <f t="shared" si="1198"/>
        <v>1</v>
      </c>
      <c r="FO202" s="388">
        <f t="shared" si="1199"/>
        <v>0</v>
      </c>
      <c r="FP202" s="353">
        <f t="shared" ref="FP202:FP260" si="1238">FQ202+FR202</f>
        <v>3560.0333000000005</v>
      </c>
      <c r="FQ202" s="353">
        <f t="shared" si="1200"/>
        <v>3014.6000000000004</v>
      </c>
      <c r="FR202" s="353">
        <f t="shared" si="1201"/>
        <v>545.43330000000003</v>
      </c>
      <c r="FS202" s="388">
        <f t="shared" si="1202"/>
        <v>0.84678983199398727</v>
      </c>
      <c r="FT202" s="388">
        <f t="shared" si="1203"/>
        <v>0.15321016800601273</v>
      </c>
      <c r="FU202" s="388"/>
      <c r="FV202" s="353">
        <f t="shared" si="1204"/>
        <v>3560.0333000000005</v>
      </c>
      <c r="FW202" s="353">
        <f t="shared" ref="FW202:FW259" si="1239">FQ202-FV202</f>
        <v>-545.43330000000014</v>
      </c>
      <c r="FX202" s="310">
        <f t="shared" ref="FX202" si="1240">FY202+FZ202</f>
        <v>5263.009</v>
      </c>
      <c r="FY202" s="310">
        <f>BD202</f>
        <v>5263.009</v>
      </c>
      <c r="FZ202" s="310"/>
      <c r="GA202" s="396">
        <f t="shared" ref="GA202" si="1241">FY202/FX202</f>
        <v>1</v>
      </c>
      <c r="GB202" s="396">
        <f t="shared" ref="GB202" si="1242">FZ202/FX202</f>
        <v>0</v>
      </c>
      <c r="GC202" s="310">
        <f t="shared" ref="GC202" si="1243">GD202+GE202</f>
        <v>6119.7781599999998</v>
      </c>
      <c r="GD202" s="310">
        <f t="shared" ref="GD202" si="1244">EN202</f>
        <v>5263.009</v>
      </c>
      <c r="GE202" s="310">
        <f t="shared" ref="GE202" si="1245">EU202</f>
        <v>856.76916000000006</v>
      </c>
      <c r="GF202" s="396">
        <f t="shared" ref="GF202" si="1246">GD202/GC202</f>
        <v>0.85999996444315563</v>
      </c>
      <c r="GG202" s="396">
        <f t="shared" ref="GG202" si="1247">GE202/GC202</f>
        <v>0.14000003555684445</v>
      </c>
      <c r="GH202" s="396"/>
      <c r="GI202" s="311">
        <f t="shared" ref="GI202" si="1248">GC202*GA202</f>
        <v>6119.7781599999998</v>
      </c>
      <c r="GJ202" s="344">
        <f t="shared" ref="GJ202" si="1249">GD202-GI202</f>
        <v>-856.76915999999983</v>
      </c>
      <c r="GK202" s="303">
        <f t="shared" si="1215"/>
        <v>1</v>
      </c>
    </row>
    <row r="203" spans="2:193" s="37" customFormat="1" ht="15.75" customHeight="1" x14ac:dyDescent="0.25">
      <c r="B203" s="29"/>
      <c r="C203" s="30">
        <v>1</v>
      </c>
      <c r="D203" s="30"/>
      <c r="E203" s="493">
        <v>169</v>
      </c>
      <c r="F203" s="29"/>
      <c r="G203" s="30">
        <v>1</v>
      </c>
      <c r="H203" s="30">
        <v>1</v>
      </c>
      <c r="I203" s="493"/>
      <c r="J203" s="494"/>
      <c r="K203" s="494"/>
      <c r="L203" s="53"/>
      <c r="M203" s="493">
        <v>145</v>
      </c>
      <c r="N203" s="494" t="s">
        <v>62</v>
      </c>
      <c r="O203" s="494"/>
      <c r="P203" s="494">
        <f t="shared" si="1236"/>
        <v>0</v>
      </c>
      <c r="Q203" s="494" t="s">
        <v>706</v>
      </c>
      <c r="R203" s="494" t="s">
        <v>699</v>
      </c>
      <c r="S203" s="494" t="s">
        <v>543</v>
      </c>
      <c r="T203" s="547">
        <v>3</v>
      </c>
      <c r="U203" s="493"/>
      <c r="V203" s="2">
        <f t="shared" si="1216"/>
        <v>10229.578</v>
      </c>
      <c r="W203" s="2"/>
      <c r="X203" s="198">
        <f t="shared" si="1031"/>
        <v>563.29999999999995</v>
      </c>
      <c r="Y203" s="198">
        <v>177.5</v>
      </c>
      <c r="Z203" s="42">
        <v>385.8</v>
      </c>
      <c r="AA203" s="2">
        <v>9666.2780000000002</v>
      </c>
      <c r="AB203" s="567">
        <f t="shared" si="1172"/>
        <v>10229.578</v>
      </c>
      <c r="AC203" s="567"/>
      <c r="AD203" s="568">
        <f t="shared" si="1032"/>
        <v>563.29999999999995</v>
      </c>
      <c r="AE203" s="568">
        <v>177.5</v>
      </c>
      <c r="AF203" s="569">
        <v>385.8</v>
      </c>
      <c r="AG203" s="567">
        <v>9666.2780000000002</v>
      </c>
      <c r="AH203" s="573"/>
      <c r="AI203" s="567">
        <f t="shared" si="1173"/>
        <v>0</v>
      </c>
      <c r="AJ203" s="567"/>
      <c r="AK203" s="568">
        <v>0</v>
      </c>
      <c r="AL203" s="567"/>
      <c r="AM203" s="573"/>
      <c r="AN203" s="567">
        <f t="shared" si="1174"/>
        <v>0</v>
      </c>
      <c r="AO203" s="567"/>
      <c r="AP203" s="568">
        <v>0</v>
      </c>
      <c r="AQ203" s="567"/>
      <c r="AR203" s="573"/>
      <c r="AS203" s="567">
        <f t="shared" si="1175"/>
        <v>79</v>
      </c>
      <c r="AT203" s="567"/>
      <c r="AU203" s="568">
        <v>79</v>
      </c>
      <c r="AV203" s="567"/>
      <c r="AW203" s="567"/>
      <c r="AX203" s="605" t="s">
        <v>412</v>
      </c>
      <c r="AY203" s="573">
        <f t="shared" si="1176"/>
        <v>10229.578</v>
      </c>
      <c r="AZ203" s="567"/>
      <c r="BA203" s="568">
        <f t="shared" si="1177"/>
        <v>563.29999999999995</v>
      </c>
      <c r="BB203" s="568">
        <v>177.5</v>
      </c>
      <c r="BC203" s="569">
        <v>385.8</v>
      </c>
      <c r="BD203" s="574">
        <v>9666.2780000000002</v>
      </c>
      <c r="BE203" s="567"/>
      <c r="BF203" s="567">
        <f t="shared" si="1217"/>
        <v>0</v>
      </c>
      <c r="BG203" s="567">
        <f t="shared" si="1218"/>
        <v>0</v>
      </c>
      <c r="BH203" s="567">
        <f t="shared" si="1219"/>
        <v>0</v>
      </c>
      <c r="BI203" s="567">
        <f t="shared" si="1220"/>
        <v>0</v>
      </c>
      <c r="BJ203" s="567">
        <f t="shared" si="1221"/>
        <v>0</v>
      </c>
      <c r="BK203" s="567">
        <f t="shared" si="1222"/>
        <v>0</v>
      </c>
      <c r="BL203" s="567" t="e">
        <f>#REF!-BE203</f>
        <v>#REF!</v>
      </c>
      <c r="BM203" s="567">
        <f t="shared" si="1178"/>
        <v>0</v>
      </c>
      <c r="BN203" s="567"/>
      <c r="BO203" s="570"/>
      <c r="BP203" s="567"/>
      <c r="BQ203" s="567"/>
      <c r="BR203" s="567">
        <f t="shared" si="1179"/>
        <v>0</v>
      </c>
      <c r="BS203" s="567"/>
      <c r="BT203" s="567"/>
      <c r="BU203" s="567"/>
      <c r="BV203" s="567"/>
      <c r="BW203" s="567">
        <f t="shared" si="1180"/>
        <v>9280.3952599999993</v>
      </c>
      <c r="BX203" s="567"/>
      <c r="BY203" s="578">
        <f t="shared" si="1223"/>
        <v>563.29999999999995</v>
      </c>
      <c r="BZ203" s="578">
        <v>177.5</v>
      </c>
      <c r="CA203" s="571">
        <v>385.8</v>
      </c>
      <c r="CB203" s="567">
        <v>8717.0952600000001</v>
      </c>
      <c r="CC203" s="567"/>
      <c r="CD203" s="567">
        <f t="shared" si="1181"/>
        <v>9280.3952599999993</v>
      </c>
      <c r="CE203" s="567"/>
      <c r="CF203" s="578">
        <f t="shared" si="1224"/>
        <v>563.29999999999995</v>
      </c>
      <c r="CG203" s="578">
        <v>177.5</v>
      </c>
      <c r="CH203" s="571">
        <v>385.8</v>
      </c>
      <c r="CI203" s="567">
        <v>8717.0952600000001</v>
      </c>
      <c r="CJ203" s="567"/>
      <c r="CK203" s="567">
        <f t="shared" si="1182"/>
        <v>1073.78323</v>
      </c>
      <c r="CL203" s="567"/>
      <c r="CM203" s="567">
        <f t="shared" si="1225"/>
        <v>315.77487000000002</v>
      </c>
      <c r="CN203" s="567">
        <v>99.503</v>
      </c>
      <c r="CO203" s="567">
        <v>216.27187000000001</v>
      </c>
      <c r="CP203" s="567">
        <v>758.00836000000004</v>
      </c>
      <c r="CQ203" s="567"/>
      <c r="CR203" s="573">
        <f t="shared" si="1183"/>
        <v>10354.17849</v>
      </c>
      <c r="CS203" s="567">
        <f t="shared" si="1226"/>
        <v>10354.17849</v>
      </c>
      <c r="CT203" s="567">
        <f t="shared" si="1227"/>
        <v>0</v>
      </c>
      <c r="CU203" s="567">
        <f t="shared" si="1228"/>
        <v>879.07486999999992</v>
      </c>
      <c r="CV203" s="567">
        <f t="shared" si="1229"/>
        <v>9475.1036199999999</v>
      </c>
      <c r="CW203" s="567">
        <f t="shared" si="1184"/>
        <v>0</v>
      </c>
      <c r="CX203" s="567">
        <f t="shared" ca="1" si="899"/>
        <v>0</v>
      </c>
      <c r="CY203" s="567">
        <f t="shared" si="1230"/>
        <v>0</v>
      </c>
      <c r="CZ203" s="567">
        <f t="shared" si="1231"/>
        <v>0</v>
      </c>
      <c r="DA203" s="567">
        <f t="shared" si="1232"/>
        <v>0</v>
      </c>
      <c r="DB203" s="2">
        <f t="shared" si="1185"/>
        <v>0</v>
      </c>
      <c r="DC203" s="76"/>
      <c r="DD203" s="253"/>
      <c r="DE203" s="253"/>
      <c r="DF203" s="2">
        <f t="shared" si="1186"/>
        <v>0</v>
      </c>
      <c r="DG203" s="2"/>
      <c r="DH203" s="2"/>
      <c r="DI203" s="2"/>
      <c r="DJ203" s="2"/>
      <c r="DK203" s="2">
        <f t="shared" si="1187"/>
        <v>0</v>
      </c>
      <c r="DL203" s="2"/>
      <c r="DM203" s="2"/>
      <c r="DN203" s="2"/>
      <c r="DO203" s="2"/>
      <c r="DP203" s="2">
        <f t="shared" si="1188"/>
        <v>0</v>
      </c>
      <c r="DQ203" s="2">
        <f t="shared" si="1189"/>
        <v>0</v>
      </c>
      <c r="DR203" s="2">
        <f t="shared" si="1189"/>
        <v>0</v>
      </c>
      <c r="DS203" s="2">
        <f t="shared" si="1189"/>
        <v>0</v>
      </c>
      <c r="DT203" s="2">
        <f t="shared" si="1189"/>
        <v>0</v>
      </c>
      <c r="DU203" s="2"/>
      <c r="DV203" s="2"/>
      <c r="DW203" s="2"/>
      <c r="DX203" s="2">
        <f t="shared" ca="1" si="1190"/>
        <v>0</v>
      </c>
      <c r="DY203" s="46"/>
      <c r="DZ203" s="2">
        <f t="shared" si="1191"/>
        <v>9280.3952599999993</v>
      </c>
      <c r="EA203" s="2">
        <f t="shared" si="1192"/>
        <v>9280.3952599999993</v>
      </c>
      <c r="EB203" s="46"/>
      <c r="EC203" s="2"/>
      <c r="ED203" s="2"/>
      <c r="EE203" s="46"/>
      <c r="EF203" s="2"/>
      <c r="EG203" s="46"/>
      <c r="EH203" s="46"/>
      <c r="EI203" s="2">
        <f t="shared" si="1196"/>
        <v>9280.3952599999993</v>
      </c>
      <c r="EJ203" s="2"/>
      <c r="EK203" s="433">
        <f t="shared" si="1233"/>
        <v>563.29999999999995</v>
      </c>
      <c r="EL203" s="433">
        <v>177.5</v>
      </c>
      <c r="EM203" s="446">
        <v>385.8</v>
      </c>
      <c r="EN203" s="2">
        <v>8717.0952600000001</v>
      </c>
      <c r="EO203" s="2"/>
      <c r="EP203" s="2">
        <f t="shared" si="1234"/>
        <v>1073.78323</v>
      </c>
      <c r="EQ203" s="2"/>
      <c r="ER203" s="2">
        <f t="shared" si="1235"/>
        <v>315.77487000000002</v>
      </c>
      <c r="ES203" s="2">
        <v>99.503</v>
      </c>
      <c r="ET203" s="2">
        <v>216.27187000000001</v>
      </c>
      <c r="EU203" s="2">
        <v>758.00836000000004</v>
      </c>
      <c r="EV203" s="141"/>
      <c r="EW203" s="310"/>
      <c r="EX203" s="310"/>
      <c r="EY203" s="310"/>
      <c r="EZ203" s="396"/>
      <c r="FA203" s="396"/>
      <c r="FB203" s="310"/>
      <c r="FC203" s="310"/>
      <c r="FD203" s="310"/>
      <c r="FE203" s="396"/>
      <c r="FF203" s="396"/>
      <c r="FG203" s="396"/>
      <c r="FH203" s="311"/>
      <c r="FI203" s="310"/>
      <c r="FJ203" s="296" t="e">
        <f t="shared" si="1195"/>
        <v>#DIV/0!</v>
      </c>
      <c r="FK203" s="353">
        <f t="shared" si="1237"/>
        <v>563.29999999999995</v>
      </c>
      <c r="FL203" s="353">
        <f t="shared" si="1197"/>
        <v>563.29999999999995</v>
      </c>
      <c r="FM203" s="353"/>
      <c r="FN203" s="388">
        <f t="shared" si="1198"/>
        <v>1</v>
      </c>
      <c r="FO203" s="388">
        <f t="shared" si="1199"/>
        <v>0</v>
      </c>
      <c r="FP203" s="353">
        <f t="shared" si="1238"/>
        <v>879.07486999999992</v>
      </c>
      <c r="FQ203" s="353">
        <f t="shared" si="1200"/>
        <v>563.29999999999995</v>
      </c>
      <c r="FR203" s="353">
        <f t="shared" si="1201"/>
        <v>315.77487000000002</v>
      </c>
      <c r="FS203" s="388">
        <f t="shared" si="1202"/>
        <v>0.64078728584289979</v>
      </c>
      <c r="FT203" s="388">
        <f t="shared" si="1203"/>
        <v>0.35921271415710021</v>
      </c>
      <c r="FU203" s="388"/>
      <c r="FV203" s="353">
        <f t="shared" si="1204"/>
        <v>879.07486999999992</v>
      </c>
      <c r="FW203" s="353">
        <f t="shared" si="1239"/>
        <v>-315.77486999999996</v>
      </c>
      <c r="FX203" s="310">
        <f t="shared" ref="FX203" si="1250">FY203+FZ203</f>
        <v>9666.2780000000002</v>
      </c>
      <c r="FY203" s="310">
        <f>BD203</f>
        <v>9666.2780000000002</v>
      </c>
      <c r="FZ203" s="310"/>
      <c r="GA203" s="396">
        <f t="shared" ref="GA203" si="1251">FY203/FX203</f>
        <v>1</v>
      </c>
      <c r="GB203" s="396">
        <f t="shared" ref="GB203" si="1252">FZ203/FX203</f>
        <v>0</v>
      </c>
      <c r="GC203" s="310">
        <f t="shared" ref="GC203" si="1253">GD203+GE203</f>
        <v>9475.1036199999999</v>
      </c>
      <c r="GD203" s="310">
        <f t="shared" ref="GD203" si="1254">EN203</f>
        <v>8717.0952600000001</v>
      </c>
      <c r="GE203" s="310">
        <f t="shared" ref="GE203" si="1255">EU203</f>
        <v>758.00836000000004</v>
      </c>
      <c r="GF203" s="396">
        <f t="shared" ref="GF203" si="1256">GD203/GC203</f>
        <v>0.91999999257000209</v>
      </c>
      <c r="GG203" s="396">
        <f t="shared" ref="GG203" si="1257">GE203/GC203</f>
        <v>8.000000742999791E-2</v>
      </c>
      <c r="GH203" s="396"/>
      <c r="GI203" s="311">
        <f t="shared" ref="GI203" si="1258">GC203*GA203</f>
        <v>9475.1036199999999</v>
      </c>
      <c r="GJ203" s="344">
        <f t="shared" ref="GJ203" si="1259">GD203-GI203</f>
        <v>-758.00835999999981</v>
      </c>
      <c r="GK203" s="303">
        <f t="shared" si="1215"/>
        <v>0.90721193581983539</v>
      </c>
    </row>
    <row r="204" spans="2:193" s="37" customFormat="1" ht="15.75" customHeight="1" x14ac:dyDescent="0.25">
      <c r="B204" s="29"/>
      <c r="C204" s="30">
        <v>1</v>
      </c>
      <c r="D204" s="30"/>
      <c r="E204" s="493">
        <v>170</v>
      </c>
      <c r="F204" s="29"/>
      <c r="G204" s="30">
        <v>1</v>
      </c>
      <c r="H204" s="30">
        <v>1</v>
      </c>
      <c r="I204" s="493"/>
      <c r="J204" s="494"/>
      <c r="K204" s="494"/>
      <c r="L204" s="53"/>
      <c r="M204" s="493">
        <v>146</v>
      </c>
      <c r="N204" s="494" t="s">
        <v>63</v>
      </c>
      <c r="O204" s="494"/>
      <c r="P204" s="494">
        <f t="shared" si="1236"/>
        <v>0</v>
      </c>
      <c r="Q204" s="494" t="s">
        <v>710</v>
      </c>
      <c r="R204" s="494" t="s">
        <v>699</v>
      </c>
      <c r="S204" s="494" t="s">
        <v>502</v>
      </c>
      <c r="T204" s="156">
        <v>2</v>
      </c>
      <c r="U204" s="493">
        <v>1</v>
      </c>
      <c r="V204" s="2">
        <f t="shared" si="1216"/>
        <v>7040.6</v>
      </c>
      <c r="W204" s="2"/>
      <c r="X204" s="198">
        <f t="shared" si="1031"/>
        <v>7040.6</v>
      </c>
      <c r="Y204" s="198">
        <v>2218.3000000000002</v>
      </c>
      <c r="Z204" s="42">
        <v>4822.3</v>
      </c>
      <c r="AA204" s="2"/>
      <c r="AB204" s="567">
        <f t="shared" si="1172"/>
        <v>7040.6</v>
      </c>
      <c r="AC204" s="567"/>
      <c r="AD204" s="568">
        <f t="shared" si="1032"/>
        <v>7040.6</v>
      </c>
      <c r="AE204" s="568">
        <v>2218.3000000000002</v>
      </c>
      <c r="AF204" s="569">
        <v>4822.3</v>
      </c>
      <c r="AG204" s="567"/>
      <c r="AH204" s="570"/>
      <c r="AI204" s="567">
        <f t="shared" si="1173"/>
        <v>2451.8000000000002</v>
      </c>
      <c r="AJ204" s="567"/>
      <c r="AK204" s="568">
        <v>2451.8000000000002</v>
      </c>
      <c r="AL204" s="567"/>
      <c r="AM204" s="570"/>
      <c r="AN204" s="567">
        <f t="shared" si="1174"/>
        <v>2451.8000000000002</v>
      </c>
      <c r="AO204" s="567"/>
      <c r="AP204" s="568">
        <v>2451.8000000000002</v>
      </c>
      <c r="AQ204" s="567"/>
      <c r="AR204" s="570"/>
      <c r="AS204" s="567">
        <f t="shared" si="1175"/>
        <v>987</v>
      </c>
      <c r="AT204" s="567"/>
      <c r="AU204" s="568">
        <v>987</v>
      </c>
      <c r="AV204" s="567"/>
      <c r="AW204" s="570"/>
      <c r="AX204" s="409" t="s">
        <v>666</v>
      </c>
      <c r="AY204" s="567">
        <f t="shared" si="1176"/>
        <v>7040.6</v>
      </c>
      <c r="AZ204" s="567"/>
      <c r="BA204" s="568">
        <f t="shared" si="1177"/>
        <v>7040.6</v>
      </c>
      <c r="BB204" s="568">
        <v>2218.3000000000002</v>
      </c>
      <c r="BC204" s="569">
        <v>4822.3</v>
      </c>
      <c r="BD204" s="574"/>
      <c r="BE204" s="570"/>
      <c r="BF204" s="567">
        <f t="shared" si="1217"/>
        <v>0</v>
      </c>
      <c r="BG204" s="567">
        <f t="shared" si="1218"/>
        <v>0</v>
      </c>
      <c r="BH204" s="567">
        <f t="shared" si="1219"/>
        <v>0</v>
      </c>
      <c r="BI204" s="567">
        <f t="shared" si="1220"/>
        <v>0</v>
      </c>
      <c r="BJ204" s="567">
        <f t="shared" si="1221"/>
        <v>0</v>
      </c>
      <c r="BK204" s="567">
        <f t="shared" si="1222"/>
        <v>0</v>
      </c>
      <c r="BL204" s="567" t="e">
        <f>#REF!-BE204</f>
        <v>#REF!</v>
      </c>
      <c r="BM204" s="567">
        <f t="shared" si="1178"/>
        <v>2451.4189999999999</v>
      </c>
      <c r="BN204" s="567"/>
      <c r="BO204" s="568">
        <v>2451.4189999999999</v>
      </c>
      <c r="BP204" s="567"/>
      <c r="BQ204" s="570"/>
      <c r="BR204" s="567">
        <f t="shared" si="1179"/>
        <v>0</v>
      </c>
      <c r="BS204" s="567"/>
      <c r="BT204" s="567"/>
      <c r="BU204" s="567"/>
      <c r="BV204" s="570"/>
      <c r="BW204" s="567">
        <f t="shared" si="1180"/>
        <v>7040.5999999999995</v>
      </c>
      <c r="BX204" s="567"/>
      <c r="BY204" s="578">
        <f t="shared" si="1223"/>
        <v>7040.5999999999995</v>
      </c>
      <c r="BZ204" s="571">
        <f>1663.72426+554.57574</f>
        <v>2218.3000000000002</v>
      </c>
      <c r="CA204" s="571">
        <f>3451.75593+1370.54407</f>
        <v>4822.2999999999993</v>
      </c>
      <c r="CB204" s="567"/>
      <c r="CC204" s="577"/>
      <c r="CD204" s="567">
        <f t="shared" si="1181"/>
        <v>7040.5999999999995</v>
      </c>
      <c r="CE204" s="567"/>
      <c r="CF204" s="578">
        <f t="shared" si="1224"/>
        <v>7040.5999999999995</v>
      </c>
      <c r="CG204" s="571">
        <f>1663.72426+554.57574</f>
        <v>2218.3000000000002</v>
      </c>
      <c r="CH204" s="571">
        <f>3451.75593+1370.54407</f>
        <v>4822.2999999999993</v>
      </c>
      <c r="CI204" s="567"/>
      <c r="CJ204" s="570"/>
      <c r="CK204" s="567">
        <f t="shared" si="1182"/>
        <v>916.68194999999992</v>
      </c>
      <c r="CL204" s="567"/>
      <c r="CM204" s="567">
        <f t="shared" si="1225"/>
        <v>916.68194999999992</v>
      </c>
      <c r="CN204" s="567">
        <f>237.32905+79.10983</f>
        <v>316.43887999999998</v>
      </c>
      <c r="CO204" s="567">
        <f>429.64821+170.59486</f>
        <v>600.24306999999999</v>
      </c>
      <c r="CP204" s="567"/>
      <c r="CQ204" s="567"/>
      <c r="CR204" s="573">
        <f t="shared" si="1183"/>
        <v>7957.2819499999996</v>
      </c>
      <c r="CS204" s="567">
        <f t="shared" si="1226"/>
        <v>7957.2819499999996</v>
      </c>
      <c r="CT204" s="567">
        <f t="shared" si="1227"/>
        <v>0</v>
      </c>
      <c r="CU204" s="567">
        <f t="shared" si="1228"/>
        <v>7957.2819499999996</v>
      </c>
      <c r="CV204" s="567">
        <f t="shared" si="1229"/>
        <v>0</v>
      </c>
      <c r="CW204" s="567">
        <f t="shared" si="1184"/>
        <v>0</v>
      </c>
      <c r="CX204" s="567">
        <f t="shared" ca="1" si="899"/>
        <v>0</v>
      </c>
      <c r="CY204" s="567">
        <f t="shared" si="1230"/>
        <v>0</v>
      </c>
      <c r="CZ204" s="567">
        <f t="shared" si="1231"/>
        <v>0</v>
      </c>
      <c r="DA204" s="567">
        <f t="shared" si="1232"/>
        <v>0</v>
      </c>
      <c r="DB204" s="2">
        <f t="shared" si="1185"/>
        <v>0</v>
      </c>
      <c r="DC204" s="76"/>
      <c r="DD204" s="253"/>
      <c r="DE204" s="253"/>
      <c r="DF204" s="2">
        <f t="shared" si="1186"/>
        <v>0</v>
      </c>
      <c r="DG204" s="2"/>
      <c r="DH204" s="2"/>
      <c r="DI204" s="2"/>
      <c r="DJ204" s="234"/>
      <c r="DK204" s="2">
        <f t="shared" si="1187"/>
        <v>0</v>
      </c>
      <c r="DL204" s="2"/>
      <c r="DM204" s="2"/>
      <c r="DN204" s="2"/>
      <c r="DO204" s="234"/>
      <c r="DP204" s="2">
        <f t="shared" si="1188"/>
        <v>0</v>
      </c>
      <c r="DQ204" s="2">
        <f t="shared" si="1189"/>
        <v>0</v>
      </c>
      <c r="DR204" s="2">
        <f t="shared" si="1189"/>
        <v>0</v>
      </c>
      <c r="DS204" s="2">
        <f t="shared" si="1189"/>
        <v>0</v>
      </c>
      <c r="DT204" s="2">
        <f t="shared" si="1189"/>
        <v>0</v>
      </c>
      <c r="DU204" s="2"/>
      <c r="DV204" s="2"/>
      <c r="DW204" s="2"/>
      <c r="DX204" s="2">
        <f t="shared" ca="1" si="1190"/>
        <v>0</v>
      </c>
      <c r="DY204" s="46"/>
      <c r="DZ204" s="2">
        <f t="shared" si="1191"/>
        <v>7040.5999999999995</v>
      </c>
      <c r="EA204" s="2">
        <f t="shared" si="1192"/>
        <v>7040.5999999999995</v>
      </c>
      <c r="EB204" s="46"/>
      <c r="EC204" s="2"/>
      <c r="ED204" s="2"/>
      <c r="EE204" s="46"/>
      <c r="EF204" s="2"/>
      <c r="EG204" s="46"/>
      <c r="EH204" s="46"/>
      <c r="EI204" s="2">
        <f t="shared" si="1196"/>
        <v>7040.5999999999995</v>
      </c>
      <c r="EJ204" s="2"/>
      <c r="EK204" s="433">
        <f t="shared" si="1233"/>
        <v>7040.5999999999995</v>
      </c>
      <c r="EL204" s="446">
        <f>1663.72426+554.57574</f>
        <v>2218.3000000000002</v>
      </c>
      <c r="EM204" s="446">
        <f>3451.75593+1370.54407</f>
        <v>4822.2999999999993</v>
      </c>
      <c r="EN204" s="2"/>
      <c r="EO204" s="234"/>
      <c r="EP204" s="2">
        <f t="shared" si="1234"/>
        <v>916.68194999999992</v>
      </c>
      <c r="EQ204" s="2"/>
      <c r="ER204" s="2">
        <f t="shared" si="1235"/>
        <v>916.68194999999992</v>
      </c>
      <c r="ES204" s="2">
        <f>237.32905+79.10983</f>
        <v>316.43887999999998</v>
      </c>
      <c r="ET204" s="2">
        <f>429.64821+170.59486</f>
        <v>600.24306999999999</v>
      </c>
      <c r="EU204" s="2"/>
      <c r="EV204" s="141"/>
      <c r="EW204" s="310"/>
      <c r="EX204" s="310"/>
      <c r="EY204" s="310"/>
      <c r="EZ204" s="396"/>
      <c r="FA204" s="396"/>
      <c r="FB204" s="310"/>
      <c r="FC204" s="310"/>
      <c r="FD204" s="310"/>
      <c r="FE204" s="396"/>
      <c r="FF204" s="396"/>
      <c r="FG204" s="396"/>
      <c r="FH204" s="311"/>
      <c r="FI204" s="310"/>
      <c r="FJ204" s="296" t="e">
        <f t="shared" si="1195"/>
        <v>#DIV/0!</v>
      </c>
      <c r="FK204" s="353">
        <f t="shared" si="1237"/>
        <v>7040.6</v>
      </c>
      <c r="FL204" s="353">
        <f t="shared" si="1197"/>
        <v>7040.6</v>
      </c>
      <c r="FM204" s="353"/>
      <c r="FN204" s="388">
        <f t="shared" si="1198"/>
        <v>1</v>
      </c>
      <c r="FO204" s="388">
        <f t="shared" si="1199"/>
        <v>0</v>
      </c>
      <c r="FP204" s="353">
        <f t="shared" si="1238"/>
        <v>7957.2819499999996</v>
      </c>
      <c r="FQ204" s="353">
        <f t="shared" si="1200"/>
        <v>7040.5999999999995</v>
      </c>
      <c r="FR204" s="353">
        <f t="shared" si="1201"/>
        <v>916.68194999999992</v>
      </c>
      <c r="FS204" s="388">
        <f t="shared" si="1202"/>
        <v>0.88479961427029741</v>
      </c>
      <c r="FT204" s="388">
        <f t="shared" si="1203"/>
        <v>0.11520038572970258</v>
      </c>
      <c r="FU204" s="388"/>
      <c r="FV204" s="353">
        <f t="shared" si="1204"/>
        <v>7957.2819499999996</v>
      </c>
      <c r="FW204" s="353">
        <f t="shared" si="1239"/>
        <v>-916.68195000000014</v>
      </c>
      <c r="FX204" s="310">
        <f t="shared" ref="FX204" si="1260">FY204+FZ204</f>
        <v>0</v>
      </c>
      <c r="FY204" s="310">
        <f>BD204</f>
        <v>0</v>
      </c>
      <c r="FZ204" s="310"/>
      <c r="GA204" s="396" t="e">
        <f t="shared" ref="GA204" si="1261">FY204/FX204</f>
        <v>#DIV/0!</v>
      </c>
      <c r="GB204" s="396" t="e">
        <f t="shared" ref="GB204" si="1262">FZ204/FX204</f>
        <v>#DIV/0!</v>
      </c>
      <c r="GC204" s="310">
        <f t="shared" ref="GC204" si="1263">GD204+GE204</f>
        <v>0</v>
      </c>
      <c r="GD204" s="310">
        <f t="shared" ref="GD204" si="1264">EN204</f>
        <v>0</v>
      </c>
      <c r="GE204" s="310">
        <f t="shared" ref="GE204" si="1265">EU204</f>
        <v>0</v>
      </c>
      <c r="GF204" s="396" t="e">
        <f t="shared" ref="GF204" si="1266">GD204/GC204</f>
        <v>#DIV/0!</v>
      </c>
      <c r="GG204" s="396" t="e">
        <f t="shared" ref="GG204" si="1267">GE204/GC204</f>
        <v>#DIV/0!</v>
      </c>
      <c r="GH204" s="396"/>
      <c r="GI204" s="311" t="e">
        <f t="shared" ref="GI204" si="1268">GC204*GA204</f>
        <v>#DIV/0!</v>
      </c>
      <c r="GJ204" s="344" t="e">
        <f t="shared" ref="GJ204" si="1269">GD204-GI204</f>
        <v>#DIV/0!</v>
      </c>
      <c r="GK204" s="303">
        <f t="shared" si="1215"/>
        <v>0.99999999999999989</v>
      </c>
    </row>
    <row r="205" spans="2:193" s="115" customFormat="1" ht="15.75" customHeight="1" x14ac:dyDescent="0.2">
      <c r="B205" s="109"/>
      <c r="C205" s="110"/>
      <c r="D205" s="110"/>
      <c r="E205" s="111"/>
      <c r="F205" s="109"/>
      <c r="G205" s="110"/>
      <c r="H205" s="110"/>
      <c r="I205" s="492"/>
      <c r="J205" s="492"/>
      <c r="K205" s="492"/>
      <c r="L205" s="556"/>
      <c r="M205" s="111"/>
      <c r="N205" s="114" t="s">
        <v>13</v>
      </c>
      <c r="O205" s="114"/>
      <c r="P205" s="114">
        <f t="shared" si="1236"/>
        <v>0</v>
      </c>
      <c r="Q205" s="114"/>
      <c r="R205" s="114"/>
      <c r="S205" s="114"/>
      <c r="T205" s="158">
        <f t="shared" ref="T205:AH205" si="1270">SUM(T206:T221)-T207</f>
        <v>30</v>
      </c>
      <c r="U205" s="158">
        <f>U206+U207+U208+U209+U210+U211+U212+U213+U214+U215+U216+U217+U218+U219+U220+U221</f>
        <v>3</v>
      </c>
      <c r="V205" s="57">
        <f t="shared" si="1216"/>
        <v>94026.344000000012</v>
      </c>
      <c r="W205" s="57">
        <f t="shared" ref="W205:AA205" si="1271">SUM(W206:W221)-W207</f>
        <v>0</v>
      </c>
      <c r="X205" s="57">
        <f t="shared" si="1271"/>
        <v>51927.600000000006</v>
      </c>
      <c r="Y205" s="57">
        <f t="shared" si="1271"/>
        <v>16360.599999999999</v>
      </c>
      <c r="Z205" s="57">
        <f t="shared" si="1271"/>
        <v>35567</v>
      </c>
      <c r="AA205" s="57">
        <f t="shared" si="1271"/>
        <v>42098.743999999999</v>
      </c>
      <c r="AB205" s="564">
        <f t="shared" si="1270"/>
        <v>94026.343999999997</v>
      </c>
      <c r="AC205" s="564">
        <f t="shared" si="1270"/>
        <v>0</v>
      </c>
      <c r="AD205" s="564">
        <f t="shared" si="1270"/>
        <v>51927.600000000006</v>
      </c>
      <c r="AE205" s="564">
        <f t="shared" si="1270"/>
        <v>16360.599999999999</v>
      </c>
      <c r="AF205" s="564">
        <f t="shared" si="1270"/>
        <v>35567</v>
      </c>
      <c r="AG205" s="564">
        <f t="shared" si="1270"/>
        <v>42098.743999999999</v>
      </c>
      <c r="AH205" s="564">
        <f t="shared" si="1270"/>
        <v>0</v>
      </c>
      <c r="AI205" s="564">
        <f t="shared" ref="AI205:AM205" si="1272">SUM(AI206:AI221)-AI207</f>
        <v>0</v>
      </c>
      <c r="AJ205" s="564">
        <f t="shared" si="1272"/>
        <v>0</v>
      </c>
      <c r="AK205" s="564">
        <f t="shared" si="1272"/>
        <v>0</v>
      </c>
      <c r="AL205" s="564">
        <f t="shared" si="1272"/>
        <v>0</v>
      </c>
      <c r="AM205" s="564">
        <f t="shared" si="1272"/>
        <v>0</v>
      </c>
      <c r="AN205" s="564">
        <f t="shared" ref="AN205:AR205" si="1273">SUM(AN206:AN221)-AN207</f>
        <v>0</v>
      </c>
      <c r="AO205" s="564">
        <f t="shared" si="1273"/>
        <v>0</v>
      </c>
      <c r="AP205" s="564">
        <f t="shared" si="1273"/>
        <v>0</v>
      </c>
      <c r="AQ205" s="564">
        <f t="shared" si="1273"/>
        <v>0</v>
      </c>
      <c r="AR205" s="564">
        <f t="shared" si="1273"/>
        <v>0</v>
      </c>
      <c r="AS205" s="566">
        <f t="shared" ref="AS205:AW205" si="1274">SUM(AS206:AS221)-AS207</f>
        <v>0</v>
      </c>
      <c r="AT205" s="564">
        <f t="shared" si="1274"/>
        <v>0</v>
      </c>
      <c r="AU205" s="564">
        <f t="shared" si="1274"/>
        <v>0</v>
      </c>
      <c r="AV205" s="564">
        <f t="shared" si="1274"/>
        <v>0</v>
      </c>
      <c r="AW205" s="564">
        <f t="shared" si="1274"/>
        <v>0</v>
      </c>
      <c r="AX205" s="565"/>
      <c r="AY205" s="564">
        <f t="shared" ref="AY205:BD205" si="1275">SUM(AY206:AY221)-AY207</f>
        <v>93735.330690000003</v>
      </c>
      <c r="AZ205" s="564">
        <f t="shared" si="1275"/>
        <v>0</v>
      </c>
      <c r="BA205" s="564">
        <f t="shared" si="1275"/>
        <v>51636.586739999999</v>
      </c>
      <c r="BB205" s="564">
        <f t="shared" ref="BB205:BC205" si="1276">SUM(BB206:BB221)-BB207</f>
        <v>16069.586740000001</v>
      </c>
      <c r="BC205" s="564">
        <f t="shared" si="1276"/>
        <v>35567</v>
      </c>
      <c r="BD205" s="564">
        <f t="shared" si="1275"/>
        <v>42098.743950000004</v>
      </c>
      <c r="BE205" s="564">
        <f>SUM(BE206:BE221)-BE207</f>
        <v>0</v>
      </c>
      <c r="BF205" s="564">
        <f t="shared" si="1217"/>
        <v>291.013309999993</v>
      </c>
      <c r="BG205" s="564">
        <f t="shared" si="1218"/>
        <v>0</v>
      </c>
      <c r="BH205" s="564">
        <f t="shared" si="1219"/>
        <v>291.0132599999979</v>
      </c>
      <c r="BI205" s="564">
        <f t="shared" si="1220"/>
        <v>291.0132599999979</v>
      </c>
      <c r="BJ205" s="564">
        <f t="shared" si="1221"/>
        <v>0</v>
      </c>
      <c r="BK205" s="564">
        <f t="shared" si="1222"/>
        <v>4.9999995098914951E-5</v>
      </c>
      <c r="BL205" s="564" t="e">
        <f t="shared" ref="BL205:BQ205" si="1277">SUM(BL206:BL221)-BL207</f>
        <v>#REF!</v>
      </c>
      <c r="BM205" s="564">
        <f t="shared" si="1277"/>
        <v>17286.744999999999</v>
      </c>
      <c r="BN205" s="564">
        <f t="shared" si="1277"/>
        <v>0</v>
      </c>
      <c r="BO205" s="564">
        <f t="shared" si="1277"/>
        <v>17286.744999999999</v>
      </c>
      <c r="BP205" s="564">
        <f t="shared" si="1277"/>
        <v>0</v>
      </c>
      <c r="BQ205" s="564">
        <f t="shared" si="1277"/>
        <v>0</v>
      </c>
      <c r="BR205" s="564">
        <f t="shared" ref="BR205:DB205" si="1278">SUM(BR206:BR221)-BR207</f>
        <v>0</v>
      </c>
      <c r="BS205" s="564">
        <f t="shared" si="1278"/>
        <v>0</v>
      </c>
      <c r="BT205" s="564">
        <f t="shared" si="1278"/>
        <v>0</v>
      </c>
      <c r="BU205" s="564">
        <f t="shared" si="1278"/>
        <v>0</v>
      </c>
      <c r="BV205" s="564">
        <f t="shared" si="1278"/>
        <v>0</v>
      </c>
      <c r="BW205" s="564">
        <f t="shared" si="1278"/>
        <v>88353.891430000003</v>
      </c>
      <c r="BX205" s="564">
        <f t="shared" si="1278"/>
        <v>0</v>
      </c>
      <c r="BY205" s="564">
        <f t="shared" si="1223"/>
        <v>46255.147480000007</v>
      </c>
      <c r="BZ205" s="564">
        <f t="shared" si="1278"/>
        <v>14306.344370000001</v>
      </c>
      <c r="CA205" s="564">
        <f t="shared" si="1278"/>
        <v>31948.803110000008</v>
      </c>
      <c r="CB205" s="564">
        <f t="shared" si="1278"/>
        <v>42098.743950000004</v>
      </c>
      <c r="CC205" s="564">
        <f t="shared" si="1278"/>
        <v>0</v>
      </c>
      <c r="CD205" s="564">
        <f t="shared" si="1278"/>
        <v>88353.891430000003</v>
      </c>
      <c r="CE205" s="564">
        <f t="shared" ref="CE205" si="1279">SUM(CE206:CE221)-CE207</f>
        <v>0</v>
      </c>
      <c r="CF205" s="564">
        <f t="shared" si="1224"/>
        <v>46255.147480000007</v>
      </c>
      <c r="CG205" s="564">
        <f t="shared" ref="CG205:CH205" si="1280">SUM(CG206:CG221)-CG207</f>
        <v>14306.344370000001</v>
      </c>
      <c r="CH205" s="564">
        <f t="shared" si="1280"/>
        <v>31948.803110000008</v>
      </c>
      <c r="CI205" s="564">
        <f t="shared" ref="CI205" si="1281">SUM(CI206:CI221)-CI207</f>
        <v>42098.743950000004</v>
      </c>
      <c r="CJ205" s="564">
        <f t="shared" si="1278"/>
        <v>0</v>
      </c>
      <c r="CK205" s="566">
        <f t="shared" si="1278"/>
        <v>15929.16935</v>
      </c>
      <c r="CL205" s="564">
        <f t="shared" si="1278"/>
        <v>0</v>
      </c>
      <c r="CM205" s="564">
        <f>SUM(CM207:CM221)</f>
        <v>12215.365389999999</v>
      </c>
      <c r="CN205" s="564">
        <f t="shared" si="1278"/>
        <v>1476.58446</v>
      </c>
      <c r="CO205" s="564">
        <f t="shared" si="1278"/>
        <v>121.19329</v>
      </c>
      <c r="CP205" s="564">
        <f t="shared" si="1278"/>
        <v>3713.8039599999997</v>
      </c>
      <c r="CQ205" s="564">
        <f t="shared" si="1278"/>
        <v>0</v>
      </c>
      <c r="CR205" s="564">
        <f t="shared" si="1278"/>
        <v>104283.06077999999</v>
      </c>
      <c r="CS205" s="564">
        <f t="shared" si="1226"/>
        <v>104283.06078</v>
      </c>
      <c r="CT205" s="564">
        <f t="shared" si="1227"/>
        <v>0</v>
      </c>
      <c r="CU205" s="564">
        <f t="shared" si="1228"/>
        <v>58470.512870000006</v>
      </c>
      <c r="CV205" s="564">
        <f t="shared" si="1229"/>
        <v>45812.547910000001</v>
      </c>
      <c r="CW205" s="564">
        <f t="shared" si="1278"/>
        <v>0</v>
      </c>
      <c r="CX205" s="564">
        <f t="shared" ca="1" si="899"/>
        <v>0</v>
      </c>
      <c r="CY205" s="564">
        <f t="shared" si="1230"/>
        <v>0</v>
      </c>
      <c r="CZ205" s="564">
        <f t="shared" si="1231"/>
        <v>0</v>
      </c>
      <c r="DA205" s="564">
        <f t="shared" si="1232"/>
        <v>0</v>
      </c>
      <c r="DB205" s="57">
        <f t="shared" si="1278"/>
        <v>0</v>
      </c>
      <c r="DC205" s="225">
        <f>DD205+DF205-BR205</f>
        <v>17286.744999999999</v>
      </c>
      <c r="DD205" s="226">
        <f t="shared" ref="DD205:DX205" si="1282">SUM(DD206:DD221)-DD207</f>
        <v>17286.744999999999</v>
      </c>
      <c r="DE205" s="226">
        <f t="shared" si="1282"/>
        <v>17286.744999999999</v>
      </c>
      <c r="DF205" s="57">
        <f t="shared" si="1282"/>
        <v>0</v>
      </c>
      <c r="DG205" s="57">
        <f t="shared" si="1282"/>
        <v>0</v>
      </c>
      <c r="DH205" s="57">
        <f t="shared" si="1282"/>
        <v>0</v>
      </c>
      <c r="DI205" s="57">
        <f t="shared" si="1282"/>
        <v>0</v>
      </c>
      <c r="DJ205" s="57">
        <f t="shared" si="1282"/>
        <v>0</v>
      </c>
      <c r="DK205" s="57">
        <f t="shared" si="1282"/>
        <v>0</v>
      </c>
      <c r="DL205" s="57">
        <f t="shared" si="1282"/>
        <v>0</v>
      </c>
      <c r="DM205" s="57">
        <f t="shared" si="1282"/>
        <v>0</v>
      </c>
      <c r="DN205" s="57">
        <f t="shared" si="1282"/>
        <v>0</v>
      </c>
      <c r="DO205" s="57">
        <f t="shared" si="1282"/>
        <v>0</v>
      </c>
      <c r="DP205" s="57">
        <f t="shared" si="1282"/>
        <v>0</v>
      </c>
      <c r="DQ205" s="57">
        <f t="shared" si="1282"/>
        <v>0</v>
      </c>
      <c r="DR205" s="57">
        <f t="shared" si="1282"/>
        <v>0</v>
      </c>
      <c r="DS205" s="57">
        <f t="shared" si="1282"/>
        <v>0</v>
      </c>
      <c r="DT205" s="57">
        <f t="shared" si="1282"/>
        <v>0</v>
      </c>
      <c r="DU205" s="57">
        <f t="shared" si="1282"/>
        <v>0</v>
      </c>
      <c r="DV205" s="57">
        <f t="shared" si="1282"/>
        <v>0</v>
      </c>
      <c r="DW205" s="57">
        <f t="shared" si="1282"/>
        <v>0</v>
      </c>
      <c r="DX205" s="57">
        <f t="shared" ca="1" si="1282"/>
        <v>0</v>
      </c>
      <c r="DY205" s="124"/>
      <c r="DZ205" s="57">
        <f>SUM(DZ206:DZ221)-DZ207</f>
        <v>88353.891430000003</v>
      </c>
      <c r="EA205" s="57">
        <f>SUM(EA206:EA221)-EA207</f>
        <v>88353.891430000003</v>
      </c>
      <c r="EB205" s="124"/>
      <c r="EC205" s="57">
        <f>SUM(EC206:EC221)-EC207</f>
        <v>88353.891429999989</v>
      </c>
      <c r="ED205" s="57">
        <f ca="1">SUM(ED206:ED221)-ED207</f>
        <v>0</v>
      </c>
      <c r="EE205" s="124"/>
      <c r="EF205" s="57">
        <f>SUM(EF206:EF221)-EF207</f>
        <v>-71067.146429999993</v>
      </c>
      <c r="EG205" s="124">
        <f ca="1">DX205-EF205</f>
        <v>71067.146429999993</v>
      </c>
      <c r="EH205" s="124"/>
      <c r="EI205" s="57">
        <f t="shared" si="1196"/>
        <v>88353.891430000018</v>
      </c>
      <c r="EJ205" s="57">
        <f t="shared" ref="EJ205:EN205" si="1283">SUM(EJ206:EJ221)-EJ207</f>
        <v>0</v>
      </c>
      <c r="EK205" s="57">
        <f t="shared" si="1233"/>
        <v>46255.147480000007</v>
      </c>
      <c r="EL205" s="57">
        <f t="shared" ref="EL205:EM205" si="1284">SUM(EL206:EL221)-EL207</f>
        <v>14306.344370000001</v>
      </c>
      <c r="EM205" s="57">
        <f t="shared" si="1284"/>
        <v>31948.803110000008</v>
      </c>
      <c r="EN205" s="57">
        <f t="shared" si="1283"/>
        <v>42098.743950000004</v>
      </c>
      <c r="EO205" s="57">
        <f t="shared" ref="EO205" si="1285">SUM(EO206:EO221)-EO207</f>
        <v>0</v>
      </c>
      <c r="EP205" s="57">
        <f t="shared" si="1234"/>
        <v>15929.169349999998</v>
      </c>
      <c r="EQ205" s="57">
        <f t="shared" ref="EQ205" si="1286">SUM(EQ206:EQ221)-EQ207</f>
        <v>0</v>
      </c>
      <c r="ER205" s="57">
        <f>SUM(ER207:ER221)</f>
        <v>12215.365389999999</v>
      </c>
      <c r="ES205" s="57">
        <f t="shared" ref="ES205:EU205" si="1287">SUM(ES206:ES221)-ES207</f>
        <v>6260.3561099999997</v>
      </c>
      <c r="ET205" s="57">
        <f t="shared" si="1287"/>
        <v>5975.0092800000002</v>
      </c>
      <c r="EU205" s="57">
        <f t="shared" si="1287"/>
        <v>3713.8039599999997</v>
      </c>
      <c r="EV205" s="140">
        <f t="shared" ref="EV205" si="1288">SUM(EV206:EV221)-EV207</f>
        <v>0</v>
      </c>
      <c r="EW205" s="57">
        <f t="shared" ref="EW205:EW260" si="1289">EX205+EY205+EZ205</f>
        <v>0</v>
      </c>
      <c r="EX205" s="57">
        <f>AZ205</f>
        <v>0</v>
      </c>
      <c r="EY205" s="57">
        <f t="shared" ref="EY205" si="1290">SUM(EY206:EY221)-EY207</f>
        <v>0</v>
      </c>
      <c r="EZ205" s="390"/>
      <c r="FA205" s="390"/>
      <c r="FB205" s="57">
        <f t="shared" ref="FB205:FB260" si="1291">FC205+FD205</f>
        <v>0</v>
      </c>
      <c r="FC205" s="57">
        <f>SUM(FC206:FC221)</f>
        <v>0</v>
      </c>
      <c r="FD205" s="57">
        <f>SUM(FD206:FD221)</f>
        <v>0</v>
      </c>
      <c r="FE205" s="390"/>
      <c r="FF205" s="390"/>
      <c r="FG205" s="390"/>
      <c r="FH205" s="304">
        <f t="shared" ref="FH205" si="1292">SUM(FH206:FH221)</f>
        <v>0</v>
      </c>
      <c r="FI205" s="57">
        <f t="shared" ref="FI205:FI244" si="1293">FH205-FE205</f>
        <v>0</v>
      </c>
      <c r="FJ205" s="295"/>
      <c r="FK205" s="57">
        <f t="shared" si="1237"/>
        <v>51636.586739999999</v>
      </c>
      <c r="FL205" s="57">
        <f t="shared" si="1197"/>
        <v>51636.586739999999</v>
      </c>
      <c r="FM205" s="57">
        <f t="shared" ref="FM205" si="1294">SUM(FM206:FM221)-FM207</f>
        <v>0</v>
      </c>
      <c r="FN205" s="390"/>
      <c r="FO205" s="390"/>
      <c r="FP205" s="57">
        <f t="shared" si="1238"/>
        <v>58470.512869999999</v>
      </c>
      <c r="FQ205" s="57">
        <f>SUM(FQ206:FQ221)</f>
        <v>46255.14748</v>
      </c>
      <c r="FR205" s="57">
        <f>SUM(FR206:FR221)</f>
        <v>12215.365389999999</v>
      </c>
      <c r="FS205" s="390"/>
      <c r="FT205" s="390"/>
      <c r="FU205" s="390"/>
      <c r="FV205" s="57">
        <f t="shared" ref="FV205" si="1295">SUM(FV206:FV221)</f>
        <v>58470.512869999999</v>
      </c>
      <c r="FW205" s="57">
        <f t="shared" si="1239"/>
        <v>-12215.365389999999</v>
      </c>
      <c r="FX205" s="57">
        <f t="shared" ref="FX205" si="1296">FY205+FZ205+GA205</f>
        <v>42098.743950000004</v>
      </c>
      <c r="FY205" s="57">
        <f>BD205</f>
        <v>42098.743950000004</v>
      </c>
      <c r="FZ205" s="57">
        <f t="shared" ref="FZ205" si="1297">SUM(FZ206:FZ221)-FZ207</f>
        <v>0</v>
      </c>
      <c r="GA205" s="390"/>
      <c r="GB205" s="390"/>
      <c r="GC205" s="57">
        <f t="shared" ref="GC205:GC260" si="1298">GD205+GE205</f>
        <v>45812.547910000001</v>
      </c>
      <c r="GD205" s="57">
        <f t="shared" si="900"/>
        <v>42098.743950000004</v>
      </c>
      <c r="GE205" s="57">
        <f t="shared" si="901"/>
        <v>3713.8039599999997</v>
      </c>
      <c r="GF205" s="390"/>
      <c r="GG205" s="390"/>
      <c r="GH205" s="390"/>
      <c r="GI205" s="304">
        <f t="shared" si="1095"/>
        <v>0</v>
      </c>
      <c r="GJ205" s="77">
        <f t="shared" ref="GJ205:GJ257" si="1299">GD205-GI205</f>
        <v>42098.743950000004</v>
      </c>
      <c r="GK205" s="462">
        <f t="shared" si="1215"/>
        <v>0.93967166722977136</v>
      </c>
    </row>
    <row r="206" spans="2:193" s="37" customFormat="1" ht="15.75" hidden="1" customHeight="1" x14ac:dyDescent="0.25">
      <c r="B206" s="29">
        <v>1</v>
      </c>
      <c r="C206" s="30"/>
      <c r="D206" s="30"/>
      <c r="E206" s="493">
        <v>171</v>
      </c>
      <c r="F206" s="29"/>
      <c r="G206" s="30"/>
      <c r="H206" s="30"/>
      <c r="M206" s="493">
        <v>159</v>
      </c>
      <c r="N206" s="478" t="s">
        <v>236</v>
      </c>
      <c r="O206" s="130"/>
      <c r="P206" s="130">
        <f t="shared" si="1236"/>
        <v>0</v>
      </c>
      <c r="Q206" s="130"/>
      <c r="R206" s="130"/>
      <c r="S206" s="130"/>
      <c r="T206" s="130"/>
      <c r="U206" s="130"/>
      <c r="V206" s="2">
        <f t="shared" si="1216"/>
        <v>0</v>
      </c>
      <c r="W206" s="2"/>
      <c r="X206" s="198">
        <f t="shared" si="1031"/>
        <v>0</v>
      </c>
      <c r="Y206" s="198">
        <f>486.2-486.2</f>
        <v>0</v>
      </c>
      <c r="Z206" s="42"/>
      <c r="AA206" s="2"/>
      <c r="AB206" s="567">
        <f t="shared" ref="AB206:AB221" si="1300">AC206+AD206+AG206+AH206</f>
        <v>0</v>
      </c>
      <c r="AC206" s="567"/>
      <c r="AD206" s="568">
        <f t="shared" si="1032"/>
        <v>0</v>
      </c>
      <c r="AE206" s="568">
        <f>486.2-486.2</f>
        <v>0</v>
      </c>
      <c r="AF206" s="569"/>
      <c r="AG206" s="567"/>
      <c r="AH206" s="573"/>
      <c r="AI206" s="567"/>
      <c r="AJ206" s="567"/>
      <c r="AK206" s="568"/>
      <c r="AL206" s="567"/>
      <c r="AM206" s="573"/>
      <c r="AN206" s="567"/>
      <c r="AO206" s="567"/>
      <c r="AP206" s="568"/>
      <c r="AQ206" s="567"/>
      <c r="AR206" s="573"/>
      <c r="AS206" s="567"/>
      <c r="AT206" s="567"/>
      <c r="AU206" s="568"/>
      <c r="AV206" s="567"/>
      <c r="AW206" s="567"/>
      <c r="AX206" s="409"/>
      <c r="AY206" s="567">
        <f t="shared" ref="AY206:AY221" si="1301">AZ206+BA206+BD206+BE206</f>
        <v>0</v>
      </c>
      <c r="AZ206" s="567"/>
      <c r="BA206" s="567">
        <f t="shared" ref="BA206:BA221" si="1302">BB206+BC206</f>
        <v>0</v>
      </c>
      <c r="BB206" s="567"/>
      <c r="BC206" s="567"/>
      <c r="BD206" s="567"/>
      <c r="BE206" s="567"/>
      <c r="BF206" s="567">
        <f t="shared" si="1217"/>
        <v>0</v>
      </c>
      <c r="BG206" s="567">
        <f t="shared" si="1218"/>
        <v>0</v>
      </c>
      <c r="BH206" s="567">
        <f t="shared" si="1219"/>
        <v>0</v>
      </c>
      <c r="BI206" s="567">
        <f t="shared" si="1220"/>
        <v>0</v>
      </c>
      <c r="BJ206" s="567">
        <f t="shared" si="1221"/>
        <v>0</v>
      </c>
      <c r="BK206" s="567">
        <f t="shared" si="1222"/>
        <v>0</v>
      </c>
      <c r="BL206" s="567" t="e">
        <f>#REF!-BE206</f>
        <v>#REF!</v>
      </c>
      <c r="BM206" s="567">
        <f t="shared" ref="BM206:BM221" si="1303">BN206+BO206+BP206+BQ206</f>
        <v>0</v>
      </c>
      <c r="BN206" s="567"/>
      <c r="BO206" s="567"/>
      <c r="BP206" s="567"/>
      <c r="BQ206" s="567"/>
      <c r="BR206" s="567">
        <f t="shared" ref="BR206:BR221" si="1304">BS206+BT206+BU206+BV206</f>
        <v>0</v>
      </c>
      <c r="BS206" s="567"/>
      <c r="BT206" s="567"/>
      <c r="BU206" s="567"/>
      <c r="BV206" s="567"/>
      <c r="BW206" s="567">
        <f t="shared" ref="BW206:BW221" si="1305">BX206+BY206+CB206+CC206</f>
        <v>0</v>
      </c>
      <c r="BX206" s="567"/>
      <c r="BY206" s="567">
        <f t="shared" si="1223"/>
        <v>0</v>
      </c>
      <c r="BZ206" s="567"/>
      <c r="CA206" s="567"/>
      <c r="CB206" s="567"/>
      <c r="CC206" s="567"/>
      <c r="CD206" s="567">
        <f t="shared" ref="CD206:CD221" si="1306">CE206+CF206+CI206+CJ206</f>
        <v>0</v>
      </c>
      <c r="CE206" s="567"/>
      <c r="CF206" s="567">
        <f t="shared" si="1224"/>
        <v>0</v>
      </c>
      <c r="CG206" s="567"/>
      <c r="CH206" s="567"/>
      <c r="CI206" s="567"/>
      <c r="CJ206" s="567"/>
      <c r="CK206" s="567">
        <f t="shared" ref="CK206:CK221" si="1307">CL206+CM206+CP206+CQ206</f>
        <v>0</v>
      </c>
      <c r="CL206" s="567"/>
      <c r="CM206" s="567">
        <f t="shared" si="1225"/>
        <v>0</v>
      </c>
      <c r="CN206" s="567"/>
      <c r="CO206" s="567"/>
      <c r="CP206" s="567"/>
      <c r="CQ206" s="567"/>
      <c r="CR206" s="573">
        <f t="shared" ref="CR206:CR221" si="1308">CS206</f>
        <v>0</v>
      </c>
      <c r="CS206" s="567">
        <f t="shared" si="1226"/>
        <v>0</v>
      </c>
      <c r="CT206" s="567">
        <f t="shared" si="1227"/>
        <v>0</v>
      </c>
      <c r="CU206" s="567">
        <f t="shared" si="1228"/>
        <v>0</v>
      </c>
      <c r="CV206" s="567">
        <f t="shared" si="1229"/>
        <v>0</v>
      </c>
      <c r="CW206" s="567">
        <f t="shared" ref="CW206:CW221" si="1309">CJ206+CQ206</f>
        <v>0</v>
      </c>
      <c r="CX206" s="567">
        <f t="shared" ca="1" si="899"/>
        <v>0</v>
      </c>
      <c r="CY206" s="567">
        <f t="shared" si="1230"/>
        <v>0</v>
      </c>
      <c r="CZ206" s="567">
        <f t="shared" si="1231"/>
        <v>0</v>
      </c>
      <c r="DA206" s="567">
        <f t="shared" si="1232"/>
        <v>0</v>
      </c>
      <c r="DB206" s="2">
        <f t="shared" ref="DB206:DB221" si="1310">CC206-CJ206</f>
        <v>0</v>
      </c>
      <c r="DC206" s="76"/>
      <c r="DD206" s="253">
        <f>BM206</f>
        <v>0</v>
      </c>
      <c r="DE206" s="253">
        <f>DD206</f>
        <v>0</v>
      </c>
      <c r="DF206" s="2">
        <f t="shared" ref="DF206:DF221" si="1311">DG206+DH206+DI206+DJ206</f>
        <v>0</v>
      </c>
      <c r="DG206" s="2"/>
      <c r="DH206" s="2"/>
      <c r="DI206" s="2"/>
      <c r="DJ206" s="2"/>
      <c r="DK206" s="2">
        <f t="shared" ref="DK206:DK221" si="1312">DL206+DM206+DN206+DO206</f>
        <v>0</v>
      </c>
      <c r="DL206" s="2"/>
      <c r="DM206" s="2"/>
      <c r="DN206" s="2"/>
      <c r="DO206" s="2"/>
      <c r="DP206" s="2">
        <f t="shared" ref="DP206:DP221" si="1313">DQ206+DR206+DS206+DT206</f>
        <v>0</v>
      </c>
      <c r="DQ206" s="2">
        <f t="shared" ref="DQ206:DT221" si="1314">DG206-DL206</f>
        <v>0</v>
      </c>
      <c r="DR206" s="2">
        <f t="shared" si="1314"/>
        <v>0</v>
      </c>
      <c r="DS206" s="2">
        <f t="shared" si="1314"/>
        <v>0</v>
      </c>
      <c r="DT206" s="2">
        <f t="shared" si="1314"/>
        <v>0</v>
      </c>
      <c r="DU206" s="2"/>
      <c r="DV206" s="2"/>
      <c r="DW206" s="2"/>
      <c r="DX206" s="2">
        <f t="shared" ref="DX206:DX221" ca="1" si="1315">CX206+DP206+DW206</f>
        <v>0</v>
      </c>
      <c r="DY206" s="46"/>
      <c r="DZ206" s="2">
        <f t="shared" ref="DZ206:DZ221" si="1316">BW206+DF206+DU206</f>
        <v>0</v>
      </c>
      <c r="EA206" s="2">
        <f t="shared" ref="EA206:EA221" si="1317">CD206+DK206+DV206</f>
        <v>0</v>
      </c>
      <c r="EB206" s="46"/>
      <c r="EC206" s="2">
        <f t="shared" ref="EC206:EC207" si="1318">EA206</f>
        <v>0</v>
      </c>
      <c r="ED206" s="2">
        <f t="shared" ref="ED206:ED207" ca="1" si="1319">DX206</f>
        <v>0</v>
      </c>
      <c r="EE206" s="46"/>
      <c r="EF206" s="2">
        <f>DE206-EC206</f>
        <v>0</v>
      </c>
      <c r="EG206" s="46"/>
      <c r="EH206" s="46"/>
      <c r="EI206" s="2">
        <f t="shared" si="1196"/>
        <v>0</v>
      </c>
      <c r="EJ206" s="2"/>
      <c r="EK206" s="2">
        <f t="shared" si="1233"/>
        <v>0</v>
      </c>
      <c r="EL206" s="2"/>
      <c r="EM206" s="2"/>
      <c r="EN206" s="2"/>
      <c r="EO206" s="2"/>
      <c r="EP206" s="2">
        <f t="shared" si="1234"/>
        <v>0</v>
      </c>
      <c r="EQ206" s="2"/>
      <c r="ER206" s="2">
        <f t="shared" si="1235"/>
        <v>0</v>
      </c>
      <c r="ES206" s="2"/>
      <c r="ET206" s="2"/>
      <c r="EU206" s="2"/>
      <c r="EV206" s="141"/>
      <c r="EW206" s="310"/>
      <c r="EX206" s="310"/>
      <c r="EY206" s="310"/>
      <c r="EZ206" s="396"/>
      <c r="FA206" s="396"/>
      <c r="FB206" s="310"/>
      <c r="FC206" s="310"/>
      <c r="FD206" s="310"/>
      <c r="FE206" s="396"/>
      <c r="FF206" s="396"/>
      <c r="FG206" s="396"/>
      <c r="FH206" s="311"/>
      <c r="FI206" s="310"/>
      <c r="FJ206" s="296" t="e">
        <f t="shared" ref="FJ206:FJ221" si="1320">FH206/FE206</f>
        <v>#DIV/0!</v>
      </c>
      <c r="FK206" s="353"/>
      <c r="FL206" s="353"/>
      <c r="FM206" s="353"/>
      <c r="FN206" s="388"/>
      <c r="FO206" s="388"/>
      <c r="FP206" s="353"/>
      <c r="FQ206" s="353"/>
      <c r="FR206" s="353"/>
      <c r="FS206" s="388"/>
      <c r="FT206" s="388"/>
      <c r="FU206" s="388"/>
      <c r="FV206" s="353"/>
      <c r="FW206" s="353">
        <f t="shared" si="1239"/>
        <v>0</v>
      </c>
      <c r="FX206" s="310"/>
      <c r="FY206" s="310"/>
      <c r="FZ206" s="310"/>
      <c r="GA206" s="396"/>
      <c r="GB206" s="396"/>
      <c r="GC206" s="310"/>
      <c r="GD206" s="310"/>
      <c r="GE206" s="310"/>
      <c r="GF206" s="396"/>
      <c r="GG206" s="396"/>
      <c r="GH206" s="396"/>
      <c r="GI206" s="311"/>
      <c r="GJ206" s="344"/>
      <c r="GK206" s="303" t="e">
        <f t="shared" si="1215"/>
        <v>#DIV/0!</v>
      </c>
    </row>
    <row r="207" spans="2:193" s="37" customFormat="1" ht="15.75" hidden="1" customHeight="1" x14ac:dyDescent="0.25">
      <c r="B207" s="29"/>
      <c r="C207" s="30"/>
      <c r="D207" s="30"/>
      <c r="E207" s="493"/>
      <c r="F207" s="29"/>
      <c r="G207" s="30"/>
      <c r="H207" s="30"/>
      <c r="I207" s="491"/>
      <c r="J207" s="491"/>
      <c r="K207" s="491"/>
      <c r="L207" s="544"/>
      <c r="M207" s="493"/>
      <c r="N207" s="18" t="s">
        <v>246</v>
      </c>
      <c r="O207" s="128"/>
      <c r="P207" s="128">
        <f t="shared" si="1236"/>
        <v>0</v>
      </c>
      <c r="Q207" s="128"/>
      <c r="R207" s="128"/>
      <c r="S207" s="128"/>
      <c r="T207" s="128"/>
      <c r="U207" s="128"/>
      <c r="V207" s="2">
        <f t="shared" si="1216"/>
        <v>0</v>
      </c>
      <c r="W207" s="2"/>
      <c r="X207" s="198">
        <f t="shared" si="1031"/>
        <v>0</v>
      </c>
      <c r="Y207" s="198"/>
      <c r="Z207" s="42"/>
      <c r="AA207" s="2"/>
      <c r="AB207" s="567">
        <f t="shared" si="1300"/>
        <v>0</v>
      </c>
      <c r="AC207" s="567"/>
      <c r="AD207" s="568">
        <f t="shared" si="1032"/>
        <v>0</v>
      </c>
      <c r="AE207" s="568"/>
      <c r="AF207" s="569"/>
      <c r="AG207" s="567"/>
      <c r="AH207" s="573"/>
      <c r="AI207" s="567"/>
      <c r="AJ207" s="567"/>
      <c r="AK207" s="568"/>
      <c r="AL207" s="567"/>
      <c r="AM207" s="573"/>
      <c r="AN207" s="567"/>
      <c r="AO207" s="567"/>
      <c r="AP207" s="568"/>
      <c r="AQ207" s="567"/>
      <c r="AR207" s="573"/>
      <c r="AS207" s="567"/>
      <c r="AT207" s="567"/>
      <c r="AU207" s="568"/>
      <c r="AV207" s="567"/>
      <c r="AW207" s="567"/>
      <c r="AX207" s="409"/>
      <c r="AY207" s="567">
        <f t="shared" si="1301"/>
        <v>0</v>
      </c>
      <c r="AZ207" s="567"/>
      <c r="BA207" s="567">
        <f t="shared" si="1302"/>
        <v>0</v>
      </c>
      <c r="BB207" s="567"/>
      <c r="BC207" s="567"/>
      <c r="BD207" s="567"/>
      <c r="BE207" s="567"/>
      <c r="BF207" s="567">
        <f t="shared" si="1217"/>
        <v>0</v>
      </c>
      <c r="BG207" s="567">
        <f t="shared" si="1218"/>
        <v>0</v>
      </c>
      <c r="BH207" s="567">
        <f t="shared" si="1219"/>
        <v>0</v>
      </c>
      <c r="BI207" s="567">
        <f t="shared" si="1220"/>
        <v>0</v>
      </c>
      <c r="BJ207" s="567">
        <f t="shared" si="1221"/>
        <v>0</v>
      </c>
      <c r="BK207" s="567">
        <f t="shared" si="1222"/>
        <v>0</v>
      </c>
      <c r="BL207" s="567" t="e">
        <f>#REF!-BE207</f>
        <v>#REF!</v>
      </c>
      <c r="BM207" s="567">
        <f t="shared" si="1303"/>
        <v>0</v>
      </c>
      <c r="BN207" s="567"/>
      <c r="BO207" s="567"/>
      <c r="BP207" s="567"/>
      <c r="BQ207" s="567"/>
      <c r="BR207" s="567">
        <f t="shared" si="1304"/>
        <v>0</v>
      </c>
      <c r="BS207" s="567"/>
      <c r="BT207" s="567"/>
      <c r="BU207" s="567"/>
      <c r="BV207" s="567"/>
      <c r="BW207" s="567">
        <f t="shared" si="1305"/>
        <v>0</v>
      </c>
      <c r="BX207" s="567"/>
      <c r="BY207" s="567">
        <f t="shared" si="1223"/>
        <v>0</v>
      </c>
      <c r="BZ207" s="567"/>
      <c r="CA207" s="567"/>
      <c r="CB207" s="567"/>
      <c r="CC207" s="567"/>
      <c r="CD207" s="567">
        <f t="shared" si="1306"/>
        <v>0</v>
      </c>
      <c r="CE207" s="567"/>
      <c r="CF207" s="567">
        <f t="shared" si="1224"/>
        <v>0</v>
      </c>
      <c r="CG207" s="567"/>
      <c r="CH207" s="567"/>
      <c r="CI207" s="567"/>
      <c r="CJ207" s="567"/>
      <c r="CK207" s="567">
        <f t="shared" si="1307"/>
        <v>0</v>
      </c>
      <c r="CL207" s="567"/>
      <c r="CM207" s="567">
        <f t="shared" si="1225"/>
        <v>0</v>
      </c>
      <c r="CN207" s="567"/>
      <c r="CO207" s="567"/>
      <c r="CP207" s="567"/>
      <c r="CQ207" s="567"/>
      <c r="CR207" s="573">
        <f t="shared" si="1308"/>
        <v>0</v>
      </c>
      <c r="CS207" s="567">
        <f t="shared" si="1226"/>
        <v>0</v>
      </c>
      <c r="CT207" s="567">
        <f t="shared" si="1227"/>
        <v>0</v>
      </c>
      <c r="CU207" s="567">
        <f t="shared" si="1228"/>
        <v>0</v>
      </c>
      <c r="CV207" s="567">
        <f t="shared" si="1229"/>
        <v>0</v>
      </c>
      <c r="CW207" s="567">
        <f t="shared" si="1309"/>
        <v>0</v>
      </c>
      <c r="CX207" s="567">
        <f t="shared" ca="1" si="899"/>
        <v>0</v>
      </c>
      <c r="CY207" s="567">
        <f t="shared" si="1230"/>
        <v>0</v>
      </c>
      <c r="CZ207" s="567">
        <f t="shared" si="1231"/>
        <v>0</v>
      </c>
      <c r="DA207" s="567">
        <f t="shared" si="1232"/>
        <v>0</v>
      </c>
      <c r="DB207" s="2">
        <f t="shared" si="1310"/>
        <v>0</v>
      </c>
      <c r="DC207" s="76"/>
      <c r="DD207" s="253"/>
      <c r="DE207" s="253"/>
      <c r="DF207" s="2">
        <f t="shared" si="1311"/>
        <v>0</v>
      </c>
      <c r="DG207" s="2"/>
      <c r="DH207" s="2"/>
      <c r="DI207" s="2"/>
      <c r="DJ207" s="2"/>
      <c r="DK207" s="2">
        <f t="shared" si="1312"/>
        <v>0</v>
      </c>
      <c r="DL207" s="2"/>
      <c r="DM207" s="2"/>
      <c r="DN207" s="2"/>
      <c r="DO207" s="2"/>
      <c r="DP207" s="2">
        <f t="shared" si="1313"/>
        <v>0</v>
      </c>
      <c r="DQ207" s="2">
        <f t="shared" si="1314"/>
        <v>0</v>
      </c>
      <c r="DR207" s="2">
        <f t="shared" si="1314"/>
        <v>0</v>
      </c>
      <c r="DS207" s="2">
        <f t="shared" si="1314"/>
        <v>0</v>
      </c>
      <c r="DT207" s="2">
        <f t="shared" si="1314"/>
        <v>0</v>
      </c>
      <c r="DU207" s="2"/>
      <c r="DV207" s="2"/>
      <c r="DW207" s="2"/>
      <c r="DX207" s="2">
        <f t="shared" ca="1" si="1315"/>
        <v>0</v>
      </c>
      <c r="DY207" s="46"/>
      <c r="DZ207" s="2">
        <f t="shared" si="1316"/>
        <v>0</v>
      </c>
      <c r="EA207" s="2">
        <f t="shared" si="1317"/>
        <v>0</v>
      </c>
      <c r="EB207" s="46"/>
      <c r="EC207" s="2">
        <f t="shared" si="1318"/>
        <v>0</v>
      </c>
      <c r="ED207" s="2">
        <f t="shared" ca="1" si="1319"/>
        <v>0</v>
      </c>
      <c r="EE207" s="46"/>
      <c r="EF207" s="2"/>
      <c r="EG207" s="46"/>
      <c r="EH207" s="46"/>
      <c r="EI207" s="2">
        <f t="shared" si="1196"/>
        <v>0</v>
      </c>
      <c r="EJ207" s="2"/>
      <c r="EK207" s="2">
        <f t="shared" si="1233"/>
        <v>0</v>
      </c>
      <c r="EL207" s="2"/>
      <c r="EM207" s="2"/>
      <c r="EN207" s="2"/>
      <c r="EO207" s="2"/>
      <c r="EP207" s="2">
        <f t="shared" si="1234"/>
        <v>0</v>
      </c>
      <c r="EQ207" s="2"/>
      <c r="ER207" s="2">
        <f t="shared" si="1235"/>
        <v>0</v>
      </c>
      <c r="ES207" s="2"/>
      <c r="ET207" s="2"/>
      <c r="EU207" s="2"/>
      <c r="EV207" s="141"/>
      <c r="EW207" s="310"/>
      <c r="EX207" s="310"/>
      <c r="EY207" s="310"/>
      <c r="EZ207" s="396"/>
      <c r="FA207" s="396"/>
      <c r="FB207" s="310"/>
      <c r="FC207" s="310"/>
      <c r="FD207" s="310"/>
      <c r="FE207" s="396"/>
      <c r="FF207" s="396"/>
      <c r="FG207" s="396"/>
      <c r="FH207" s="311"/>
      <c r="FI207" s="310"/>
      <c r="FJ207" s="296" t="e">
        <f t="shared" si="1320"/>
        <v>#DIV/0!</v>
      </c>
      <c r="FK207" s="353"/>
      <c r="FL207" s="353"/>
      <c r="FM207" s="353"/>
      <c r="FN207" s="388"/>
      <c r="FO207" s="388"/>
      <c r="FP207" s="353"/>
      <c r="FQ207" s="353"/>
      <c r="FR207" s="353"/>
      <c r="FS207" s="388"/>
      <c r="FT207" s="388"/>
      <c r="FU207" s="388"/>
      <c r="FV207" s="353"/>
      <c r="FW207" s="353">
        <f t="shared" si="1239"/>
        <v>0</v>
      </c>
      <c r="FX207" s="310"/>
      <c r="FY207" s="310"/>
      <c r="FZ207" s="310"/>
      <c r="GA207" s="396"/>
      <c r="GB207" s="396"/>
      <c r="GC207" s="310"/>
      <c r="GD207" s="310"/>
      <c r="GE207" s="310"/>
      <c r="GF207" s="396"/>
      <c r="GG207" s="396"/>
      <c r="GH207" s="396"/>
      <c r="GI207" s="311"/>
      <c r="GJ207" s="344"/>
      <c r="GK207" s="303" t="e">
        <f t="shared" si="1215"/>
        <v>#DIV/0!</v>
      </c>
    </row>
    <row r="208" spans="2:193" s="37" customFormat="1" ht="15.6" customHeight="1" x14ac:dyDescent="0.25">
      <c r="B208" s="29"/>
      <c r="C208" s="30"/>
      <c r="D208" s="30">
        <v>1</v>
      </c>
      <c r="E208" s="493">
        <v>172</v>
      </c>
      <c r="F208" s="29"/>
      <c r="G208" s="30"/>
      <c r="H208" s="30">
        <v>1</v>
      </c>
      <c r="I208" s="493"/>
      <c r="J208" s="494"/>
      <c r="K208" s="494"/>
      <c r="L208" s="53"/>
      <c r="M208" s="493">
        <v>147</v>
      </c>
      <c r="N208" s="494" t="s">
        <v>140</v>
      </c>
      <c r="O208" s="494"/>
      <c r="P208" s="494">
        <f t="shared" si="1236"/>
        <v>0</v>
      </c>
      <c r="Q208" s="494" t="s">
        <v>701</v>
      </c>
      <c r="R208" s="494" t="s">
        <v>699</v>
      </c>
      <c r="S208" s="494" t="s">
        <v>548</v>
      </c>
      <c r="T208" s="156">
        <v>2</v>
      </c>
      <c r="U208" s="493"/>
      <c r="V208" s="2">
        <f t="shared" si="1216"/>
        <v>2765.1000000000004</v>
      </c>
      <c r="W208" s="2"/>
      <c r="X208" s="198">
        <f t="shared" si="1031"/>
        <v>2765.1000000000004</v>
      </c>
      <c r="Y208" s="198">
        <v>871.2</v>
      </c>
      <c r="Z208" s="42">
        <v>1893.9</v>
      </c>
      <c r="AA208" s="2"/>
      <c r="AB208" s="567">
        <f t="shared" si="1300"/>
        <v>2765.1000000000004</v>
      </c>
      <c r="AC208" s="567"/>
      <c r="AD208" s="568">
        <f t="shared" si="1032"/>
        <v>2765.1000000000004</v>
      </c>
      <c r="AE208" s="568">
        <v>871.2</v>
      </c>
      <c r="AF208" s="569">
        <v>1893.9</v>
      </c>
      <c r="AG208" s="567"/>
      <c r="AH208" s="568"/>
      <c r="AI208" s="567"/>
      <c r="AJ208" s="567"/>
      <c r="AK208" s="568"/>
      <c r="AL208" s="567"/>
      <c r="AM208" s="568"/>
      <c r="AN208" s="567"/>
      <c r="AO208" s="567"/>
      <c r="AP208" s="568"/>
      <c r="AQ208" s="567"/>
      <c r="AR208" s="568"/>
      <c r="AS208" s="567"/>
      <c r="AT208" s="567"/>
      <c r="AU208" s="568"/>
      <c r="AV208" s="567"/>
      <c r="AW208" s="568"/>
      <c r="AX208" s="409" t="s">
        <v>418</v>
      </c>
      <c r="AY208" s="567">
        <f t="shared" si="1301"/>
        <v>2765.1000000000004</v>
      </c>
      <c r="AZ208" s="567"/>
      <c r="BA208" s="568">
        <f t="shared" si="1302"/>
        <v>2765.1000000000004</v>
      </c>
      <c r="BB208" s="568">
        <v>871.2</v>
      </c>
      <c r="BC208" s="569">
        <v>1893.9</v>
      </c>
      <c r="BD208" s="567"/>
      <c r="BE208" s="568"/>
      <c r="BF208" s="567">
        <f t="shared" si="1217"/>
        <v>0</v>
      </c>
      <c r="BG208" s="567">
        <f t="shared" si="1218"/>
        <v>0</v>
      </c>
      <c r="BH208" s="567">
        <f t="shared" si="1219"/>
        <v>0</v>
      </c>
      <c r="BI208" s="567">
        <f t="shared" si="1220"/>
        <v>0</v>
      </c>
      <c r="BJ208" s="567">
        <f t="shared" si="1221"/>
        <v>0</v>
      </c>
      <c r="BK208" s="567">
        <f t="shared" si="1222"/>
        <v>0</v>
      </c>
      <c r="BL208" s="567" t="e">
        <f>#REF!-BE208</f>
        <v>#REF!</v>
      </c>
      <c r="BM208" s="567">
        <f t="shared" si="1303"/>
        <v>871.7</v>
      </c>
      <c r="BN208" s="567"/>
      <c r="BO208" s="568">
        <v>871.7</v>
      </c>
      <c r="BP208" s="567"/>
      <c r="BQ208" s="568"/>
      <c r="BR208" s="567">
        <f t="shared" si="1304"/>
        <v>0</v>
      </c>
      <c r="BS208" s="567"/>
      <c r="BT208" s="568"/>
      <c r="BU208" s="567"/>
      <c r="BV208" s="568"/>
      <c r="BW208" s="567">
        <f t="shared" si="1305"/>
        <v>2496.7707</v>
      </c>
      <c r="BX208" s="567"/>
      <c r="BY208" s="578">
        <f t="shared" si="1223"/>
        <v>2496.7707</v>
      </c>
      <c r="BZ208" s="571">
        <v>786.65750000000003</v>
      </c>
      <c r="CA208" s="571">
        <v>1710.1132</v>
      </c>
      <c r="CB208" s="567"/>
      <c r="CC208" s="577"/>
      <c r="CD208" s="567">
        <f t="shared" si="1306"/>
        <v>2496.7707</v>
      </c>
      <c r="CE208" s="567"/>
      <c r="CF208" s="578">
        <f t="shared" si="1224"/>
        <v>2496.7707</v>
      </c>
      <c r="CG208" s="571">
        <v>786.65750000000003</v>
      </c>
      <c r="CH208" s="571">
        <v>1710.1132</v>
      </c>
      <c r="CI208" s="567"/>
      <c r="CJ208" s="577"/>
      <c r="CK208" s="567">
        <f t="shared" si="1307"/>
        <v>1287.7685799999999</v>
      </c>
      <c r="CL208" s="567"/>
      <c r="CM208" s="567">
        <v>1287.7685799999999</v>
      </c>
      <c r="CN208" s="567"/>
      <c r="CO208" s="567"/>
      <c r="CP208" s="567"/>
      <c r="CQ208" s="567"/>
      <c r="CR208" s="573">
        <f t="shared" si="1308"/>
        <v>3784.53928</v>
      </c>
      <c r="CS208" s="567">
        <f t="shared" si="1226"/>
        <v>3784.53928</v>
      </c>
      <c r="CT208" s="567">
        <f t="shared" si="1227"/>
        <v>0</v>
      </c>
      <c r="CU208" s="567">
        <f t="shared" si="1228"/>
        <v>3784.53928</v>
      </c>
      <c r="CV208" s="567">
        <f t="shared" si="1229"/>
        <v>0</v>
      </c>
      <c r="CW208" s="567">
        <f t="shared" si="1309"/>
        <v>0</v>
      </c>
      <c r="CX208" s="567">
        <f t="shared" ca="1" si="899"/>
        <v>0</v>
      </c>
      <c r="CY208" s="567">
        <f t="shared" si="1230"/>
        <v>0</v>
      </c>
      <c r="CZ208" s="567">
        <f t="shared" si="1231"/>
        <v>0</v>
      </c>
      <c r="DA208" s="567">
        <f t="shared" si="1232"/>
        <v>0</v>
      </c>
      <c r="DB208" s="2">
        <f t="shared" si="1310"/>
        <v>0</v>
      </c>
      <c r="DC208" s="76"/>
      <c r="DD208" s="253"/>
      <c r="DE208" s="253"/>
      <c r="DF208" s="2">
        <f t="shared" si="1311"/>
        <v>0</v>
      </c>
      <c r="DG208" s="2"/>
      <c r="DH208" s="198"/>
      <c r="DI208" s="2"/>
      <c r="DJ208" s="198"/>
      <c r="DK208" s="2">
        <f t="shared" si="1312"/>
        <v>0</v>
      </c>
      <c r="DL208" s="2"/>
      <c r="DM208" s="198"/>
      <c r="DN208" s="2"/>
      <c r="DO208" s="198"/>
      <c r="DP208" s="2">
        <f t="shared" si="1313"/>
        <v>0</v>
      </c>
      <c r="DQ208" s="2">
        <f t="shared" si="1314"/>
        <v>0</v>
      </c>
      <c r="DR208" s="2">
        <f t="shared" si="1314"/>
        <v>0</v>
      </c>
      <c r="DS208" s="2">
        <f t="shared" si="1314"/>
        <v>0</v>
      </c>
      <c r="DT208" s="2">
        <f t="shared" si="1314"/>
        <v>0</v>
      </c>
      <c r="DU208" s="2"/>
      <c r="DV208" s="2"/>
      <c r="DW208" s="2"/>
      <c r="DX208" s="2">
        <f t="shared" ca="1" si="1315"/>
        <v>0</v>
      </c>
      <c r="DY208" s="46"/>
      <c r="DZ208" s="2">
        <f t="shared" si="1316"/>
        <v>2496.7707</v>
      </c>
      <c r="EA208" s="2">
        <f t="shared" si="1317"/>
        <v>2496.7707</v>
      </c>
      <c r="EB208" s="46"/>
      <c r="EC208" s="2"/>
      <c r="ED208" s="2"/>
      <c r="EE208" s="46"/>
      <c r="EF208" s="2"/>
      <c r="EG208" s="46"/>
      <c r="EH208" s="46"/>
      <c r="EI208" s="2">
        <f t="shared" si="1196"/>
        <v>2496.7707</v>
      </c>
      <c r="EJ208" s="2"/>
      <c r="EK208" s="433">
        <f t="shared" si="1233"/>
        <v>2496.7707</v>
      </c>
      <c r="EL208" s="446">
        <v>786.65750000000003</v>
      </c>
      <c r="EM208" s="446">
        <v>1710.1132</v>
      </c>
      <c r="EN208" s="2"/>
      <c r="EO208" s="236"/>
      <c r="EP208" s="2">
        <f t="shared" si="1234"/>
        <v>1287.7685799999999</v>
      </c>
      <c r="EQ208" s="2"/>
      <c r="ER208" s="2">
        <v>1287.7685799999999</v>
      </c>
      <c r="ES208" s="2">
        <v>405.73721999999998</v>
      </c>
      <c r="ET208" s="2">
        <v>882.03135999999995</v>
      </c>
      <c r="EU208" s="2"/>
      <c r="EV208" s="141"/>
      <c r="EW208" s="310"/>
      <c r="EX208" s="310"/>
      <c r="EY208" s="310"/>
      <c r="EZ208" s="396"/>
      <c r="FA208" s="396"/>
      <c r="FB208" s="310"/>
      <c r="FC208" s="310"/>
      <c r="FD208" s="310"/>
      <c r="FE208" s="396"/>
      <c r="FF208" s="396"/>
      <c r="FG208" s="396"/>
      <c r="FH208" s="311"/>
      <c r="FI208" s="310"/>
      <c r="FJ208" s="296" t="e">
        <f t="shared" si="1320"/>
        <v>#DIV/0!</v>
      </c>
      <c r="FK208" s="353">
        <f t="shared" si="1237"/>
        <v>2765.1000000000004</v>
      </c>
      <c r="FL208" s="353">
        <f t="shared" ref="FL208:FL223" si="1321">BA208</f>
        <v>2765.1000000000004</v>
      </c>
      <c r="FM208" s="353"/>
      <c r="FN208" s="388">
        <f t="shared" ref="FN208:FN221" si="1322">FL208/FK208</f>
        <v>1</v>
      </c>
      <c r="FO208" s="388">
        <f t="shared" ref="FO208:FO221" si="1323">FM208/FK208</f>
        <v>0</v>
      </c>
      <c r="FP208" s="353">
        <f t="shared" si="1238"/>
        <v>3784.53928</v>
      </c>
      <c r="FQ208" s="353">
        <f t="shared" ref="FQ208:FQ221" si="1324">EK208</f>
        <v>2496.7707</v>
      </c>
      <c r="FR208" s="353">
        <f t="shared" ref="FR208:FR221" si="1325">ER208</f>
        <v>1287.7685799999999</v>
      </c>
      <c r="FS208" s="388">
        <f t="shared" ref="FS208:FS221" si="1326">FQ208/FP208</f>
        <v>0.65972910182081668</v>
      </c>
      <c r="FT208" s="388">
        <f t="shared" ref="FT208:FT221" si="1327">FR208/FP208</f>
        <v>0.34027089817918338</v>
      </c>
      <c r="FU208" s="388"/>
      <c r="FV208" s="353">
        <f t="shared" ref="FV208:FV221" si="1328">FP208*FN208</f>
        <v>3784.53928</v>
      </c>
      <c r="FW208" s="353">
        <f t="shared" si="1239"/>
        <v>-1287.7685799999999</v>
      </c>
      <c r="FX208" s="310"/>
      <c r="FY208" s="310"/>
      <c r="FZ208" s="310"/>
      <c r="GA208" s="396"/>
      <c r="GB208" s="396"/>
      <c r="GC208" s="310"/>
      <c r="GD208" s="310"/>
      <c r="GE208" s="310"/>
      <c r="GF208" s="396"/>
      <c r="GG208" s="396"/>
      <c r="GH208" s="396"/>
      <c r="GI208" s="311"/>
      <c r="GJ208" s="344"/>
      <c r="GK208" s="303">
        <f t="shared" si="1215"/>
        <v>0.90295855484430931</v>
      </c>
    </row>
    <row r="209" spans="2:193" s="37" customFormat="1" ht="15.6" customHeight="1" x14ac:dyDescent="0.25">
      <c r="B209" s="29"/>
      <c r="C209" s="30"/>
      <c r="D209" s="30">
        <v>1</v>
      </c>
      <c r="E209" s="493">
        <v>173</v>
      </c>
      <c r="F209" s="29"/>
      <c r="G209" s="30"/>
      <c r="H209" s="30">
        <v>1</v>
      </c>
      <c r="I209" s="493"/>
      <c r="J209" s="494"/>
      <c r="K209" s="494"/>
      <c r="L209" s="53"/>
      <c r="M209" s="493">
        <v>148</v>
      </c>
      <c r="N209" s="494" t="s">
        <v>237</v>
      </c>
      <c r="O209" s="494"/>
      <c r="P209" s="494">
        <f t="shared" si="1236"/>
        <v>0</v>
      </c>
      <c r="Q209" s="494"/>
      <c r="R209" s="494"/>
      <c r="S209" s="494" t="s">
        <v>619</v>
      </c>
      <c r="T209" s="156">
        <v>2</v>
      </c>
      <c r="U209" s="493"/>
      <c r="V209" s="2">
        <f t="shared" si="1216"/>
        <v>4217.8999999999996</v>
      </c>
      <c r="W209" s="2"/>
      <c r="X209" s="198">
        <f t="shared" si="1031"/>
        <v>4217.8999999999996</v>
      </c>
      <c r="Y209" s="198">
        <v>1328.9</v>
      </c>
      <c r="Z209" s="42">
        <v>2889</v>
      </c>
      <c r="AA209" s="2"/>
      <c r="AB209" s="567">
        <f t="shared" si="1300"/>
        <v>4217.8999999999996</v>
      </c>
      <c r="AC209" s="567"/>
      <c r="AD209" s="568">
        <f t="shared" si="1032"/>
        <v>4217.8999999999996</v>
      </c>
      <c r="AE209" s="568">
        <v>1328.9</v>
      </c>
      <c r="AF209" s="569">
        <v>2889</v>
      </c>
      <c r="AG209" s="567"/>
      <c r="AH209" s="568"/>
      <c r="AI209" s="567"/>
      <c r="AJ209" s="567"/>
      <c r="AK209" s="568"/>
      <c r="AL209" s="567"/>
      <c r="AM209" s="568"/>
      <c r="AN209" s="567"/>
      <c r="AO209" s="567"/>
      <c r="AP209" s="568"/>
      <c r="AQ209" s="567"/>
      <c r="AR209" s="568"/>
      <c r="AS209" s="567"/>
      <c r="AT209" s="567"/>
      <c r="AU209" s="568"/>
      <c r="AV209" s="567"/>
      <c r="AW209" s="568"/>
      <c r="AX209" s="409" t="s">
        <v>472</v>
      </c>
      <c r="AY209" s="567">
        <f t="shared" si="1301"/>
        <v>4217.8999999999996</v>
      </c>
      <c r="AZ209" s="567"/>
      <c r="BA209" s="568">
        <f t="shared" si="1302"/>
        <v>4217.8999999999996</v>
      </c>
      <c r="BB209" s="568">
        <v>1328.9</v>
      </c>
      <c r="BC209" s="569">
        <v>2889</v>
      </c>
      <c r="BD209" s="567"/>
      <c r="BE209" s="567"/>
      <c r="BF209" s="567">
        <f t="shared" si="1217"/>
        <v>0</v>
      </c>
      <c r="BG209" s="567">
        <f t="shared" si="1218"/>
        <v>0</v>
      </c>
      <c r="BH209" s="567">
        <f t="shared" si="1219"/>
        <v>0</v>
      </c>
      <c r="BI209" s="567">
        <f t="shared" si="1220"/>
        <v>0</v>
      </c>
      <c r="BJ209" s="567">
        <f t="shared" si="1221"/>
        <v>0</v>
      </c>
      <c r="BK209" s="567">
        <f t="shared" si="1222"/>
        <v>0</v>
      </c>
      <c r="BL209" s="567" t="e">
        <f>#REF!-BE209</f>
        <v>#REF!</v>
      </c>
      <c r="BM209" s="567">
        <f t="shared" si="1303"/>
        <v>1639.9</v>
      </c>
      <c r="BN209" s="567"/>
      <c r="BO209" s="568">
        <v>1639.9</v>
      </c>
      <c r="BP209" s="567"/>
      <c r="BQ209" s="567"/>
      <c r="BR209" s="567">
        <f t="shared" si="1304"/>
        <v>0</v>
      </c>
      <c r="BS209" s="567"/>
      <c r="BT209" s="568"/>
      <c r="BU209" s="567"/>
      <c r="BV209" s="567"/>
      <c r="BW209" s="567">
        <f t="shared" si="1305"/>
        <v>3975.8434299999999</v>
      </c>
      <c r="BX209" s="567"/>
      <c r="BY209" s="568">
        <f t="shared" si="1223"/>
        <v>3975.8434299999999</v>
      </c>
      <c r="BZ209" s="571">
        <v>1328.9</v>
      </c>
      <c r="CA209" s="571">
        <f>939.24467+520.14573+497.15951+690.39352</f>
        <v>2646.9434299999998</v>
      </c>
      <c r="CB209" s="567"/>
      <c r="CC209" s="567"/>
      <c r="CD209" s="567">
        <f t="shared" si="1306"/>
        <v>3975.8434299999999</v>
      </c>
      <c r="CE209" s="567"/>
      <c r="CF209" s="568">
        <f t="shared" si="1224"/>
        <v>3975.8434299999999</v>
      </c>
      <c r="CG209" s="571">
        <v>1328.9</v>
      </c>
      <c r="CH209" s="571">
        <f>939.24467+520.14573+497.15951+690.39352</f>
        <v>2646.9434299999998</v>
      </c>
      <c r="CI209" s="567"/>
      <c r="CJ209" s="567"/>
      <c r="CK209" s="567">
        <f t="shared" si="1307"/>
        <v>2318.75299</v>
      </c>
      <c r="CL209" s="567"/>
      <c r="CM209" s="567">
        <v>2318.75299</v>
      </c>
      <c r="CN209" s="567"/>
      <c r="CO209" s="567"/>
      <c r="CP209" s="567"/>
      <c r="CQ209" s="567"/>
      <c r="CR209" s="573">
        <f t="shared" si="1308"/>
        <v>6294.5964199999999</v>
      </c>
      <c r="CS209" s="567">
        <f t="shared" si="1226"/>
        <v>6294.5964199999999</v>
      </c>
      <c r="CT209" s="567">
        <f t="shared" si="1227"/>
        <v>0</v>
      </c>
      <c r="CU209" s="567">
        <f t="shared" si="1228"/>
        <v>6294.5964199999999</v>
      </c>
      <c r="CV209" s="567">
        <f t="shared" si="1229"/>
        <v>0</v>
      </c>
      <c r="CW209" s="567">
        <f t="shared" si="1309"/>
        <v>0</v>
      </c>
      <c r="CX209" s="567">
        <f t="shared" ca="1" si="899"/>
        <v>0</v>
      </c>
      <c r="CY209" s="567">
        <f t="shared" si="1230"/>
        <v>0</v>
      </c>
      <c r="CZ209" s="567">
        <f t="shared" si="1231"/>
        <v>0</v>
      </c>
      <c r="DA209" s="567">
        <f t="shared" si="1232"/>
        <v>0</v>
      </c>
      <c r="DB209" s="2">
        <f t="shared" si="1310"/>
        <v>0</v>
      </c>
      <c r="DC209" s="76"/>
      <c r="DD209" s="253"/>
      <c r="DE209" s="253"/>
      <c r="DF209" s="2">
        <f t="shared" si="1311"/>
        <v>0</v>
      </c>
      <c r="DG209" s="2"/>
      <c r="DH209" s="198"/>
      <c r="DI209" s="2"/>
      <c r="DJ209" s="2"/>
      <c r="DK209" s="2">
        <f t="shared" si="1312"/>
        <v>0</v>
      </c>
      <c r="DL209" s="2"/>
      <c r="DM209" s="198"/>
      <c r="DN209" s="2"/>
      <c r="DO209" s="2"/>
      <c r="DP209" s="2">
        <f t="shared" si="1313"/>
        <v>0</v>
      </c>
      <c r="DQ209" s="2">
        <f t="shared" si="1314"/>
        <v>0</v>
      </c>
      <c r="DR209" s="2">
        <f t="shared" si="1314"/>
        <v>0</v>
      </c>
      <c r="DS209" s="2">
        <f t="shared" si="1314"/>
        <v>0</v>
      </c>
      <c r="DT209" s="2">
        <f t="shared" si="1314"/>
        <v>0</v>
      </c>
      <c r="DU209" s="2"/>
      <c r="DV209" s="2"/>
      <c r="DW209" s="2"/>
      <c r="DX209" s="2">
        <f t="shared" ca="1" si="1315"/>
        <v>0</v>
      </c>
      <c r="DY209" s="46"/>
      <c r="DZ209" s="2">
        <f t="shared" si="1316"/>
        <v>3975.8434299999999</v>
      </c>
      <c r="EA209" s="2">
        <f t="shared" si="1317"/>
        <v>3975.8434299999999</v>
      </c>
      <c r="EB209" s="46"/>
      <c r="EC209" s="2"/>
      <c r="ED209" s="2"/>
      <c r="EE209" s="46"/>
      <c r="EF209" s="2"/>
      <c r="EG209" s="46"/>
      <c r="EH209" s="46"/>
      <c r="EI209" s="2">
        <f t="shared" si="1196"/>
        <v>3975.8434299999999</v>
      </c>
      <c r="EJ209" s="2"/>
      <c r="EK209" s="198">
        <f t="shared" si="1233"/>
        <v>3975.8434299999999</v>
      </c>
      <c r="EL209" s="446">
        <v>1328.9</v>
      </c>
      <c r="EM209" s="446">
        <f>939.24467+520.14573+497.15951+690.39352</f>
        <v>2646.9434299999998</v>
      </c>
      <c r="EN209" s="2"/>
      <c r="EO209" s="2"/>
      <c r="EP209" s="2">
        <f t="shared" si="1234"/>
        <v>2318.75299</v>
      </c>
      <c r="EQ209" s="2"/>
      <c r="ER209" s="2">
        <v>2318.75299</v>
      </c>
      <c r="ES209" s="2">
        <v>1258.04889</v>
      </c>
      <c r="ET209" s="2">
        <f>376.38155+208.43691+199.22569+276.65995</f>
        <v>1060.7040999999999</v>
      </c>
      <c r="EU209" s="2"/>
      <c r="EV209" s="141"/>
      <c r="EW209" s="310"/>
      <c r="EX209" s="310"/>
      <c r="EY209" s="310"/>
      <c r="EZ209" s="396"/>
      <c r="FA209" s="396"/>
      <c r="FB209" s="310"/>
      <c r="FC209" s="310"/>
      <c r="FD209" s="310"/>
      <c r="FE209" s="396"/>
      <c r="FF209" s="396"/>
      <c r="FG209" s="396"/>
      <c r="FH209" s="311"/>
      <c r="FI209" s="310"/>
      <c r="FJ209" s="296" t="e">
        <f t="shared" si="1320"/>
        <v>#DIV/0!</v>
      </c>
      <c r="FK209" s="353">
        <f t="shared" si="1237"/>
        <v>4217.8999999999996</v>
      </c>
      <c r="FL209" s="353">
        <f t="shared" si="1321"/>
        <v>4217.8999999999996</v>
      </c>
      <c r="FM209" s="353"/>
      <c r="FN209" s="388">
        <f t="shared" si="1322"/>
        <v>1</v>
      </c>
      <c r="FO209" s="388">
        <f t="shared" si="1323"/>
        <v>0</v>
      </c>
      <c r="FP209" s="353">
        <f t="shared" si="1238"/>
        <v>6294.5964199999999</v>
      </c>
      <c r="FQ209" s="353">
        <f t="shared" si="1324"/>
        <v>3975.8434299999999</v>
      </c>
      <c r="FR209" s="353">
        <f t="shared" si="1325"/>
        <v>2318.75299</v>
      </c>
      <c r="FS209" s="388">
        <f t="shared" si="1326"/>
        <v>0.63162801309507943</v>
      </c>
      <c r="FT209" s="388">
        <f t="shared" si="1327"/>
        <v>0.36837198690492057</v>
      </c>
      <c r="FU209" s="388"/>
      <c r="FV209" s="353">
        <f t="shared" si="1328"/>
        <v>6294.5964199999999</v>
      </c>
      <c r="FW209" s="353">
        <f t="shared" si="1239"/>
        <v>-2318.75299</v>
      </c>
      <c r="FX209" s="310">
        <f t="shared" ref="FX209" si="1329">FY209+FZ209</f>
        <v>0</v>
      </c>
      <c r="FY209" s="310">
        <f>BD209</f>
        <v>0</v>
      </c>
      <c r="FZ209" s="310"/>
      <c r="GA209" s="396" t="e">
        <f t="shared" ref="GA209" si="1330">FY209/FX209</f>
        <v>#DIV/0!</v>
      </c>
      <c r="GB209" s="396" t="e">
        <f t="shared" ref="GB209" si="1331">FZ209/FX209</f>
        <v>#DIV/0!</v>
      </c>
      <c r="GC209" s="310">
        <f t="shared" ref="GC209" si="1332">GD209+GE209</f>
        <v>0</v>
      </c>
      <c r="GD209" s="310">
        <f t="shared" ref="GD209" si="1333">EN209</f>
        <v>0</v>
      </c>
      <c r="GE209" s="310">
        <f t="shared" ref="GE209" si="1334">EU209</f>
        <v>0</v>
      </c>
      <c r="GF209" s="396" t="e">
        <f t="shared" ref="GF209" si="1335">GD209/GC209</f>
        <v>#DIV/0!</v>
      </c>
      <c r="GG209" s="396" t="e">
        <f t="shared" ref="GG209" si="1336">GE209/GC209</f>
        <v>#DIV/0!</v>
      </c>
      <c r="GH209" s="396"/>
      <c r="GI209" s="311" t="e">
        <f t="shared" ref="GI209" si="1337">GC209*GA209</f>
        <v>#DIV/0!</v>
      </c>
      <c r="GJ209" s="344" t="e">
        <f t="shared" ref="GJ209" si="1338">GD209-GI209</f>
        <v>#DIV/0!</v>
      </c>
      <c r="GK209" s="303">
        <f t="shared" si="1215"/>
        <v>0.94261206524573848</v>
      </c>
    </row>
    <row r="210" spans="2:193" s="37" customFormat="1" ht="15.75" customHeight="1" x14ac:dyDescent="0.25">
      <c r="B210" s="29"/>
      <c r="C210" s="30"/>
      <c r="D210" s="30">
        <v>1</v>
      </c>
      <c r="E210" s="493">
        <v>174</v>
      </c>
      <c r="F210" s="29"/>
      <c r="G210" s="30"/>
      <c r="H210" s="30">
        <v>1</v>
      </c>
      <c r="I210" s="493"/>
      <c r="J210" s="494"/>
      <c r="K210" s="494"/>
      <c r="L210" s="53"/>
      <c r="M210" s="493">
        <v>149</v>
      </c>
      <c r="N210" s="478" t="s">
        <v>304</v>
      </c>
      <c r="O210" s="478"/>
      <c r="P210" s="478">
        <f t="shared" si="1236"/>
        <v>0</v>
      </c>
      <c r="Q210" s="478" t="s">
        <v>701</v>
      </c>
      <c r="R210" s="478" t="s">
        <v>699</v>
      </c>
      <c r="S210" s="443" t="s">
        <v>621</v>
      </c>
      <c r="T210" s="156">
        <v>2</v>
      </c>
      <c r="U210" s="493">
        <v>2</v>
      </c>
      <c r="V210" s="2">
        <f t="shared" si="1216"/>
        <v>1862.5</v>
      </c>
      <c r="W210" s="2"/>
      <c r="X210" s="198">
        <f t="shared" si="1031"/>
        <v>1862.5</v>
      </c>
      <c r="Y210" s="198">
        <v>586.79999999999995</v>
      </c>
      <c r="Z210" s="42">
        <v>1275.7</v>
      </c>
      <c r="AA210" s="2"/>
      <c r="AB210" s="567">
        <f t="shared" si="1300"/>
        <v>1862.5</v>
      </c>
      <c r="AC210" s="567"/>
      <c r="AD210" s="568">
        <f t="shared" si="1032"/>
        <v>1862.5</v>
      </c>
      <c r="AE210" s="568">
        <v>586.79999999999995</v>
      </c>
      <c r="AF210" s="569">
        <v>1275.7</v>
      </c>
      <c r="AG210" s="567"/>
      <c r="AH210" s="568"/>
      <c r="AI210" s="567"/>
      <c r="AJ210" s="567"/>
      <c r="AK210" s="568"/>
      <c r="AL210" s="567"/>
      <c r="AM210" s="568"/>
      <c r="AN210" s="567"/>
      <c r="AO210" s="567"/>
      <c r="AP210" s="568"/>
      <c r="AQ210" s="567"/>
      <c r="AR210" s="568"/>
      <c r="AS210" s="567"/>
      <c r="AT210" s="567"/>
      <c r="AU210" s="568"/>
      <c r="AV210" s="567"/>
      <c r="AW210" s="568"/>
      <c r="AX210" s="409" t="s">
        <v>721</v>
      </c>
      <c r="AY210" s="567">
        <f t="shared" si="1301"/>
        <v>1862.4957199999999</v>
      </c>
      <c r="AZ210" s="567"/>
      <c r="BA210" s="568">
        <f t="shared" si="1302"/>
        <v>1862.4957199999999</v>
      </c>
      <c r="BB210" s="568">
        <f>586.8-0.00428</f>
        <v>586.79571999999996</v>
      </c>
      <c r="BC210" s="569">
        <v>1275.7</v>
      </c>
      <c r="BD210" s="567"/>
      <c r="BE210" s="567"/>
      <c r="BF210" s="567">
        <f t="shared" si="1217"/>
        <v>4.2799999999942884E-3</v>
      </c>
      <c r="BG210" s="567">
        <f t="shared" si="1218"/>
        <v>0</v>
      </c>
      <c r="BH210" s="567">
        <f t="shared" si="1219"/>
        <v>4.2799999999942884E-3</v>
      </c>
      <c r="BI210" s="567">
        <f t="shared" si="1220"/>
        <v>4.2799999999942884E-3</v>
      </c>
      <c r="BJ210" s="567">
        <f t="shared" si="1221"/>
        <v>0</v>
      </c>
      <c r="BK210" s="567">
        <f t="shared" si="1222"/>
        <v>0</v>
      </c>
      <c r="BL210" s="567" t="e">
        <f>#REF!-BE210</f>
        <v>#REF!</v>
      </c>
      <c r="BM210" s="567">
        <f t="shared" si="1303"/>
        <v>455.4</v>
      </c>
      <c r="BN210" s="567"/>
      <c r="BO210" s="568">
        <v>455.4</v>
      </c>
      <c r="BP210" s="567"/>
      <c r="BQ210" s="567"/>
      <c r="BR210" s="567">
        <f t="shared" si="1304"/>
        <v>0</v>
      </c>
      <c r="BS210" s="567"/>
      <c r="BT210" s="570"/>
      <c r="BU210" s="567"/>
      <c r="BV210" s="567"/>
      <c r="BW210" s="567">
        <f t="shared" si="1305"/>
        <v>0</v>
      </c>
      <c r="BX210" s="567"/>
      <c r="BY210" s="578">
        <f t="shared" si="1223"/>
        <v>0</v>
      </c>
      <c r="BZ210" s="571"/>
      <c r="CA210" s="571"/>
      <c r="CB210" s="567"/>
      <c r="CC210" s="567"/>
      <c r="CD210" s="567">
        <f t="shared" si="1306"/>
        <v>0</v>
      </c>
      <c r="CE210" s="567"/>
      <c r="CF210" s="578">
        <f t="shared" si="1224"/>
        <v>0</v>
      </c>
      <c r="CG210" s="571"/>
      <c r="CH210" s="571"/>
      <c r="CI210" s="567"/>
      <c r="CJ210" s="567"/>
      <c r="CK210" s="567">
        <f t="shared" si="1307"/>
        <v>0</v>
      </c>
      <c r="CL210" s="567"/>
      <c r="CM210" s="567">
        <f t="shared" si="1225"/>
        <v>0</v>
      </c>
      <c r="CN210" s="567"/>
      <c r="CO210" s="567"/>
      <c r="CP210" s="567"/>
      <c r="CQ210" s="567"/>
      <c r="CR210" s="573">
        <f t="shared" si="1308"/>
        <v>0</v>
      </c>
      <c r="CS210" s="567">
        <f t="shared" si="1226"/>
        <v>0</v>
      </c>
      <c r="CT210" s="567">
        <f t="shared" si="1227"/>
        <v>0</v>
      </c>
      <c r="CU210" s="567">
        <f t="shared" si="1228"/>
        <v>0</v>
      </c>
      <c r="CV210" s="567">
        <f t="shared" si="1229"/>
        <v>0</v>
      </c>
      <c r="CW210" s="567">
        <f t="shared" si="1309"/>
        <v>0</v>
      </c>
      <c r="CX210" s="567">
        <f t="shared" ca="1" si="899"/>
        <v>0</v>
      </c>
      <c r="CY210" s="567">
        <f t="shared" si="1230"/>
        <v>0</v>
      </c>
      <c r="CZ210" s="567">
        <f t="shared" si="1231"/>
        <v>0</v>
      </c>
      <c r="DA210" s="567">
        <f t="shared" si="1232"/>
        <v>0</v>
      </c>
      <c r="DB210" s="2">
        <f t="shared" si="1310"/>
        <v>0</v>
      </c>
      <c r="DC210" s="76"/>
      <c r="DD210" s="253"/>
      <c r="DE210" s="253"/>
      <c r="DF210" s="2">
        <f t="shared" si="1311"/>
        <v>0</v>
      </c>
      <c r="DG210" s="2"/>
      <c r="DH210" s="234"/>
      <c r="DI210" s="2"/>
      <c r="DJ210" s="2"/>
      <c r="DK210" s="2">
        <f t="shared" si="1312"/>
        <v>0</v>
      </c>
      <c r="DL210" s="2"/>
      <c r="DM210" s="234"/>
      <c r="DN210" s="2"/>
      <c r="DO210" s="2"/>
      <c r="DP210" s="2">
        <f t="shared" si="1313"/>
        <v>0</v>
      </c>
      <c r="DQ210" s="2">
        <f t="shared" si="1314"/>
        <v>0</v>
      </c>
      <c r="DR210" s="2">
        <f t="shared" si="1314"/>
        <v>0</v>
      </c>
      <c r="DS210" s="2">
        <f t="shared" si="1314"/>
        <v>0</v>
      </c>
      <c r="DT210" s="2">
        <f t="shared" si="1314"/>
        <v>0</v>
      </c>
      <c r="DU210" s="2"/>
      <c r="DV210" s="2"/>
      <c r="DW210" s="2"/>
      <c r="DX210" s="2">
        <f t="shared" ca="1" si="1315"/>
        <v>0</v>
      </c>
      <c r="DY210" s="46"/>
      <c r="DZ210" s="2">
        <f t="shared" si="1316"/>
        <v>0</v>
      </c>
      <c r="EA210" s="2">
        <f t="shared" si="1317"/>
        <v>0</v>
      </c>
      <c r="EB210" s="46"/>
      <c r="EC210" s="2"/>
      <c r="ED210" s="2"/>
      <c r="EE210" s="46"/>
      <c r="EF210" s="2"/>
      <c r="EG210" s="46"/>
      <c r="EH210" s="46"/>
      <c r="EI210" s="2">
        <f t="shared" si="1196"/>
        <v>0</v>
      </c>
      <c r="EJ210" s="2"/>
      <c r="EK210" s="433">
        <f t="shared" si="1233"/>
        <v>0</v>
      </c>
      <c r="EL210" s="446"/>
      <c r="EM210" s="446"/>
      <c r="EN210" s="2"/>
      <c r="EO210" s="2"/>
      <c r="EP210" s="2">
        <f t="shared" si="1234"/>
        <v>0</v>
      </c>
      <c r="EQ210" s="2"/>
      <c r="ER210" s="2">
        <f t="shared" si="1235"/>
        <v>0</v>
      </c>
      <c r="ES210" s="2"/>
      <c r="ET210" s="2"/>
      <c r="EU210" s="2"/>
      <c r="EV210" s="141"/>
      <c r="EW210" s="310"/>
      <c r="EX210" s="310"/>
      <c r="EY210" s="310"/>
      <c r="EZ210" s="396"/>
      <c r="FA210" s="396"/>
      <c r="FB210" s="310"/>
      <c r="FC210" s="310"/>
      <c r="FD210" s="310"/>
      <c r="FE210" s="396"/>
      <c r="FF210" s="396"/>
      <c r="FG210" s="396"/>
      <c r="FH210" s="311"/>
      <c r="FI210" s="310"/>
      <c r="FJ210" s="296" t="e">
        <f t="shared" si="1320"/>
        <v>#DIV/0!</v>
      </c>
      <c r="FK210" s="353">
        <f t="shared" si="1237"/>
        <v>1862.4957199999999</v>
      </c>
      <c r="FL210" s="353">
        <f t="shared" si="1321"/>
        <v>1862.4957199999999</v>
      </c>
      <c r="FM210" s="353"/>
      <c r="FN210" s="388">
        <f t="shared" si="1322"/>
        <v>1</v>
      </c>
      <c r="FO210" s="388">
        <f t="shared" si="1323"/>
        <v>0</v>
      </c>
      <c r="FP210" s="353">
        <f t="shared" si="1238"/>
        <v>0</v>
      </c>
      <c r="FQ210" s="353">
        <f t="shared" si="1324"/>
        <v>0</v>
      </c>
      <c r="FR210" s="353">
        <f t="shared" si="1325"/>
        <v>0</v>
      </c>
      <c r="FS210" s="388" t="e">
        <f t="shared" si="1326"/>
        <v>#DIV/0!</v>
      </c>
      <c r="FT210" s="388" t="e">
        <f t="shared" si="1327"/>
        <v>#DIV/0!</v>
      </c>
      <c r="FU210" s="388"/>
      <c r="FV210" s="353">
        <f t="shared" si="1328"/>
        <v>0</v>
      </c>
      <c r="FW210" s="353">
        <f t="shared" si="1239"/>
        <v>0</v>
      </c>
      <c r="FX210" s="310"/>
      <c r="FY210" s="310"/>
      <c r="FZ210" s="310"/>
      <c r="GA210" s="396"/>
      <c r="GB210" s="396"/>
      <c r="GC210" s="310"/>
      <c r="GD210" s="310"/>
      <c r="GE210" s="310"/>
      <c r="GF210" s="396"/>
      <c r="GG210" s="396"/>
      <c r="GH210" s="396"/>
      <c r="GI210" s="311"/>
      <c r="GJ210" s="344"/>
      <c r="GK210" s="303">
        <f t="shared" si="1215"/>
        <v>0</v>
      </c>
    </row>
    <row r="211" spans="2:193" s="37" customFormat="1" ht="15.75" customHeight="1" x14ac:dyDescent="0.25">
      <c r="B211" s="29"/>
      <c r="C211" s="30">
        <v>1</v>
      </c>
      <c r="D211" s="30"/>
      <c r="E211" s="493">
        <v>175</v>
      </c>
      <c r="F211" s="29"/>
      <c r="G211" s="30">
        <v>1</v>
      </c>
      <c r="H211" s="30">
        <v>1</v>
      </c>
      <c r="I211" s="493"/>
      <c r="J211" s="494"/>
      <c r="K211" s="494"/>
      <c r="L211" s="53"/>
      <c r="M211" s="493">
        <v>150</v>
      </c>
      <c r="N211" s="494" t="s">
        <v>238</v>
      </c>
      <c r="O211" s="494"/>
      <c r="P211" s="494">
        <f t="shared" si="1236"/>
        <v>0</v>
      </c>
      <c r="Q211" s="494"/>
      <c r="R211" s="494"/>
      <c r="S211" s="494" t="s">
        <v>501</v>
      </c>
      <c r="T211" s="156">
        <v>2</v>
      </c>
      <c r="U211" s="493"/>
      <c r="V211" s="2">
        <f t="shared" si="1216"/>
        <v>1529.8</v>
      </c>
      <c r="W211" s="2"/>
      <c r="X211" s="198">
        <f t="shared" si="1031"/>
        <v>1529.8</v>
      </c>
      <c r="Y211" s="198">
        <v>482</v>
      </c>
      <c r="Z211" s="42">
        <v>1047.8</v>
      </c>
      <c r="AA211" s="2"/>
      <c r="AB211" s="567">
        <f t="shared" si="1300"/>
        <v>1529.8</v>
      </c>
      <c r="AC211" s="567"/>
      <c r="AD211" s="568">
        <f t="shared" si="1032"/>
        <v>1529.8</v>
      </c>
      <c r="AE211" s="568">
        <v>482</v>
      </c>
      <c r="AF211" s="569">
        <v>1047.8</v>
      </c>
      <c r="AG211" s="567"/>
      <c r="AH211" s="568"/>
      <c r="AI211" s="567"/>
      <c r="AJ211" s="567"/>
      <c r="AK211" s="568"/>
      <c r="AL211" s="567"/>
      <c r="AM211" s="568"/>
      <c r="AN211" s="567"/>
      <c r="AO211" s="567"/>
      <c r="AP211" s="568"/>
      <c r="AQ211" s="567"/>
      <c r="AR211" s="568"/>
      <c r="AS211" s="567"/>
      <c r="AT211" s="567"/>
      <c r="AU211" s="568"/>
      <c r="AV211" s="567"/>
      <c r="AW211" s="568"/>
      <c r="AX211" s="409" t="s">
        <v>379</v>
      </c>
      <c r="AY211" s="567">
        <f t="shared" si="1301"/>
        <v>1529.8</v>
      </c>
      <c r="AZ211" s="567"/>
      <c r="BA211" s="568">
        <f t="shared" si="1302"/>
        <v>1529.8</v>
      </c>
      <c r="BB211" s="568">
        <v>482</v>
      </c>
      <c r="BC211" s="569">
        <v>1047.8</v>
      </c>
      <c r="BD211" s="567"/>
      <c r="BE211" s="567"/>
      <c r="BF211" s="567">
        <f t="shared" si="1217"/>
        <v>0</v>
      </c>
      <c r="BG211" s="567">
        <f t="shared" si="1218"/>
        <v>0</v>
      </c>
      <c r="BH211" s="567">
        <f t="shared" si="1219"/>
        <v>0</v>
      </c>
      <c r="BI211" s="567">
        <f t="shared" si="1220"/>
        <v>0</v>
      </c>
      <c r="BJ211" s="567">
        <f t="shared" si="1221"/>
        <v>0</v>
      </c>
      <c r="BK211" s="567">
        <f t="shared" si="1222"/>
        <v>0</v>
      </c>
      <c r="BL211" s="567" t="e">
        <f>#REF!-BE211</f>
        <v>#REF!</v>
      </c>
      <c r="BM211" s="567">
        <f t="shared" si="1303"/>
        <v>494.5</v>
      </c>
      <c r="BN211" s="567"/>
      <c r="BO211" s="568">
        <f>215+279.5</f>
        <v>494.5</v>
      </c>
      <c r="BP211" s="567"/>
      <c r="BQ211" s="567"/>
      <c r="BR211" s="567">
        <f t="shared" si="1304"/>
        <v>0</v>
      </c>
      <c r="BS211" s="567"/>
      <c r="BT211" s="568"/>
      <c r="BU211" s="567"/>
      <c r="BV211" s="567"/>
      <c r="BW211" s="567">
        <f t="shared" si="1305"/>
        <v>1466.9319599999999</v>
      </c>
      <c r="BX211" s="567"/>
      <c r="BY211" s="568">
        <f t="shared" si="1223"/>
        <v>1466.9319599999999</v>
      </c>
      <c r="BZ211" s="571">
        <v>482</v>
      </c>
      <c r="CA211" s="571">
        <v>984.93196</v>
      </c>
      <c r="CB211" s="567"/>
      <c r="CC211" s="567"/>
      <c r="CD211" s="567">
        <f t="shared" si="1306"/>
        <v>1466.9319599999999</v>
      </c>
      <c r="CE211" s="567"/>
      <c r="CF211" s="568">
        <f t="shared" si="1224"/>
        <v>1466.9319599999999</v>
      </c>
      <c r="CG211" s="571">
        <v>482</v>
      </c>
      <c r="CH211" s="571">
        <v>984.93196</v>
      </c>
      <c r="CI211" s="567"/>
      <c r="CJ211" s="567"/>
      <c r="CK211" s="567">
        <f t="shared" si="1307"/>
        <v>631.04003999999998</v>
      </c>
      <c r="CL211" s="567"/>
      <c r="CM211" s="577">
        <v>631.04003999999998</v>
      </c>
      <c r="CN211" s="582"/>
      <c r="CO211" s="582"/>
      <c r="CP211" s="567"/>
      <c r="CQ211" s="567"/>
      <c r="CR211" s="573">
        <f t="shared" si="1308"/>
        <v>2097.9719999999998</v>
      </c>
      <c r="CS211" s="567">
        <f t="shared" si="1226"/>
        <v>2097.9719999999998</v>
      </c>
      <c r="CT211" s="567">
        <f t="shared" si="1227"/>
        <v>0</v>
      </c>
      <c r="CU211" s="567">
        <f t="shared" si="1228"/>
        <v>2097.9719999999998</v>
      </c>
      <c r="CV211" s="567">
        <f t="shared" si="1229"/>
        <v>0</v>
      </c>
      <c r="CW211" s="567">
        <f t="shared" si="1309"/>
        <v>0</v>
      </c>
      <c r="CX211" s="567">
        <f t="shared" ca="1" si="899"/>
        <v>0</v>
      </c>
      <c r="CY211" s="567">
        <f t="shared" si="1230"/>
        <v>0</v>
      </c>
      <c r="CZ211" s="567">
        <f t="shared" si="1231"/>
        <v>0</v>
      </c>
      <c r="DA211" s="567">
        <f t="shared" si="1232"/>
        <v>0</v>
      </c>
      <c r="DB211" s="2">
        <f t="shared" si="1310"/>
        <v>0</v>
      </c>
      <c r="DC211" s="76"/>
      <c r="DD211" s="545">
        <f>BM211+BM217</f>
        <v>4934.3999999999996</v>
      </c>
      <c r="DE211" s="545">
        <f>DD211</f>
        <v>4934.3999999999996</v>
      </c>
      <c r="DF211" s="2">
        <f t="shared" si="1311"/>
        <v>0</v>
      </c>
      <c r="DG211" s="2"/>
      <c r="DH211" s="198"/>
      <c r="DI211" s="2"/>
      <c r="DJ211" s="2"/>
      <c r="DK211" s="2">
        <f t="shared" si="1312"/>
        <v>0</v>
      </c>
      <c r="DL211" s="2"/>
      <c r="DM211" s="198"/>
      <c r="DN211" s="2"/>
      <c r="DO211" s="2"/>
      <c r="DP211" s="2">
        <f t="shared" si="1313"/>
        <v>0</v>
      </c>
      <c r="DQ211" s="2">
        <f t="shared" si="1314"/>
        <v>0</v>
      </c>
      <c r="DR211" s="2">
        <f t="shared" si="1314"/>
        <v>0</v>
      </c>
      <c r="DS211" s="2">
        <f t="shared" si="1314"/>
        <v>0</v>
      </c>
      <c r="DT211" s="2">
        <f t="shared" si="1314"/>
        <v>0</v>
      </c>
      <c r="DU211" s="2"/>
      <c r="DV211" s="2"/>
      <c r="DW211" s="2"/>
      <c r="DX211" s="2">
        <f t="shared" ca="1" si="1315"/>
        <v>0</v>
      </c>
      <c r="DY211" s="46"/>
      <c r="DZ211" s="2">
        <f t="shared" si="1316"/>
        <v>1466.9319599999999</v>
      </c>
      <c r="EA211" s="2">
        <f t="shared" si="1317"/>
        <v>1466.9319599999999</v>
      </c>
      <c r="EB211" s="46"/>
      <c r="EC211" s="546">
        <f>EA211+EA217</f>
        <v>51189.219850000001</v>
      </c>
      <c r="ED211" s="546">
        <f ca="1">DX211+DX217</f>
        <v>0</v>
      </c>
      <c r="EE211" s="46"/>
      <c r="EF211" s="2">
        <f>DE211-EC211</f>
        <v>-46254.81985</v>
      </c>
      <c r="EG211" s="46"/>
      <c r="EH211" s="46"/>
      <c r="EI211" s="2">
        <f t="shared" si="1196"/>
        <v>1466.9319599999999</v>
      </c>
      <c r="EJ211" s="2"/>
      <c r="EK211" s="198">
        <f t="shared" si="1233"/>
        <v>1466.9319599999999</v>
      </c>
      <c r="EL211" s="446">
        <v>482</v>
      </c>
      <c r="EM211" s="446">
        <v>984.93196</v>
      </c>
      <c r="EN211" s="2"/>
      <c r="EO211" s="2"/>
      <c r="EP211" s="2">
        <f t="shared" si="1234"/>
        <v>631.04003999999998</v>
      </c>
      <c r="EQ211" s="2"/>
      <c r="ER211" s="236">
        <v>631.04003999999998</v>
      </c>
      <c r="ES211" s="235">
        <v>495.06040000000002</v>
      </c>
      <c r="ET211" s="235">
        <v>135.97963999999999</v>
      </c>
      <c r="EU211" s="2"/>
      <c r="EV211" s="141"/>
      <c r="EW211" s="310"/>
      <c r="EX211" s="310"/>
      <c r="EY211" s="312"/>
      <c r="EZ211" s="396"/>
      <c r="FA211" s="396"/>
      <c r="FB211" s="310"/>
      <c r="FC211" s="310"/>
      <c r="FD211" s="312"/>
      <c r="FE211" s="396"/>
      <c r="FF211" s="396"/>
      <c r="FG211" s="396"/>
      <c r="FH211" s="311"/>
      <c r="FI211" s="310"/>
      <c r="FJ211" s="296" t="e">
        <f t="shared" si="1320"/>
        <v>#DIV/0!</v>
      </c>
      <c r="FK211" s="353">
        <f t="shared" si="1237"/>
        <v>1529.8</v>
      </c>
      <c r="FL211" s="353">
        <f t="shared" si="1321"/>
        <v>1529.8</v>
      </c>
      <c r="FM211" s="354"/>
      <c r="FN211" s="388">
        <f t="shared" si="1322"/>
        <v>1</v>
      </c>
      <c r="FO211" s="388">
        <f t="shared" si="1323"/>
        <v>0</v>
      </c>
      <c r="FP211" s="353">
        <f t="shared" si="1238"/>
        <v>2097.9719999999998</v>
      </c>
      <c r="FQ211" s="353">
        <f t="shared" si="1324"/>
        <v>1466.9319599999999</v>
      </c>
      <c r="FR211" s="354">
        <f t="shared" si="1325"/>
        <v>631.04003999999998</v>
      </c>
      <c r="FS211" s="388">
        <f t="shared" si="1326"/>
        <v>0.69921426978053092</v>
      </c>
      <c r="FT211" s="388">
        <f t="shared" si="1327"/>
        <v>0.30078573021946914</v>
      </c>
      <c r="FU211" s="388"/>
      <c r="FV211" s="353">
        <f t="shared" si="1328"/>
        <v>2097.9719999999998</v>
      </c>
      <c r="FW211" s="353">
        <f t="shared" si="1239"/>
        <v>-631.04003999999986</v>
      </c>
      <c r="FX211" s="310"/>
      <c r="FY211" s="310"/>
      <c r="FZ211" s="312"/>
      <c r="GA211" s="396"/>
      <c r="GB211" s="396"/>
      <c r="GC211" s="310"/>
      <c r="GD211" s="310"/>
      <c r="GE211" s="312"/>
      <c r="GF211" s="396"/>
      <c r="GG211" s="396"/>
      <c r="GH211" s="396"/>
      <c r="GI211" s="311"/>
      <c r="GJ211" s="344"/>
      <c r="GK211" s="303">
        <f t="shared" si="1215"/>
        <v>0.95890440580468028</v>
      </c>
    </row>
    <row r="212" spans="2:193" s="37" customFormat="1" ht="15.6" customHeight="1" x14ac:dyDescent="0.25">
      <c r="B212" s="29"/>
      <c r="C212" s="30"/>
      <c r="D212" s="30">
        <v>1</v>
      </c>
      <c r="E212" s="493">
        <v>176</v>
      </c>
      <c r="F212" s="29"/>
      <c r="G212" s="30"/>
      <c r="H212" s="30">
        <v>1</v>
      </c>
      <c r="I212" s="493"/>
      <c r="J212" s="494"/>
      <c r="K212" s="494"/>
      <c r="L212" s="53"/>
      <c r="M212" s="493">
        <v>151</v>
      </c>
      <c r="N212" s="494" t="s">
        <v>141</v>
      </c>
      <c r="O212" s="127" t="s">
        <v>335</v>
      </c>
      <c r="P212" s="127">
        <f t="shared" si="1236"/>
        <v>0</v>
      </c>
      <c r="Q212" s="127"/>
      <c r="R212" s="127"/>
      <c r="S212" s="127" t="s">
        <v>498</v>
      </c>
      <c r="T212" s="156">
        <v>2</v>
      </c>
      <c r="U212" s="493">
        <v>1</v>
      </c>
      <c r="V212" s="2">
        <f t="shared" si="1216"/>
        <v>6029.2999999999993</v>
      </c>
      <c r="W212" s="2"/>
      <c r="X212" s="198">
        <f t="shared" si="1031"/>
        <v>6029.2999999999993</v>
      </c>
      <c r="Y212" s="198">
        <v>1899.6</v>
      </c>
      <c r="Z212" s="42">
        <v>4129.7</v>
      </c>
      <c r="AA212" s="2"/>
      <c r="AB212" s="567">
        <f t="shared" si="1300"/>
        <v>6029.2999999999993</v>
      </c>
      <c r="AC212" s="567"/>
      <c r="AD212" s="568">
        <f t="shared" si="1032"/>
        <v>6029.2999999999993</v>
      </c>
      <c r="AE212" s="568">
        <v>1899.6</v>
      </c>
      <c r="AF212" s="569">
        <v>4129.7</v>
      </c>
      <c r="AG212" s="567"/>
      <c r="AH212" s="568"/>
      <c r="AI212" s="567"/>
      <c r="AJ212" s="567"/>
      <c r="AK212" s="568"/>
      <c r="AL212" s="567"/>
      <c r="AM212" s="568"/>
      <c r="AN212" s="567"/>
      <c r="AO212" s="567"/>
      <c r="AP212" s="568"/>
      <c r="AQ212" s="567"/>
      <c r="AR212" s="568"/>
      <c r="AS212" s="567"/>
      <c r="AT212" s="567"/>
      <c r="AU212" s="568"/>
      <c r="AV212" s="567"/>
      <c r="AW212" s="568"/>
      <c r="AX212" s="409" t="s">
        <v>722</v>
      </c>
      <c r="AY212" s="567">
        <f t="shared" si="1301"/>
        <v>5738.3166299999993</v>
      </c>
      <c r="AZ212" s="567"/>
      <c r="BA212" s="568">
        <f t="shared" si="1302"/>
        <v>5738.3166299999993</v>
      </c>
      <c r="BB212" s="568">
        <f>1885.88-277.26337</f>
        <v>1608.61663</v>
      </c>
      <c r="BC212" s="569">
        <f>4129.7-277.26337+277.26337</f>
        <v>4129.7</v>
      </c>
      <c r="BD212" s="567"/>
      <c r="BE212" s="567"/>
      <c r="BF212" s="567">
        <f t="shared" si="1217"/>
        <v>290.98336999999992</v>
      </c>
      <c r="BG212" s="567">
        <f t="shared" si="1218"/>
        <v>0</v>
      </c>
      <c r="BH212" s="567">
        <f t="shared" si="1219"/>
        <v>290.98336999999992</v>
      </c>
      <c r="BI212" s="567">
        <f t="shared" si="1220"/>
        <v>290.98336999999992</v>
      </c>
      <c r="BJ212" s="567">
        <f t="shared" si="1221"/>
        <v>0</v>
      </c>
      <c r="BK212" s="567">
        <f t="shared" si="1222"/>
        <v>0</v>
      </c>
      <c r="BL212" s="567" t="e">
        <f>#REF!-BE212</f>
        <v>#REF!</v>
      </c>
      <c r="BM212" s="567">
        <f t="shared" si="1303"/>
        <v>1945.8</v>
      </c>
      <c r="BN212" s="567"/>
      <c r="BO212" s="568">
        <f>846+1099.8</f>
        <v>1945.8</v>
      </c>
      <c r="BP212" s="567"/>
      <c r="BQ212" s="567"/>
      <c r="BR212" s="567">
        <f t="shared" si="1304"/>
        <v>0</v>
      </c>
      <c r="BS212" s="567"/>
      <c r="BT212" s="568"/>
      <c r="BU212" s="567"/>
      <c r="BV212" s="567"/>
      <c r="BW212" s="567">
        <f t="shared" si="1305"/>
        <v>5738.3166299999993</v>
      </c>
      <c r="BX212" s="567"/>
      <c r="BY212" s="568">
        <f t="shared" si="1223"/>
        <v>5738.3166299999993</v>
      </c>
      <c r="BZ212" s="571">
        <v>1608.61663</v>
      </c>
      <c r="CA212" s="571">
        <f>3458.7397+393.69693+277.26337</f>
        <v>4129.7</v>
      </c>
      <c r="CB212" s="567"/>
      <c r="CC212" s="567"/>
      <c r="CD212" s="567">
        <f t="shared" si="1306"/>
        <v>5738.3166299999993</v>
      </c>
      <c r="CE212" s="567"/>
      <c r="CF212" s="568">
        <f t="shared" si="1224"/>
        <v>5738.3166299999993</v>
      </c>
      <c r="CG212" s="571">
        <v>1608.61663</v>
      </c>
      <c r="CH212" s="571">
        <f>3458.7397+393.69693+277.26337</f>
        <v>4129.7</v>
      </c>
      <c r="CI212" s="567"/>
      <c r="CJ212" s="567"/>
      <c r="CK212" s="567">
        <f t="shared" si="1307"/>
        <v>1012.67266</v>
      </c>
      <c r="CL212" s="567"/>
      <c r="CM212" s="567">
        <v>1012.67266</v>
      </c>
      <c r="CN212" s="567"/>
      <c r="CO212" s="567"/>
      <c r="CP212" s="567"/>
      <c r="CQ212" s="567"/>
      <c r="CR212" s="573">
        <f t="shared" si="1308"/>
        <v>6750.9892899999995</v>
      </c>
      <c r="CS212" s="567">
        <f t="shared" si="1226"/>
        <v>6750.9892899999995</v>
      </c>
      <c r="CT212" s="567">
        <f t="shared" si="1227"/>
        <v>0</v>
      </c>
      <c r="CU212" s="567">
        <f t="shared" si="1228"/>
        <v>6750.9892899999995</v>
      </c>
      <c r="CV212" s="567">
        <f t="shared" si="1229"/>
        <v>0</v>
      </c>
      <c r="CW212" s="567">
        <f t="shared" si="1309"/>
        <v>0</v>
      </c>
      <c r="CX212" s="567">
        <f t="shared" ca="1" si="899"/>
        <v>0</v>
      </c>
      <c r="CY212" s="567">
        <f t="shared" si="1230"/>
        <v>0</v>
      </c>
      <c r="CZ212" s="567">
        <f t="shared" si="1231"/>
        <v>0</v>
      </c>
      <c r="DA212" s="567">
        <f t="shared" si="1232"/>
        <v>0</v>
      </c>
      <c r="DB212" s="2">
        <f t="shared" si="1310"/>
        <v>0</v>
      </c>
      <c r="DC212" s="76"/>
      <c r="DD212" s="253">
        <f>BM205-DD206-DD211</f>
        <v>12352.344999999999</v>
      </c>
      <c r="DE212" s="253">
        <f>DD212</f>
        <v>12352.344999999999</v>
      </c>
      <c r="DF212" s="2">
        <f t="shared" si="1311"/>
        <v>0</v>
      </c>
      <c r="DG212" s="2"/>
      <c r="DH212" s="198"/>
      <c r="DI212" s="2"/>
      <c r="DJ212" s="2"/>
      <c r="DK212" s="2">
        <f t="shared" si="1312"/>
        <v>0</v>
      </c>
      <c r="DL212" s="2"/>
      <c r="DM212" s="198"/>
      <c r="DN212" s="2"/>
      <c r="DO212" s="2"/>
      <c r="DP212" s="2">
        <f t="shared" si="1313"/>
        <v>0</v>
      </c>
      <c r="DQ212" s="2">
        <f t="shared" si="1314"/>
        <v>0</v>
      </c>
      <c r="DR212" s="2">
        <f t="shared" si="1314"/>
        <v>0</v>
      </c>
      <c r="DS212" s="2">
        <f t="shared" si="1314"/>
        <v>0</v>
      </c>
      <c r="DT212" s="2">
        <f t="shared" si="1314"/>
        <v>0</v>
      </c>
      <c r="DU212" s="2"/>
      <c r="DV212" s="2"/>
      <c r="DW212" s="2"/>
      <c r="DX212" s="2">
        <f t="shared" ca="1" si="1315"/>
        <v>0</v>
      </c>
      <c r="DY212" s="46"/>
      <c r="DZ212" s="2">
        <f t="shared" si="1316"/>
        <v>5738.3166299999993</v>
      </c>
      <c r="EA212" s="2">
        <f t="shared" si="1317"/>
        <v>5738.3166299999993</v>
      </c>
      <c r="EB212" s="46"/>
      <c r="EC212" s="2">
        <f>EA208+EA209+EA210+EA212+EA213+EA214+EA215+EA216+EA218+EA219+EA220+EA221</f>
        <v>37164.671579999995</v>
      </c>
      <c r="ED212" s="2">
        <f ca="1">DX208+DX209+DX210+DX212+DX213+DX214+DX215+DX216+DX218+DX219+DX220+DX221</f>
        <v>0</v>
      </c>
      <c r="EE212" s="46"/>
      <c r="EF212" s="2">
        <f>DE212-EC212</f>
        <v>-24812.326579999994</v>
      </c>
      <c r="EG212" s="46"/>
      <c r="EH212" s="46"/>
      <c r="EI212" s="2">
        <f t="shared" si="1196"/>
        <v>5738.3166299999993</v>
      </c>
      <c r="EJ212" s="2"/>
      <c r="EK212" s="198">
        <f t="shared" si="1233"/>
        <v>5738.3166299999993</v>
      </c>
      <c r="EL212" s="446">
        <v>1608.61663</v>
      </c>
      <c r="EM212" s="446">
        <f>3458.7397+393.69693+277.26337</f>
        <v>4129.7</v>
      </c>
      <c r="EN212" s="2"/>
      <c r="EO212" s="2"/>
      <c r="EP212" s="2">
        <f t="shared" si="1234"/>
        <v>1012.67266</v>
      </c>
      <c r="EQ212" s="2"/>
      <c r="ER212" s="2">
        <v>1012.67266</v>
      </c>
      <c r="ES212" s="2">
        <v>332.80347</v>
      </c>
      <c r="ET212" s="2">
        <f>610.39046+69.47873</f>
        <v>679.86919</v>
      </c>
      <c r="EU212" s="2"/>
      <c r="EV212" s="141"/>
      <c r="EW212" s="310"/>
      <c r="EX212" s="310"/>
      <c r="EY212" s="310"/>
      <c r="EZ212" s="396"/>
      <c r="FA212" s="396"/>
      <c r="FB212" s="310"/>
      <c r="FC212" s="310"/>
      <c r="FD212" s="310"/>
      <c r="FE212" s="396"/>
      <c r="FF212" s="396"/>
      <c r="FG212" s="396"/>
      <c r="FH212" s="311"/>
      <c r="FI212" s="310"/>
      <c r="FJ212" s="296" t="e">
        <f t="shared" si="1320"/>
        <v>#DIV/0!</v>
      </c>
      <c r="FK212" s="353">
        <f t="shared" si="1237"/>
        <v>5738.3166299999993</v>
      </c>
      <c r="FL212" s="353">
        <f t="shared" si="1321"/>
        <v>5738.3166299999993</v>
      </c>
      <c r="FM212" s="353"/>
      <c r="FN212" s="388">
        <f t="shared" si="1322"/>
        <v>1</v>
      </c>
      <c r="FO212" s="388">
        <f t="shared" si="1323"/>
        <v>0</v>
      </c>
      <c r="FP212" s="353">
        <f t="shared" si="1238"/>
        <v>6750.9892899999995</v>
      </c>
      <c r="FQ212" s="353">
        <f t="shared" si="1324"/>
        <v>5738.3166299999993</v>
      </c>
      <c r="FR212" s="353">
        <f t="shared" si="1325"/>
        <v>1012.67266</v>
      </c>
      <c r="FS212" s="388">
        <f t="shared" si="1326"/>
        <v>0.84999640548977962</v>
      </c>
      <c r="FT212" s="388">
        <f t="shared" si="1327"/>
        <v>0.1500035945102203</v>
      </c>
      <c r="FU212" s="388"/>
      <c r="FV212" s="353">
        <f t="shared" si="1328"/>
        <v>6750.9892899999995</v>
      </c>
      <c r="FW212" s="353">
        <f t="shared" si="1239"/>
        <v>-1012.6726600000002</v>
      </c>
      <c r="FX212" s="310"/>
      <c r="FY212" s="310"/>
      <c r="FZ212" s="310"/>
      <c r="GA212" s="396"/>
      <c r="GB212" s="396"/>
      <c r="GC212" s="310"/>
      <c r="GD212" s="310"/>
      <c r="GE212" s="310"/>
      <c r="GF212" s="396"/>
      <c r="GG212" s="396"/>
      <c r="GH212" s="396"/>
      <c r="GI212" s="311"/>
      <c r="GJ212" s="344"/>
      <c r="GK212" s="303">
        <f t="shared" si="1215"/>
        <v>0.95173844890783343</v>
      </c>
    </row>
    <row r="213" spans="2:193" s="37" customFormat="1" ht="15.75" customHeight="1" x14ac:dyDescent="0.25">
      <c r="B213" s="29"/>
      <c r="C213" s="30"/>
      <c r="D213" s="30">
        <v>1</v>
      </c>
      <c r="E213" s="493">
        <v>177</v>
      </c>
      <c r="F213" s="29"/>
      <c r="G213" s="30"/>
      <c r="H213" s="30">
        <v>1</v>
      </c>
      <c r="I213" s="493"/>
      <c r="J213" s="494"/>
      <c r="K213" s="494"/>
      <c r="L213" s="53"/>
      <c r="M213" s="493">
        <v>152</v>
      </c>
      <c r="N213" s="494" t="s">
        <v>142</v>
      </c>
      <c r="O213" s="494"/>
      <c r="P213" s="494">
        <f t="shared" si="1236"/>
        <v>0</v>
      </c>
      <c r="Q213" s="494" t="s">
        <v>706</v>
      </c>
      <c r="R213" s="494" t="s">
        <v>699</v>
      </c>
      <c r="S213" s="494" t="s">
        <v>517</v>
      </c>
      <c r="T213" s="156">
        <v>2</v>
      </c>
      <c r="U213" s="493"/>
      <c r="V213" s="2">
        <f t="shared" si="1216"/>
        <v>6470.9000000000005</v>
      </c>
      <c r="W213" s="2"/>
      <c r="X213" s="198">
        <f t="shared" si="1031"/>
        <v>6470.9000000000005</v>
      </c>
      <c r="Y213" s="198">
        <v>2038.8</v>
      </c>
      <c r="Z213" s="42">
        <v>4432.1000000000004</v>
      </c>
      <c r="AA213" s="2"/>
      <c r="AB213" s="567">
        <f t="shared" si="1300"/>
        <v>6470.9000000000005</v>
      </c>
      <c r="AC213" s="567"/>
      <c r="AD213" s="568">
        <f t="shared" si="1032"/>
        <v>6470.9000000000005</v>
      </c>
      <c r="AE213" s="568">
        <v>2038.8</v>
      </c>
      <c r="AF213" s="569">
        <v>4432.1000000000004</v>
      </c>
      <c r="AG213" s="567"/>
      <c r="AH213" s="568"/>
      <c r="AI213" s="567"/>
      <c r="AJ213" s="567"/>
      <c r="AK213" s="568"/>
      <c r="AL213" s="567"/>
      <c r="AM213" s="568"/>
      <c r="AN213" s="567"/>
      <c r="AO213" s="567"/>
      <c r="AP213" s="568"/>
      <c r="AQ213" s="567"/>
      <c r="AR213" s="568"/>
      <c r="AS213" s="567"/>
      <c r="AT213" s="567"/>
      <c r="AU213" s="568"/>
      <c r="AV213" s="567"/>
      <c r="AW213" s="568"/>
      <c r="AX213" s="409" t="s">
        <v>391</v>
      </c>
      <c r="AY213" s="567">
        <f t="shared" si="1301"/>
        <v>6470.9000000000005</v>
      </c>
      <c r="AZ213" s="567"/>
      <c r="BA213" s="568">
        <f t="shared" si="1302"/>
        <v>6470.9000000000005</v>
      </c>
      <c r="BB213" s="568">
        <v>2038.8</v>
      </c>
      <c r="BC213" s="569">
        <v>4432.1000000000004</v>
      </c>
      <c r="BD213" s="567"/>
      <c r="BE213" s="567"/>
      <c r="BF213" s="567">
        <f t="shared" si="1217"/>
        <v>0</v>
      </c>
      <c r="BG213" s="567">
        <f t="shared" si="1218"/>
        <v>0</v>
      </c>
      <c r="BH213" s="567">
        <f t="shared" si="1219"/>
        <v>0</v>
      </c>
      <c r="BI213" s="567">
        <f t="shared" si="1220"/>
        <v>0</v>
      </c>
      <c r="BJ213" s="567">
        <f t="shared" si="1221"/>
        <v>0</v>
      </c>
      <c r="BK213" s="567">
        <f t="shared" si="1222"/>
        <v>0</v>
      </c>
      <c r="BL213" s="567" t="e">
        <f>#REF!-BE213</f>
        <v>#REF!</v>
      </c>
      <c r="BM213" s="567">
        <f t="shared" si="1303"/>
        <v>2086.1</v>
      </c>
      <c r="BN213" s="567"/>
      <c r="BO213" s="568">
        <f>907+1179.1</f>
        <v>2086.1</v>
      </c>
      <c r="BP213" s="567"/>
      <c r="BQ213" s="567"/>
      <c r="BR213" s="567">
        <f t="shared" si="1304"/>
        <v>0</v>
      </c>
      <c r="BS213" s="567"/>
      <c r="BT213" s="568"/>
      <c r="BU213" s="567"/>
      <c r="BV213" s="567"/>
      <c r="BW213" s="567">
        <f t="shared" si="1305"/>
        <v>5176.7199899999996</v>
      </c>
      <c r="BX213" s="567"/>
      <c r="BY213" s="578">
        <f t="shared" si="1223"/>
        <v>5176.7199899999996</v>
      </c>
      <c r="BZ213" s="571">
        <v>1631.04</v>
      </c>
      <c r="CA213" s="571">
        <v>3545.6799900000001</v>
      </c>
      <c r="CB213" s="567"/>
      <c r="CC213" s="567"/>
      <c r="CD213" s="567">
        <f t="shared" si="1306"/>
        <v>5176.7199899999996</v>
      </c>
      <c r="CE213" s="567"/>
      <c r="CF213" s="578">
        <f t="shared" si="1224"/>
        <v>5176.7199899999996</v>
      </c>
      <c r="CG213" s="571">
        <v>1631.04</v>
      </c>
      <c r="CH213" s="571">
        <v>3545.6799900000001</v>
      </c>
      <c r="CI213" s="567"/>
      <c r="CJ213" s="567"/>
      <c r="CK213" s="567">
        <f t="shared" si="1307"/>
        <v>792.37663999999995</v>
      </c>
      <c r="CL213" s="567"/>
      <c r="CM213" s="567">
        <v>792.37663999999995</v>
      </c>
      <c r="CN213" s="567"/>
      <c r="CO213" s="567"/>
      <c r="CP213" s="567"/>
      <c r="CQ213" s="567"/>
      <c r="CR213" s="573">
        <f t="shared" si="1308"/>
        <v>5969.09663</v>
      </c>
      <c r="CS213" s="567">
        <f t="shared" si="1226"/>
        <v>5969.09663</v>
      </c>
      <c r="CT213" s="567">
        <f t="shared" si="1227"/>
        <v>0</v>
      </c>
      <c r="CU213" s="567">
        <f t="shared" si="1228"/>
        <v>5969.09663</v>
      </c>
      <c r="CV213" s="567">
        <f t="shared" si="1229"/>
        <v>0</v>
      </c>
      <c r="CW213" s="567">
        <f t="shared" si="1309"/>
        <v>0</v>
      </c>
      <c r="CX213" s="567">
        <f t="shared" ca="1" si="899"/>
        <v>0</v>
      </c>
      <c r="CY213" s="567">
        <f t="shared" si="1230"/>
        <v>0</v>
      </c>
      <c r="CZ213" s="567">
        <f t="shared" si="1231"/>
        <v>0</v>
      </c>
      <c r="DA213" s="567">
        <f t="shared" si="1232"/>
        <v>0</v>
      </c>
      <c r="DB213" s="2">
        <f t="shared" si="1310"/>
        <v>0</v>
      </c>
      <c r="DC213" s="76"/>
      <c r="DD213" s="253"/>
      <c r="DE213" s="253"/>
      <c r="DF213" s="2">
        <f t="shared" si="1311"/>
        <v>0</v>
      </c>
      <c r="DG213" s="2"/>
      <c r="DH213" s="198"/>
      <c r="DI213" s="2"/>
      <c r="DJ213" s="2"/>
      <c r="DK213" s="2">
        <f t="shared" si="1312"/>
        <v>0</v>
      </c>
      <c r="DL213" s="2"/>
      <c r="DM213" s="198"/>
      <c r="DN213" s="2"/>
      <c r="DO213" s="2"/>
      <c r="DP213" s="2">
        <f t="shared" si="1313"/>
        <v>0</v>
      </c>
      <c r="DQ213" s="2">
        <f t="shared" si="1314"/>
        <v>0</v>
      </c>
      <c r="DR213" s="2">
        <f t="shared" si="1314"/>
        <v>0</v>
      </c>
      <c r="DS213" s="2">
        <f t="shared" si="1314"/>
        <v>0</v>
      </c>
      <c r="DT213" s="2">
        <f t="shared" si="1314"/>
        <v>0</v>
      </c>
      <c r="DU213" s="2"/>
      <c r="DV213" s="2"/>
      <c r="DW213" s="2"/>
      <c r="DX213" s="2">
        <f t="shared" ca="1" si="1315"/>
        <v>0</v>
      </c>
      <c r="DY213" s="46"/>
      <c r="DZ213" s="2">
        <f t="shared" si="1316"/>
        <v>5176.7199899999996</v>
      </c>
      <c r="EA213" s="2">
        <f t="shared" si="1317"/>
        <v>5176.7199899999996</v>
      </c>
      <c r="EB213" s="46"/>
      <c r="EC213" s="2"/>
      <c r="ED213" s="2"/>
      <c r="EE213" s="46"/>
      <c r="EF213" s="2"/>
      <c r="EG213" s="46"/>
      <c r="EH213" s="46"/>
      <c r="EI213" s="2">
        <f t="shared" si="1196"/>
        <v>5176.7199899999996</v>
      </c>
      <c r="EJ213" s="2"/>
      <c r="EK213" s="433">
        <f t="shared" si="1233"/>
        <v>5176.7199899999996</v>
      </c>
      <c r="EL213" s="446">
        <v>1631.04</v>
      </c>
      <c r="EM213" s="446">
        <v>3545.6799900000001</v>
      </c>
      <c r="EN213" s="2"/>
      <c r="EO213" s="2"/>
      <c r="EP213" s="2">
        <f t="shared" si="1234"/>
        <v>792.37663999999995</v>
      </c>
      <c r="EQ213" s="2"/>
      <c r="ER213" s="2">
        <v>792.37663999999995</v>
      </c>
      <c r="ES213" s="2">
        <v>289.32288</v>
      </c>
      <c r="ET213" s="2">
        <v>503.05376000000001</v>
      </c>
      <c r="EU213" s="2"/>
      <c r="EV213" s="141"/>
      <c r="EW213" s="310"/>
      <c r="EX213" s="310"/>
      <c r="EY213" s="310"/>
      <c r="EZ213" s="396"/>
      <c r="FA213" s="396"/>
      <c r="FB213" s="310"/>
      <c r="FC213" s="310"/>
      <c r="FD213" s="310"/>
      <c r="FE213" s="396"/>
      <c r="FF213" s="396"/>
      <c r="FG213" s="396"/>
      <c r="FH213" s="311"/>
      <c r="FI213" s="310"/>
      <c r="FJ213" s="296" t="e">
        <f t="shared" si="1320"/>
        <v>#DIV/0!</v>
      </c>
      <c r="FK213" s="353">
        <f t="shared" si="1237"/>
        <v>6470.9000000000005</v>
      </c>
      <c r="FL213" s="353">
        <f t="shared" si="1321"/>
        <v>6470.9000000000005</v>
      </c>
      <c r="FM213" s="353"/>
      <c r="FN213" s="388">
        <f t="shared" si="1322"/>
        <v>1</v>
      </c>
      <c r="FO213" s="388">
        <f t="shared" si="1323"/>
        <v>0</v>
      </c>
      <c r="FP213" s="353">
        <f t="shared" si="1238"/>
        <v>5969.09663</v>
      </c>
      <c r="FQ213" s="353">
        <f t="shared" si="1324"/>
        <v>5176.7199899999996</v>
      </c>
      <c r="FR213" s="353">
        <f t="shared" si="1325"/>
        <v>792.37663999999995</v>
      </c>
      <c r="FS213" s="388">
        <f t="shared" si="1326"/>
        <v>0.86725350767189702</v>
      </c>
      <c r="FT213" s="388">
        <f t="shared" si="1327"/>
        <v>0.1327464923281029</v>
      </c>
      <c r="FU213" s="388"/>
      <c r="FV213" s="353">
        <f t="shared" si="1328"/>
        <v>5969.09663</v>
      </c>
      <c r="FW213" s="353">
        <f t="shared" si="1239"/>
        <v>-792.37664000000041</v>
      </c>
      <c r="FX213" s="310"/>
      <c r="FY213" s="310"/>
      <c r="FZ213" s="310"/>
      <c r="GA213" s="396"/>
      <c r="GB213" s="396"/>
      <c r="GC213" s="310"/>
      <c r="GD213" s="310"/>
      <c r="GE213" s="310"/>
      <c r="GF213" s="396"/>
      <c r="GG213" s="396"/>
      <c r="GH213" s="396"/>
      <c r="GI213" s="311"/>
      <c r="GJ213" s="344"/>
      <c r="GK213" s="303">
        <f t="shared" si="1215"/>
        <v>0.79999999845461978</v>
      </c>
    </row>
    <row r="214" spans="2:193" s="37" customFormat="1" ht="15.75" customHeight="1" x14ac:dyDescent="0.25">
      <c r="B214" s="29"/>
      <c r="C214" s="30"/>
      <c r="D214" s="30">
        <v>1</v>
      </c>
      <c r="E214" s="493">
        <v>178</v>
      </c>
      <c r="F214" s="29"/>
      <c r="G214" s="30"/>
      <c r="H214" s="30">
        <v>1</v>
      </c>
      <c r="I214" s="493"/>
      <c r="J214" s="494"/>
      <c r="K214" s="494"/>
      <c r="L214" s="53"/>
      <c r="M214" s="493">
        <v>153</v>
      </c>
      <c r="N214" s="494" t="s">
        <v>166</v>
      </c>
      <c r="O214" s="494"/>
      <c r="P214" s="494">
        <f t="shared" si="1236"/>
        <v>0</v>
      </c>
      <c r="Q214" s="494" t="s">
        <v>701</v>
      </c>
      <c r="R214" s="494" t="s">
        <v>699</v>
      </c>
      <c r="S214" s="494" t="s">
        <v>586</v>
      </c>
      <c r="T214" s="156">
        <v>3</v>
      </c>
      <c r="U214" s="493"/>
      <c r="V214" s="2">
        <f t="shared" si="1216"/>
        <v>3335.9229999999998</v>
      </c>
      <c r="W214" s="2"/>
      <c r="X214" s="198">
        <f t="shared" si="1031"/>
        <v>1888.1999999999998</v>
      </c>
      <c r="Y214" s="198">
        <v>594.9</v>
      </c>
      <c r="Z214" s="42">
        <v>1293.3</v>
      </c>
      <c r="AA214" s="2">
        <v>1447.723</v>
      </c>
      <c r="AB214" s="567">
        <f t="shared" si="1300"/>
        <v>3335.9229999999998</v>
      </c>
      <c r="AC214" s="567"/>
      <c r="AD214" s="568">
        <f t="shared" si="1032"/>
        <v>1888.1999999999998</v>
      </c>
      <c r="AE214" s="568">
        <v>594.9</v>
      </c>
      <c r="AF214" s="569">
        <v>1293.3</v>
      </c>
      <c r="AG214" s="567">
        <v>1447.723</v>
      </c>
      <c r="AH214" s="568"/>
      <c r="AI214" s="567"/>
      <c r="AJ214" s="567"/>
      <c r="AK214" s="568"/>
      <c r="AL214" s="567"/>
      <c r="AM214" s="568"/>
      <c r="AN214" s="567"/>
      <c r="AO214" s="567"/>
      <c r="AP214" s="568"/>
      <c r="AQ214" s="567"/>
      <c r="AR214" s="568"/>
      <c r="AS214" s="567"/>
      <c r="AT214" s="567"/>
      <c r="AU214" s="568"/>
      <c r="AV214" s="567"/>
      <c r="AW214" s="568"/>
      <c r="AX214" s="409" t="s">
        <v>444</v>
      </c>
      <c r="AY214" s="567">
        <f t="shared" si="1301"/>
        <v>3335.9229500000001</v>
      </c>
      <c r="AZ214" s="567"/>
      <c r="BA214" s="568">
        <f t="shared" si="1302"/>
        <v>1888.1999999999998</v>
      </c>
      <c r="BB214" s="568">
        <v>594.9</v>
      </c>
      <c r="BC214" s="569">
        <v>1293.3</v>
      </c>
      <c r="BD214" s="569">
        <v>1447.7229500000001</v>
      </c>
      <c r="BE214" s="567"/>
      <c r="BF214" s="567">
        <f t="shared" si="1217"/>
        <v>4.9999999873762135E-5</v>
      </c>
      <c r="BG214" s="567">
        <f t="shared" si="1218"/>
        <v>0</v>
      </c>
      <c r="BH214" s="567">
        <f t="shared" si="1219"/>
        <v>0</v>
      </c>
      <c r="BI214" s="567">
        <f t="shared" si="1220"/>
        <v>0</v>
      </c>
      <c r="BJ214" s="567">
        <f t="shared" si="1221"/>
        <v>0</v>
      </c>
      <c r="BK214" s="567">
        <f t="shared" si="1222"/>
        <v>4.9999999873762135E-5</v>
      </c>
      <c r="BL214" s="567" t="e">
        <f>#REF!-BE214</f>
        <v>#REF!</v>
      </c>
      <c r="BM214" s="567">
        <f t="shared" si="1303"/>
        <v>265.84500000000003</v>
      </c>
      <c r="BN214" s="567"/>
      <c r="BO214" s="568">
        <v>265.84500000000003</v>
      </c>
      <c r="BP214" s="567"/>
      <c r="BQ214" s="567"/>
      <c r="BR214" s="567">
        <f t="shared" si="1304"/>
        <v>0</v>
      </c>
      <c r="BS214" s="567"/>
      <c r="BT214" s="570"/>
      <c r="BU214" s="567"/>
      <c r="BV214" s="567"/>
      <c r="BW214" s="567">
        <f t="shared" si="1305"/>
        <v>3329.4564499999997</v>
      </c>
      <c r="BX214" s="567"/>
      <c r="BY214" s="568">
        <f t="shared" si="1223"/>
        <v>1881.7334999999998</v>
      </c>
      <c r="BZ214" s="578">
        <v>594.9</v>
      </c>
      <c r="CA214" s="571">
        <v>1286.8335</v>
      </c>
      <c r="CB214" s="567">
        <v>1447.7229500000001</v>
      </c>
      <c r="CC214" s="567"/>
      <c r="CD214" s="567">
        <f t="shared" si="1306"/>
        <v>3329.4564499999997</v>
      </c>
      <c r="CE214" s="567"/>
      <c r="CF214" s="568">
        <f t="shared" si="1224"/>
        <v>1881.7334999999998</v>
      </c>
      <c r="CG214" s="578">
        <v>594.9</v>
      </c>
      <c r="CH214" s="571">
        <v>1286.8335</v>
      </c>
      <c r="CI214" s="567">
        <v>1447.7229500000001</v>
      </c>
      <c r="CJ214" s="567"/>
      <c r="CK214" s="567">
        <f t="shared" si="1307"/>
        <v>414.19601999999998</v>
      </c>
      <c r="CL214" s="567"/>
      <c r="CM214" s="567">
        <v>235.26397</v>
      </c>
      <c r="CN214" s="567"/>
      <c r="CO214" s="567"/>
      <c r="CP214" s="567">
        <v>178.93205</v>
      </c>
      <c r="CQ214" s="567"/>
      <c r="CR214" s="573">
        <f t="shared" si="1308"/>
        <v>3743.65247</v>
      </c>
      <c r="CS214" s="567">
        <f t="shared" si="1226"/>
        <v>3743.65247</v>
      </c>
      <c r="CT214" s="567">
        <f t="shared" si="1227"/>
        <v>0</v>
      </c>
      <c r="CU214" s="567">
        <f t="shared" si="1228"/>
        <v>2116.9974699999998</v>
      </c>
      <c r="CV214" s="567">
        <f t="shared" si="1229"/>
        <v>1626.6550000000002</v>
      </c>
      <c r="CW214" s="567">
        <f t="shared" si="1309"/>
        <v>0</v>
      </c>
      <c r="CX214" s="567">
        <f t="shared" ca="1" si="899"/>
        <v>0</v>
      </c>
      <c r="CY214" s="567">
        <f t="shared" si="1230"/>
        <v>0</v>
      </c>
      <c r="CZ214" s="567">
        <f t="shared" si="1231"/>
        <v>0</v>
      </c>
      <c r="DA214" s="567">
        <f t="shared" si="1232"/>
        <v>0</v>
      </c>
      <c r="DB214" s="2">
        <f t="shared" si="1310"/>
        <v>0</v>
      </c>
      <c r="DC214" s="76"/>
      <c r="DD214" s="253"/>
      <c r="DE214" s="253"/>
      <c r="DF214" s="2">
        <f t="shared" si="1311"/>
        <v>0</v>
      </c>
      <c r="DG214" s="2"/>
      <c r="DH214" s="234"/>
      <c r="DI214" s="2"/>
      <c r="DJ214" s="2"/>
      <c r="DK214" s="2">
        <f t="shared" si="1312"/>
        <v>0</v>
      </c>
      <c r="DL214" s="2"/>
      <c r="DM214" s="234"/>
      <c r="DN214" s="2"/>
      <c r="DO214" s="2"/>
      <c r="DP214" s="2">
        <f t="shared" si="1313"/>
        <v>0</v>
      </c>
      <c r="DQ214" s="2">
        <f t="shared" si="1314"/>
        <v>0</v>
      </c>
      <c r="DR214" s="2">
        <f t="shared" si="1314"/>
        <v>0</v>
      </c>
      <c r="DS214" s="2">
        <f t="shared" si="1314"/>
        <v>0</v>
      </c>
      <c r="DT214" s="2">
        <f t="shared" si="1314"/>
        <v>0</v>
      </c>
      <c r="DU214" s="2"/>
      <c r="DV214" s="2"/>
      <c r="DW214" s="2"/>
      <c r="DX214" s="2">
        <f t="shared" ca="1" si="1315"/>
        <v>0</v>
      </c>
      <c r="DY214" s="46"/>
      <c r="DZ214" s="2">
        <f t="shared" si="1316"/>
        <v>3329.4564499999997</v>
      </c>
      <c r="EA214" s="2">
        <f t="shared" si="1317"/>
        <v>3329.4564499999997</v>
      </c>
      <c r="EB214" s="46"/>
      <c r="EC214" s="2"/>
      <c r="ED214" s="2"/>
      <c r="EE214" s="46"/>
      <c r="EF214" s="2"/>
      <c r="EG214" s="46"/>
      <c r="EH214" s="46"/>
      <c r="EI214" s="2">
        <f t="shared" si="1196"/>
        <v>3329.4564499999997</v>
      </c>
      <c r="EJ214" s="2"/>
      <c r="EK214" s="198">
        <f t="shared" si="1233"/>
        <v>1881.7334999999998</v>
      </c>
      <c r="EL214" s="433">
        <v>594.9</v>
      </c>
      <c r="EM214" s="446">
        <v>1286.8335</v>
      </c>
      <c r="EN214" s="2">
        <v>1447.7229500000001</v>
      </c>
      <c r="EO214" s="2"/>
      <c r="EP214" s="2">
        <f t="shared" si="1234"/>
        <v>414.19601999999998</v>
      </c>
      <c r="EQ214" s="2"/>
      <c r="ER214" s="2">
        <v>235.26397</v>
      </c>
      <c r="ES214" s="2">
        <v>74.787909999999997</v>
      </c>
      <c r="ET214" s="2">
        <v>160.47605999999999</v>
      </c>
      <c r="EU214" s="2">
        <v>178.93205</v>
      </c>
      <c r="EV214" s="141"/>
      <c r="EW214" s="310"/>
      <c r="EX214" s="310"/>
      <c r="EY214" s="310"/>
      <c r="EZ214" s="396"/>
      <c r="FA214" s="396"/>
      <c r="FB214" s="310"/>
      <c r="FC214" s="310"/>
      <c r="FD214" s="310"/>
      <c r="FE214" s="396"/>
      <c r="FF214" s="396"/>
      <c r="FG214" s="396"/>
      <c r="FH214" s="311"/>
      <c r="FI214" s="310"/>
      <c r="FJ214" s="296" t="e">
        <f t="shared" si="1320"/>
        <v>#DIV/0!</v>
      </c>
      <c r="FK214" s="353">
        <f t="shared" si="1237"/>
        <v>1888.1999999999998</v>
      </c>
      <c r="FL214" s="353">
        <f t="shared" si="1321"/>
        <v>1888.1999999999998</v>
      </c>
      <c r="FM214" s="353"/>
      <c r="FN214" s="388">
        <f t="shared" si="1322"/>
        <v>1</v>
      </c>
      <c r="FO214" s="388">
        <f t="shared" si="1323"/>
        <v>0</v>
      </c>
      <c r="FP214" s="353">
        <f t="shared" si="1238"/>
        <v>2116.9974699999998</v>
      </c>
      <c r="FQ214" s="353">
        <f t="shared" si="1324"/>
        <v>1881.7334999999998</v>
      </c>
      <c r="FR214" s="353">
        <f t="shared" si="1325"/>
        <v>235.26397</v>
      </c>
      <c r="FS214" s="388">
        <f t="shared" si="1326"/>
        <v>0.88886903582364696</v>
      </c>
      <c r="FT214" s="388">
        <f t="shared" si="1327"/>
        <v>0.11113096417635304</v>
      </c>
      <c r="FU214" s="388"/>
      <c r="FV214" s="353">
        <f t="shared" si="1328"/>
        <v>2116.9974699999998</v>
      </c>
      <c r="FW214" s="353">
        <f t="shared" si="1239"/>
        <v>-235.26396999999997</v>
      </c>
      <c r="FX214" s="310"/>
      <c r="FY214" s="310"/>
      <c r="FZ214" s="310"/>
      <c r="GA214" s="396"/>
      <c r="GB214" s="396"/>
      <c r="GC214" s="310"/>
      <c r="GD214" s="310"/>
      <c r="GE214" s="310"/>
      <c r="GF214" s="396"/>
      <c r="GG214" s="396"/>
      <c r="GH214" s="396"/>
      <c r="GI214" s="311"/>
      <c r="GJ214" s="344"/>
      <c r="GK214" s="303">
        <f t="shared" si="1215"/>
        <v>0.99806154098880573</v>
      </c>
    </row>
    <row r="215" spans="2:193" s="37" customFormat="1" ht="15.6" customHeight="1" x14ac:dyDescent="0.25">
      <c r="B215" s="29"/>
      <c r="C215" s="30"/>
      <c r="D215" s="30">
        <v>1</v>
      </c>
      <c r="E215" s="493">
        <v>179</v>
      </c>
      <c r="F215" s="29"/>
      <c r="G215" s="30"/>
      <c r="H215" s="30">
        <v>1</v>
      </c>
      <c r="I215" s="491"/>
      <c r="J215" s="491"/>
      <c r="K215" s="491"/>
      <c r="L215" s="544"/>
      <c r="M215" s="493">
        <v>154</v>
      </c>
      <c r="N215" s="494" t="s">
        <v>167</v>
      </c>
      <c r="O215" s="494"/>
      <c r="P215" s="494">
        <f t="shared" si="1236"/>
        <v>0</v>
      </c>
      <c r="Q215" s="494"/>
      <c r="R215" s="494"/>
      <c r="S215" s="494">
        <v>51</v>
      </c>
      <c r="T215" s="156">
        <v>2</v>
      </c>
      <c r="U215" s="493"/>
      <c r="V215" s="2">
        <f t="shared" si="1216"/>
        <v>2400.1999999999998</v>
      </c>
      <c r="W215" s="235"/>
      <c r="X215" s="198">
        <f t="shared" si="1031"/>
        <v>2400.1999999999998</v>
      </c>
      <c r="Y215" s="198">
        <v>756.2</v>
      </c>
      <c r="Z215" s="42">
        <v>1644</v>
      </c>
      <c r="AA215" s="235"/>
      <c r="AB215" s="567">
        <f t="shared" si="1300"/>
        <v>2400.1999999999998</v>
      </c>
      <c r="AC215" s="582"/>
      <c r="AD215" s="568">
        <f t="shared" si="1032"/>
        <v>2400.1999999999998</v>
      </c>
      <c r="AE215" s="568">
        <v>756.2</v>
      </c>
      <c r="AF215" s="569">
        <v>1644</v>
      </c>
      <c r="AG215" s="582"/>
      <c r="AH215" s="568"/>
      <c r="AI215" s="567"/>
      <c r="AJ215" s="582"/>
      <c r="AK215" s="568"/>
      <c r="AL215" s="582"/>
      <c r="AM215" s="568"/>
      <c r="AN215" s="567"/>
      <c r="AO215" s="582"/>
      <c r="AP215" s="568"/>
      <c r="AQ215" s="582"/>
      <c r="AR215" s="568"/>
      <c r="AS215" s="567"/>
      <c r="AT215" s="582"/>
      <c r="AU215" s="568"/>
      <c r="AV215" s="582"/>
      <c r="AW215" s="568"/>
      <c r="AX215" s="409" t="s">
        <v>662</v>
      </c>
      <c r="AY215" s="567">
        <f t="shared" si="1301"/>
        <v>2400.1999999999998</v>
      </c>
      <c r="AZ215" s="569"/>
      <c r="BA215" s="568">
        <f t="shared" si="1302"/>
        <v>2400.1999999999998</v>
      </c>
      <c r="BB215" s="568">
        <v>756.2</v>
      </c>
      <c r="BC215" s="569">
        <v>1644</v>
      </c>
      <c r="BD215" s="569"/>
      <c r="BE215" s="569"/>
      <c r="BF215" s="567">
        <f t="shared" si="1217"/>
        <v>0</v>
      </c>
      <c r="BG215" s="567">
        <f t="shared" si="1218"/>
        <v>0</v>
      </c>
      <c r="BH215" s="567">
        <f t="shared" si="1219"/>
        <v>0</v>
      </c>
      <c r="BI215" s="567">
        <f t="shared" si="1220"/>
        <v>0</v>
      </c>
      <c r="BJ215" s="567">
        <f t="shared" si="1221"/>
        <v>0</v>
      </c>
      <c r="BK215" s="567">
        <f t="shared" si="1222"/>
        <v>0</v>
      </c>
      <c r="BL215" s="567" t="e">
        <f>#REF!-BE215</f>
        <v>#REF!</v>
      </c>
      <c r="BM215" s="567">
        <f t="shared" si="1303"/>
        <v>775.1</v>
      </c>
      <c r="BN215" s="569"/>
      <c r="BO215" s="568">
        <f>337+438.1</f>
        <v>775.1</v>
      </c>
      <c r="BP215" s="569"/>
      <c r="BQ215" s="569"/>
      <c r="BR215" s="567">
        <f t="shared" si="1304"/>
        <v>0</v>
      </c>
      <c r="BS215" s="569"/>
      <c r="BT215" s="569"/>
      <c r="BU215" s="569"/>
      <c r="BV215" s="569"/>
      <c r="BW215" s="567">
        <f t="shared" si="1305"/>
        <v>2388.0388899999998</v>
      </c>
      <c r="BX215" s="569"/>
      <c r="BY215" s="568">
        <f t="shared" si="1223"/>
        <v>2388.0388899999998</v>
      </c>
      <c r="BZ215" s="571">
        <v>752.25888999999995</v>
      </c>
      <c r="CA215" s="571">
        <v>1635.78</v>
      </c>
      <c r="CB215" s="582"/>
      <c r="CC215" s="582"/>
      <c r="CD215" s="567">
        <f t="shared" si="1306"/>
        <v>2388.0388899999998</v>
      </c>
      <c r="CE215" s="569"/>
      <c r="CF215" s="568">
        <f t="shared" si="1224"/>
        <v>2388.0388899999998</v>
      </c>
      <c r="CG215" s="571">
        <v>752.25888999999995</v>
      </c>
      <c r="CH215" s="571">
        <v>1635.78</v>
      </c>
      <c r="CI215" s="582"/>
      <c r="CJ215" s="582"/>
      <c r="CK215" s="567">
        <f t="shared" si="1307"/>
        <v>913.13117</v>
      </c>
      <c r="CL215" s="569"/>
      <c r="CM215" s="569">
        <v>913.13117</v>
      </c>
      <c r="CN215" s="569"/>
      <c r="CO215" s="569"/>
      <c r="CP215" s="569"/>
      <c r="CQ215" s="569"/>
      <c r="CR215" s="573">
        <f t="shared" si="1308"/>
        <v>3301.1700599999999</v>
      </c>
      <c r="CS215" s="567">
        <f t="shared" si="1226"/>
        <v>3301.1700599999999</v>
      </c>
      <c r="CT215" s="567">
        <f t="shared" si="1227"/>
        <v>0</v>
      </c>
      <c r="CU215" s="567">
        <f t="shared" si="1228"/>
        <v>3301.1700599999999</v>
      </c>
      <c r="CV215" s="567">
        <f t="shared" si="1229"/>
        <v>0</v>
      </c>
      <c r="CW215" s="567">
        <f t="shared" si="1309"/>
        <v>0</v>
      </c>
      <c r="CX215" s="567">
        <f t="shared" ca="1" si="899"/>
        <v>0</v>
      </c>
      <c r="CY215" s="567">
        <f t="shared" si="1230"/>
        <v>0</v>
      </c>
      <c r="CZ215" s="567">
        <f t="shared" si="1231"/>
        <v>0</v>
      </c>
      <c r="DA215" s="567">
        <f t="shared" si="1232"/>
        <v>0</v>
      </c>
      <c r="DB215" s="2">
        <f t="shared" si="1310"/>
        <v>0</v>
      </c>
      <c r="DC215" s="76"/>
      <c r="DD215" s="256"/>
      <c r="DE215" s="256"/>
      <c r="DF215" s="2">
        <f t="shared" si="1311"/>
        <v>0</v>
      </c>
      <c r="DG215" s="42"/>
      <c r="DH215" s="42"/>
      <c r="DI215" s="42"/>
      <c r="DJ215" s="42"/>
      <c r="DK215" s="2">
        <f t="shared" si="1312"/>
        <v>0</v>
      </c>
      <c r="DL215" s="42"/>
      <c r="DM215" s="42"/>
      <c r="DN215" s="42"/>
      <c r="DO215" s="42"/>
      <c r="DP215" s="2">
        <f t="shared" si="1313"/>
        <v>0</v>
      </c>
      <c r="DQ215" s="2">
        <f t="shared" si="1314"/>
        <v>0</v>
      </c>
      <c r="DR215" s="2">
        <f t="shared" si="1314"/>
        <v>0</v>
      </c>
      <c r="DS215" s="2">
        <f t="shared" si="1314"/>
        <v>0</v>
      </c>
      <c r="DT215" s="2">
        <f t="shared" si="1314"/>
        <v>0</v>
      </c>
      <c r="DU215" s="42"/>
      <c r="DV215" s="42"/>
      <c r="DW215" s="42"/>
      <c r="DX215" s="2">
        <f t="shared" ca="1" si="1315"/>
        <v>0</v>
      </c>
      <c r="DY215" s="46"/>
      <c r="DZ215" s="2">
        <f t="shared" si="1316"/>
        <v>2388.0388899999998</v>
      </c>
      <c r="EA215" s="2">
        <f t="shared" si="1317"/>
        <v>2388.0388899999998</v>
      </c>
      <c r="EB215" s="46"/>
      <c r="EC215" s="42"/>
      <c r="ED215" s="42"/>
      <c r="EE215" s="46"/>
      <c r="EF215" s="42"/>
      <c r="EG215" s="46"/>
      <c r="EH215" s="46"/>
      <c r="EI215" s="2">
        <f t="shared" si="1196"/>
        <v>2388.0388899999998</v>
      </c>
      <c r="EJ215" s="235"/>
      <c r="EK215" s="198">
        <f t="shared" si="1233"/>
        <v>2388.0388899999998</v>
      </c>
      <c r="EL215" s="446">
        <v>752.25888999999995</v>
      </c>
      <c r="EM215" s="446">
        <v>1635.78</v>
      </c>
      <c r="EN215" s="235"/>
      <c r="EO215" s="235"/>
      <c r="EP215" s="2">
        <f t="shared" si="1234"/>
        <v>913.13117</v>
      </c>
      <c r="EQ215" s="42"/>
      <c r="ER215" s="42">
        <v>913.13117</v>
      </c>
      <c r="ES215" s="42">
        <v>202.11610999999999</v>
      </c>
      <c r="ET215" s="42">
        <v>711.01505999999995</v>
      </c>
      <c r="EU215" s="42"/>
      <c r="EV215" s="144"/>
      <c r="EW215" s="310"/>
      <c r="EX215" s="313"/>
      <c r="EY215" s="313"/>
      <c r="EZ215" s="397"/>
      <c r="FA215" s="397"/>
      <c r="FB215" s="310"/>
      <c r="FC215" s="313"/>
      <c r="FD215" s="313"/>
      <c r="FE215" s="397"/>
      <c r="FF215" s="397"/>
      <c r="FG215" s="397"/>
      <c r="FH215" s="314"/>
      <c r="FI215" s="438"/>
      <c r="FJ215" s="297" t="e">
        <f t="shared" si="1320"/>
        <v>#DIV/0!</v>
      </c>
      <c r="FK215" s="353">
        <f t="shared" si="1237"/>
        <v>2400.1999999999998</v>
      </c>
      <c r="FL215" s="355">
        <f t="shared" si="1321"/>
        <v>2400.1999999999998</v>
      </c>
      <c r="FM215" s="355"/>
      <c r="FN215" s="391">
        <f t="shared" si="1322"/>
        <v>1</v>
      </c>
      <c r="FO215" s="391">
        <f t="shared" si="1323"/>
        <v>0</v>
      </c>
      <c r="FP215" s="353">
        <f t="shared" si="1238"/>
        <v>3301.1700599999999</v>
      </c>
      <c r="FQ215" s="355">
        <f t="shared" si="1324"/>
        <v>2388.0388899999998</v>
      </c>
      <c r="FR215" s="355">
        <f t="shared" si="1325"/>
        <v>913.13117</v>
      </c>
      <c r="FS215" s="391">
        <f t="shared" si="1326"/>
        <v>0.7233916601073257</v>
      </c>
      <c r="FT215" s="391">
        <f t="shared" si="1327"/>
        <v>0.2766083398926743</v>
      </c>
      <c r="FU215" s="391"/>
      <c r="FV215" s="386">
        <f t="shared" si="1328"/>
        <v>3301.1700599999999</v>
      </c>
      <c r="FW215" s="386">
        <f t="shared" si="1239"/>
        <v>-913.13117000000011</v>
      </c>
      <c r="FX215" s="310"/>
      <c r="FY215" s="313"/>
      <c r="FZ215" s="313"/>
      <c r="GA215" s="397"/>
      <c r="GB215" s="397"/>
      <c r="GC215" s="310"/>
      <c r="GD215" s="313"/>
      <c r="GE215" s="313"/>
      <c r="GF215" s="397"/>
      <c r="GG215" s="397"/>
      <c r="GH215" s="397"/>
      <c r="GI215" s="314"/>
      <c r="GJ215" s="452"/>
      <c r="GK215" s="303">
        <f t="shared" si="1215"/>
        <v>0.99493329305891176</v>
      </c>
    </row>
    <row r="216" spans="2:193" s="37" customFormat="1" ht="15.6" customHeight="1" x14ac:dyDescent="0.25">
      <c r="B216" s="29"/>
      <c r="C216" s="30"/>
      <c r="D216" s="30">
        <v>1</v>
      </c>
      <c r="E216" s="493">
        <v>180</v>
      </c>
      <c r="F216" s="29"/>
      <c r="G216" s="30"/>
      <c r="H216" s="30"/>
      <c r="I216" s="493"/>
      <c r="J216" s="494"/>
      <c r="K216" s="494"/>
      <c r="L216" s="53"/>
      <c r="M216" s="493">
        <v>155</v>
      </c>
      <c r="N216" s="494" t="s">
        <v>143</v>
      </c>
      <c r="O216" s="494"/>
      <c r="P216" s="494">
        <f t="shared" si="1236"/>
        <v>0</v>
      </c>
      <c r="Q216" s="494" t="s">
        <v>706</v>
      </c>
      <c r="R216" s="494" t="s">
        <v>699</v>
      </c>
      <c r="S216" s="494" t="s">
        <v>566</v>
      </c>
      <c r="T216" s="156">
        <v>2</v>
      </c>
      <c r="U216" s="493"/>
      <c r="V216" s="2">
        <f t="shared" si="1216"/>
        <v>3789.1000000000004</v>
      </c>
      <c r="W216" s="2"/>
      <c r="X216" s="198">
        <f t="shared" si="1031"/>
        <v>3789.1000000000004</v>
      </c>
      <c r="Y216" s="198">
        <v>1193.8</v>
      </c>
      <c r="Z216" s="42">
        <v>2595.3000000000002</v>
      </c>
      <c r="AA216" s="2"/>
      <c r="AB216" s="567">
        <f t="shared" si="1300"/>
        <v>3789.1000000000004</v>
      </c>
      <c r="AC216" s="567"/>
      <c r="AD216" s="568">
        <f t="shared" si="1032"/>
        <v>3789.1000000000004</v>
      </c>
      <c r="AE216" s="568">
        <v>1193.8</v>
      </c>
      <c r="AF216" s="569">
        <v>2595.3000000000002</v>
      </c>
      <c r="AG216" s="567"/>
      <c r="AH216" s="568"/>
      <c r="AI216" s="567"/>
      <c r="AJ216" s="567"/>
      <c r="AK216" s="568"/>
      <c r="AL216" s="567"/>
      <c r="AM216" s="568"/>
      <c r="AN216" s="567"/>
      <c r="AO216" s="567"/>
      <c r="AP216" s="568"/>
      <c r="AQ216" s="567"/>
      <c r="AR216" s="568"/>
      <c r="AS216" s="567"/>
      <c r="AT216" s="567"/>
      <c r="AU216" s="568"/>
      <c r="AV216" s="567"/>
      <c r="AW216" s="568"/>
      <c r="AX216" s="409" t="s">
        <v>429</v>
      </c>
      <c r="AY216" s="567">
        <f t="shared" si="1301"/>
        <v>3789.1000000000004</v>
      </c>
      <c r="AZ216" s="567"/>
      <c r="BA216" s="568">
        <f t="shared" si="1302"/>
        <v>3789.1000000000004</v>
      </c>
      <c r="BB216" s="568">
        <v>1193.8</v>
      </c>
      <c r="BC216" s="569">
        <v>2595.3000000000002</v>
      </c>
      <c r="BD216" s="574"/>
      <c r="BE216" s="567"/>
      <c r="BF216" s="567">
        <f t="shared" si="1217"/>
        <v>0</v>
      </c>
      <c r="BG216" s="567">
        <f t="shared" si="1218"/>
        <v>0</v>
      </c>
      <c r="BH216" s="567">
        <f t="shared" si="1219"/>
        <v>0</v>
      </c>
      <c r="BI216" s="567">
        <f t="shared" si="1220"/>
        <v>0</v>
      </c>
      <c r="BJ216" s="567">
        <f t="shared" si="1221"/>
        <v>0</v>
      </c>
      <c r="BK216" s="567">
        <f t="shared" si="1222"/>
        <v>0</v>
      </c>
      <c r="BL216" s="567" t="e">
        <f>#REF!-BE216</f>
        <v>#REF!</v>
      </c>
      <c r="BM216" s="567">
        <f t="shared" si="1303"/>
        <v>1161.5</v>
      </c>
      <c r="BN216" s="567"/>
      <c r="BO216" s="568">
        <v>1161.5</v>
      </c>
      <c r="BP216" s="567"/>
      <c r="BQ216" s="567"/>
      <c r="BR216" s="567">
        <f t="shared" si="1304"/>
        <v>0</v>
      </c>
      <c r="BS216" s="567"/>
      <c r="BT216" s="567"/>
      <c r="BU216" s="567"/>
      <c r="BV216" s="567"/>
      <c r="BW216" s="567">
        <f t="shared" si="1305"/>
        <v>3778.2116800000003</v>
      </c>
      <c r="BX216" s="567"/>
      <c r="BY216" s="578">
        <f t="shared" si="1223"/>
        <v>3778.2116800000003</v>
      </c>
      <c r="BZ216" s="571">
        <v>1187.8309999999999</v>
      </c>
      <c r="CA216" s="571">
        <f>978.94518+1611.4355</f>
        <v>2590.3806800000002</v>
      </c>
      <c r="CB216" s="567"/>
      <c r="CC216" s="567"/>
      <c r="CD216" s="567">
        <f t="shared" si="1306"/>
        <v>3778.2116800000003</v>
      </c>
      <c r="CE216" s="567"/>
      <c r="CF216" s="578">
        <f t="shared" si="1224"/>
        <v>3778.2116800000003</v>
      </c>
      <c r="CG216" s="571">
        <v>1187.8309999999999</v>
      </c>
      <c r="CH216" s="571">
        <f>978.94518+1611.4355</f>
        <v>2590.3806800000002</v>
      </c>
      <c r="CI216" s="567"/>
      <c r="CJ216" s="567"/>
      <c r="CK216" s="567">
        <f t="shared" si="1307"/>
        <v>811.34716000000003</v>
      </c>
      <c r="CL216" s="567"/>
      <c r="CM216" s="567">
        <v>811.34716000000003</v>
      </c>
      <c r="CN216" s="567">
        <v>490.65836999999999</v>
      </c>
      <c r="CO216" s="567">
        <v>121.19329</v>
      </c>
      <c r="CP216" s="567"/>
      <c r="CQ216" s="567"/>
      <c r="CR216" s="573">
        <f t="shared" si="1308"/>
        <v>4589.5588400000006</v>
      </c>
      <c r="CS216" s="567">
        <f t="shared" si="1226"/>
        <v>4589.5588400000006</v>
      </c>
      <c r="CT216" s="567">
        <f t="shared" si="1227"/>
        <v>0</v>
      </c>
      <c r="CU216" s="567">
        <f t="shared" si="1228"/>
        <v>4589.5588400000006</v>
      </c>
      <c r="CV216" s="567">
        <f t="shared" si="1229"/>
        <v>0</v>
      </c>
      <c r="CW216" s="567">
        <f t="shared" si="1309"/>
        <v>0</v>
      </c>
      <c r="CX216" s="567">
        <f t="shared" ref="CX216:CX279" ca="1" si="1339">CX217</f>
        <v>0</v>
      </c>
      <c r="CY216" s="567">
        <f t="shared" si="1230"/>
        <v>0</v>
      </c>
      <c r="CZ216" s="567">
        <f t="shared" si="1231"/>
        <v>0</v>
      </c>
      <c r="DA216" s="567">
        <f t="shared" si="1232"/>
        <v>0</v>
      </c>
      <c r="DB216" s="2">
        <f t="shared" si="1310"/>
        <v>0</v>
      </c>
      <c r="DC216" s="76"/>
      <c r="DD216" s="253"/>
      <c r="DE216" s="253"/>
      <c r="DF216" s="2">
        <f t="shared" si="1311"/>
        <v>0</v>
      </c>
      <c r="DG216" s="2"/>
      <c r="DH216" s="2"/>
      <c r="DI216" s="2"/>
      <c r="DJ216" s="2"/>
      <c r="DK216" s="2">
        <f t="shared" si="1312"/>
        <v>0</v>
      </c>
      <c r="DL216" s="2"/>
      <c r="DM216" s="2"/>
      <c r="DN216" s="2"/>
      <c r="DO216" s="2"/>
      <c r="DP216" s="2">
        <f t="shared" si="1313"/>
        <v>0</v>
      </c>
      <c r="DQ216" s="2">
        <f t="shared" si="1314"/>
        <v>0</v>
      </c>
      <c r="DR216" s="2">
        <f t="shared" si="1314"/>
        <v>0</v>
      </c>
      <c r="DS216" s="2">
        <f t="shared" si="1314"/>
        <v>0</v>
      </c>
      <c r="DT216" s="2">
        <f t="shared" si="1314"/>
        <v>0</v>
      </c>
      <c r="DU216" s="2"/>
      <c r="DV216" s="2"/>
      <c r="DW216" s="2"/>
      <c r="DX216" s="2">
        <f t="shared" ca="1" si="1315"/>
        <v>0</v>
      </c>
      <c r="DY216" s="46"/>
      <c r="DZ216" s="2">
        <f t="shared" si="1316"/>
        <v>3778.2116800000003</v>
      </c>
      <c r="EA216" s="2">
        <f t="shared" si="1317"/>
        <v>3778.2116800000003</v>
      </c>
      <c r="EB216" s="46"/>
      <c r="EC216" s="2"/>
      <c r="ED216" s="2"/>
      <c r="EE216" s="46"/>
      <c r="EF216" s="2"/>
      <c r="EG216" s="46"/>
      <c r="EH216" s="46"/>
      <c r="EI216" s="2">
        <f t="shared" si="1196"/>
        <v>3778.2116800000003</v>
      </c>
      <c r="EJ216" s="2"/>
      <c r="EK216" s="433">
        <f t="shared" si="1233"/>
        <v>3778.2116800000003</v>
      </c>
      <c r="EL216" s="446">
        <v>1187.8309999999999</v>
      </c>
      <c r="EM216" s="446">
        <f>978.94518+1611.4355</f>
        <v>2590.3806800000002</v>
      </c>
      <c r="EN216" s="2"/>
      <c r="EO216" s="2"/>
      <c r="EP216" s="2">
        <f t="shared" si="1234"/>
        <v>811.34716000000003</v>
      </c>
      <c r="EQ216" s="2"/>
      <c r="ER216" s="2">
        <v>811.34716000000003</v>
      </c>
      <c r="ES216" s="2">
        <v>490.65836999999999</v>
      </c>
      <c r="ET216" s="2">
        <f>121.19329+199.4955</f>
        <v>320.68878999999998</v>
      </c>
      <c r="EU216" s="2"/>
      <c r="EV216" s="141"/>
      <c r="EW216" s="310"/>
      <c r="EX216" s="310"/>
      <c r="EY216" s="310"/>
      <c r="EZ216" s="396"/>
      <c r="FA216" s="396"/>
      <c r="FB216" s="310"/>
      <c r="FC216" s="310"/>
      <c r="FD216" s="310"/>
      <c r="FE216" s="396"/>
      <c r="FF216" s="396"/>
      <c r="FG216" s="396"/>
      <c r="FH216" s="311"/>
      <c r="FI216" s="310"/>
      <c r="FJ216" s="296" t="e">
        <f t="shared" si="1320"/>
        <v>#DIV/0!</v>
      </c>
      <c r="FK216" s="353">
        <f t="shared" si="1237"/>
        <v>3789.1000000000004</v>
      </c>
      <c r="FL216" s="353">
        <f t="shared" si="1321"/>
        <v>3789.1000000000004</v>
      </c>
      <c r="FM216" s="353"/>
      <c r="FN216" s="388">
        <f t="shared" si="1322"/>
        <v>1</v>
      </c>
      <c r="FO216" s="388">
        <f t="shared" si="1323"/>
        <v>0</v>
      </c>
      <c r="FP216" s="353">
        <f t="shared" si="1238"/>
        <v>4589.5588400000006</v>
      </c>
      <c r="FQ216" s="353">
        <f t="shared" si="1324"/>
        <v>3778.2116800000003</v>
      </c>
      <c r="FR216" s="353">
        <f t="shared" si="1325"/>
        <v>811.34716000000003</v>
      </c>
      <c r="FS216" s="388">
        <f t="shared" si="1326"/>
        <v>0.82321892184304146</v>
      </c>
      <c r="FT216" s="388">
        <f t="shared" si="1327"/>
        <v>0.17678107815695854</v>
      </c>
      <c r="FU216" s="388"/>
      <c r="FV216" s="353">
        <f t="shared" si="1328"/>
        <v>4589.5588400000006</v>
      </c>
      <c r="FW216" s="353">
        <f t="shared" si="1239"/>
        <v>-811.34716000000026</v>
      </c>
      <c r="FX216" s="310"/>
      <c r="FY216" s="310"/>
      <c r="FZ216" s="310"/>
      <c r="GA216" s="396"/>
      <c r="GB216" s="396"/>
      <c r="GC216" s="310"/>
      <c r="GD216" s="310"/>
      <c r="GE216" s="310"/>
      <c r="GF216" s="396"/>
      <c r="GG216" s="396"/>
      <c r="GH216" s="396"/>
      <c r="GI216" s="311"/>
      <c r="GJ216" s="344"/>
      <c r="GK216" s="303">
        <f t="shared" si="1215"/>
        <v>0.99712640996542712</v>
      </c>
    </row>
    <row r="217" spans="2:193" s="37" customFormat="1" ht="15.6" customHeight="1" x14ac:dyDescent="0.25">
      <c r="B217" s="29"/>
      <c r="C217" s="30">
        <v>1</v>
      </c>
      <c r="D217" s="30"/>
      <c r="E217" s="493">
        <v>181</v>
      </c>
      <c r="F217" s="29"/>
      <c r="G217" s="30">
        <v>1</v>
      </c>
      <c r="H217" s="30">
        <v>1</v>
      </c>
      <c r="I217" s="493"/>
      <c r="J217" s="494"/>
      <c r="K217" s="494"/>
      <c r="L217" s="53"/>
      <c r="M217" s="493">
        <v>156</v>
      </c>
      <c r="N217" s="494" t="s">
        <v>64</v>
      </c>
      <c r="O217" s="494"/>
      <c r="P217" s="494">
        <f t="shared" si="1236"/>
        <v>0</v>
      </c>
      <c r="Q217" s="494"/>
      <c r="R217" s="494"/>
      <c r="S217" s="494" t="s">
        <v>567</v>
      </c>
      <c r="T217" s="156">
        <v>3</v>
      </c>
      <c r="U217" s="493"/>
      <c r="V217" s="2">
        <f t="shared" si="1216"/>
        <v>50699.820999999996</v>
      </c>
      <c r="W217" s="2"/>
      <c r="X217" s="2">
        <f t="shared" si="1031"/>
        <v>10048.799999999999</v>
      </c>
      <c r="Y217" s="2">
        <f>2679.8+486.2</f>
        <v>3166</v>
      </c>
      <c r="Z217" s="2">
        <v>6882.8</v>
      </c>
      <c r="AA217" s="2">
        <v>40651.021000000001</v>
      </c>
      <c r="AB217" s="567">
        <f t="shared" si="1300"/>
        <v>50699.820999999996</v>
      </c>
      <c r="AC217" s="567"/>
      <c r="AD217" s="567">
        <f t="shared" si="1032"/>
        <v>10048.799999999999</v>
      </c>
      <c r="AE217" s="567">
        <f>2679.8+486.2</f>
        <v>3166</v>
      </c>
      <c r="AF217" s="567">
        <v>6882.8</v>
      </c>
      <c r="AG217" s="567">
        <v>40651.021000000001</v>
      </c>
      <c r="AH217" s="568"/>
      <c r="AI217" s="567"/>
      <c r="AJ217" s="567"/>
      <c r="AK217" s="567"/>
      <c r="AL217" s="567"/>
      <c r="AM217" s="568"/>
      <c r="AN217" s="567"/>
      <c r="AO217" s="567"/>
      <c r="AP217" s="567"/>
      <c r="AQ217" s="567"/>
      <c r="AR217" s="568"/>
      <c r="AS217" s="567"/>
      <c r="AT217" s="567"/>
      <c r="AU217" s="567"/>
      <c r="AV217" s="567"/>
      <c r="AW217" s="568"/>
      <c r="AX217" s="409" t="s">
        <v>430</v>
      </c>
      <c r="AY217" s="567">
        <f t="shared" si="1301"/>
        <v>50699.820999999996</v>
      </c>
      <c r="AZ217" s="567"/>
      <c r="BA217" s="567">
        <f t="shared" si="1302"/>
        <v>10048.799999999999</v>
      </c>
      <c r="BB217" s="567">
        <f>2679.8+486.2</f>
        <v>3166</v>
      </c>
      <c r="BC217" s="567">
        <v>6882.8</v>
      </c>
      <c r="BD217" s="574">
        <v>40651.021000000001</v>
      </c>
      <c r="BE217" s="568"/>
      <c r="BF217" s="567">
        <f t="shared" si="1217"/>
        <v>0</v>
      </c>
      <c r="BG217" s="567">
        <f t="shared" si="1218"/>
        <v>0</v>
      </c>
      <c r="BH217" s="567">
        <f t="shared" si="1219"/>
        <v>0</v>
      </c>
      <c r="BI217" s="567">
        <f t="shared" si="1220"/>
        <v>0</v>
      </c>
      <c r="BJ217" s="567">
        <f t="shared" si="1221"/>
        <v>0</v>
      </c>
      <c r="BK217" s="567">
        <f t="shared" si="1222"/>
        <v>0</v>
      </c>
      <c r="BL217" s="567" t="e">
        <f>#REF!-BE217</f>
        <v>#REF!</v>
      </c>
      <c r="BM217" s="567">
        <f t="shared" si="1303"/>
        <v>4439.8999999999996</v>
      </c>
      <c r="BN217" s="567"/>
      <c r="BO217" s="567">
        <f>748+3339.1+352.8</f>
        <v>4439.8999999999996</v>
      </c>
      <c r="BP217" s="567"/>
      <c r="BQ217" s="568"/>
      <c r="BR217" s="567">
        <f t="shared" si="1304"/>
        <v>0</v>
      </c>
      <c r="BS217" s="567"/>
      <c r="BT217" s="570"/>
      <c r="BU217" s="567"/>
      <c r="BV217" s="568"/>
      <c r="BW217" s="567">
        <f t="shared" si="1305"/>
        <v>49722.28789</v>
      </c>
      <c r="BX217" s="567"/>
      <c r="BY217" s="567">
        <f t="shared" si="1223"/>
        <v>9071.266889999999</v>
      </c>
      <c r="BZ217" s="574">
        <v>2679.8</v>
      </c>
      <c r="CA217" s="574">
        <f>5297.40605+1094.06084</f>
        <v>6391.4668899999997</v>
      </c>
      <c r="CB217" s="574">
        <v>40651.021000000001</v>
      </c>
      <c r="CC217" s="577"/>
      <c r="CD217" s="567">
        <f t="shared" si="1306"/>
        <v>49722.28789</v>
      </c>
      <c r="CE217" s="567"/>
      <c r="CF217" s="567">
        <f t="shared" si="1224"/>
        <v>9071.266889999999</v>
      </c>
      <c r="CG217" s="574">
        <v>2679.8</v>
      </c>
      <c r="CH217" s="574">
        <f>5297.40605+1094.06084</f>
        <v>6391.4668899999997</v>
      </c>
      <c r="CI217" s="574">
        <v>40651.021000000001</v>
      </c>
      <c r="CJ217" s="577"/>
      <c r="CK217" s="567">
        <f t="shared" si="1307"/>
        <v>4323.6777299999994</v>
      </c>
      <c r="CL217" s="567"/>
      <c r="CM217" s="567">
        <v>788.80582000000004</v>
      </c>
      <c r="CN217" s="567">
        <v>233.02609000000001</v>
      </c>
      <c r="CO217" s="567"/>
      <c r="CP217" s="567">
        <v>3534.8719099999998</v>
      </c>
      <c r="CQ217" s="567"/>
      <c r="CR217" s="573">
        <f t="shared" si="1308"/>
        <v>54045.965620000003</v>
      </c>
      <c r="CS217" s="567">
        <f t="shared" si="1226"/>
        <v>54045.965620000003</v>
      </c>
      <c r="CT217" s="567">
        <f t="shared" si="1227"/>
        <v>0</v>
      </c>
      <c r="CU217" s="567">
        <f t="shared" si="1228"/>
        <v>9860.0727099999986</v>
      </c>
      <c r="CV217" s="567">
        <f t="shared" si="1229"/>
        <v>44185.892910000002</v>
      </c>
      <c r="CW217" s="567">
        <f t="shared" si="1309"/>
        <v>0</v>
      </c>
      <c r="CX217" s="567">
        <f t="shared" ca="1" si="1339"/>
        <v>0</v>
      </c>
      <c r="CY217" s="567">
        <f t="shared" si="1230"/>
        <v>0</v>
      </c>
      <c r="CZ217" s="567">
        <f t="shared" si="1231"/>
        <v>0</v>
      </c>
      <c r="DA217" s="567">
        <f t="shared" si="1232"/>
        <v>0</v>
      </c>
      <c r="DB217" s="2">
        <f t="shared" si="1310"/>
        <v>0</v>
      </c>
      <c r="DC217" s="76"/>
      <c r="DD217" s="253"/>
      <c r="DE217" s="253"/>
      <c r="DF217" s="2">
        <f t="shared" si="1311"/>
        <v>0</v>
      </c>
      <c r="DG217" s="2"/>
      <c r="DH217" s="234"/>
      <c r="DI217" s="2"/>
      <c r="DJ217" s="198"/>
      <c r="DK217" s="2">
        <f t="shared" si="1312"/>
        <v>0</v>
      </c>
      <c r="DL217" s="2"/>
      <c r="DM217" s="234"/>
      <c r="DN217" s="2"/>
      <c r="DO217" s="198"/>
      <c r="DP217" s="2">
        <f t="shared" si="1313"/>
        <v>0</v>
      </c>
      <c r="DQ217" s="2">
        <f t="shared" si="1314"/>
        <v>0</v>
      </c>
      <c r="DR217" s="2">
        <f t="shared" si="1314"/>
        <v>0</v>
      </c>
      <c r="DS217" s="2">
        <f t="shared" si="1314"/>
        <v>0</v>
      </c>
      <c r="DT217" s="2">
        <f t="shared" si="1314"/>
        <v>0</v>
      </c>
      <c r="DU217" s="2"/>
      <c r="DV217" s="2"/>
      <c r="DW217" s="2"/>
      <c r="DX217" s="2">
        <f t="shared" ca="1" si="1315"/>
        <v>0</v>
      </c>
      <c r="DY217" s="46"/>
      <c r="DZ217" s="2">
        <f t="shared" si="1316"/>
        <v>49722.28789</v>
      </c>
      <c r="EA217" s="2">
        <f t="shared" si="1317"/>
        <v>49722.28789</v>
      </c>
      <c r="EB217" s="46"/>
      <c r="EC217" s="2"/>
      <c r="ED217" s="2"/>
      <c r="EE217" s="46"/>
      <c r="EF217" s="2"/>
      <c r="EG217" s="46"/>
      <c r="EH217" s="46"/>
      <c r="EI217" s="2">
        <f t="shared" si="1196"/>
        <v>49722.28789</v>
      </c>
      <c r="EJ217" s="2"/>
      <c r="EK217" s="2">
        <f t="shared" si="1233"/>
        <v>9071.266889999999</v>
      </c>
      <c r="EL217" s="432">
        <v>2679.8</v>
      </c>
      <c r="EM217" s="432">
        <f>5297.40605+1094.06084</f>
        <v>6391.4668899999997</v>
      </c>
      <c r="EN217" s="432">
        <v>40651.021000000001</v>
      </c>
      <c r="EO217" s="236"/>
      <c r="EP217" s="2">
        <f t="shared" si="1234"/>
        <v>4323.6777299999994</v>
      </c>
      <c r="EQ217" s="2"/>
      <c r="ER217" s="2">
        <v>788.80582000000004</v>
      </c>
      <c r="ES217" s="2">
        <v>233.02609000000001</v>
      </c>
      <c r="ET217" s="2">
        <f>460.644+95.13573</f>
        <v>555.77972999999997</v>
      </c>
      <c r="EU217" s="2">
        <v>3534.8719099999998</v>
      </c>
      <c r="EV217" s="141"/>
      <c r="EW217" s="310"/>
      <c r="EX217" s="310"/>
      <c r="EY217" s="310"/>
      <c r="EZ217" s="396"/>
      <c r="FA217" s="396"/>
      <c r="FB217" s="310"/>
      <c r="FC217" s="310"/>
      <c r="FD217" s="310"/>
      <c r="FE217" s="396"/>
      <c r="FF217" s="396"/>
      <c r="FG217" s="396"/>
      <c r="FH217" s="311"/>
      <c r="FI217" s="310"/>
      <c r="FJ217" s="296" t="e">
        <f t="shared" si="1320"/>
        <v>#DIV/0!</v>
      </c>
      <c r="FK217" s="353">
        <f t="shared" si="1237"/>
        <v>10048.799999999999</v>
      </c>
      <c r="FL217" s="353">
        <f t="shared" si="1321"/>
        <v>10048.799999999999</v>
      </c>
      <c r="FM217" s="353"/>
      <c r="FN217" s="388">
        <f t="shared" si="1322"/>
        <v>1</v>
      </c>
      <c r="FO217" s="388">
        <f t="shared" si="1323"/>
        <v>0</v>
      </c>
      <c r="FP217" s="353">
        <f t="shared" si="1238"/>
        <v>9860.0727099999986</v>
      </c>
      <c r="FQ217" s="353">
        <f t="shared" si="1324"/>
        <v>9071.266889999999</v>
      </c>
      <c r="FR217" s="353">
        <f t="shared" si="1325"/>
        <v>788.80582000000004</v>
      </c>
      <c r="FS217" s="388">
        <f t="shared" si="1326"/>
        <v>0.91999999967545887</v>
      </c>
      <c r="FT217" s="388">
        <f t="shared" si="1327"/>
        <v>8.0000000324541229E-2</v>
      </c>
      <c r="FU217" s="388"/>
      <c r="FV217" s="353">
        <f t="shared" si="1328"/>
        <v>9860.0727099999986</v>
      </c>
      <c r="FW217" s="353">
        <f t="shared" si="1239"/>
        <v>-788.80581999999958</v>
      </c>
      <c r="FX217" s="310">
        <f t="shared" ref="FX217" si="1340">FY217+FZ217</f>
        <v>40651.021000000001</v>
      </c>
      <c r="FY217" s="310">
        <f>BD217</f>
        <v>40651.021000000001</v>
      </c>
      <c r="FZ217" s="310"/>
      <c r="GA217" s="396">
        <f t="shared" ref="GA217" si="1341">FY217/FX217</f>
        <v>1</v>
      </c>
      <c r="GB217" s="396">
        <f t="shared" ref="GB217" si="1342">FZ217/FX217</f>
        <v>0</v>
      </c>
      <c r="GC217" s="310">
        <f t="shared" si="1298"/>
        <v>44185.892910000002</v>
      </c>
      <c r="GD217" s="310">
        <f t="shared" ref="GD217:GD260" si="1343">EN217</f>
        <v>40651.021000000001</v>
      </c>
      <c r="GE217" s="310">
        <f t="shared" ref="GE217:GE260" si="1344">EU217</f>
        <v>3534.8719099999998</v>
      </c>
      <c r="GF217" s="396">
        <f t="shared" ref="GF217" si="1345">GD217/GC217</f>
        <v>0.9199999892001729</v>
      </c>
      <c r="GG217" s="396">
        <f t="shared" ref="GG217" si="1346">GE217/GC217</f>
        <v>8.0000010799827007E-2</v>
      </c>
      <c r="GH217" s="396"/>
      <c r="GI217" s="311">
        <f t="shared" si="1095"/>
        <v>44185.892910000002</v>
      </c>
      <c r="GJ217" s="344">
        <f t="shared" si="1299"/>
        <v>-3534.8719100000017</v>
      </c>
      <c r="GK217" s="303">
        <f t="shared" si="1215"/>
        <v>0.98071919997508483</v>
      </c>
    </row>
    <row r="218" spans="2:193" s="37" customFormat="1" ht="15.6" customHeight="1" x14ac:dyDescent="0.25">
      <c r="B218" s="29"/>
      <c r="C218" s="30"/>
      <c r="D218" s="30">
        <v>1</v>
      </c>
      <c r="E218" s="493">
        <v>182</v>
      </c>
      <c r="F218" s="29"/>
      <c r="G218" s="30"/>
      <c r="H218" s="30">
        <v>1</v>
      </c>
      <c r="I218" s="493"/>
      <c r="J218" s="494"/>
      <c r="K218" s="494"/>
      <c r="L218" s="53"/>
      <c r="M218" s="493">
        <v>157</v>
      </c>
      <c r="N218" s="494" t="s">
        <v>168</v>
      </c>
      <c r="O218" s="494"/>
      <c r="P218" s="494">
        <f t="shared" si="1236"/>
        <v>0</v>
      </c>
      <c r="Q218" s="494" t="s">
        <v>701</v>
      </c>
      <c r="R218" s="494" t="s">
        <v>699</v>
      </c>
      <c r="S218" s="494" t="s">
        <v>556</v>
      </c>
      <c r="T218" s="156">
        <v>2</v>
      </c>
      <c r="U218" s="493"/>
      <c r="V218" s="2">
        <f t="shared" si="1216"/>
        <v>806.5</v>
      </c>
      <c r="W218" s="2"/>
      <c r="X218" s="198">
        <f t="shared" si="1031"/>
        <v>806.5</v>
      </c>
      <c r="Y218" s="198">
        <v>254.1</v>
      </c>
      <c r="Z218" s="42">
        <v>552.4</v>
      </c>
      <c r="AA218" s="2"/>
      <c r="AB218" s="567">
        <f t="shared" si="1300"/>
        <v>806.5</v>
      </c>
      <c r="AC218" s="567"/>
      <c r="AD218" s="568">
        <f t="shared" si="1032"/>
        <v>806.5</v>
      </c>
      <c r="AE218" s="568">
        <v>254.1</v>
      </c>
      <c r="AF218" s="569">
        <v>552.4</v>
      </c>
      <c r="AG218" s="567"/>
      <c r="AH218" s="568"/>
      <c r="AI218" s="567"/>
      <c r="AJ218" s="567"/>
      <c r="AK218" s="568"/>
      <c r="AL218" s="567"/>
      <c r="AM218" s="568"/>
      <c r="AN218" s="567"/>
      <c r="AO218" s="567"/>
      <c r="AP218" s="568"/>
      <c r="AQ218" s="567"/>
      <c r="AR218" s="568"/>
      <c r="AS218" s="567"/>
      <c r="AT218" s="567"/>
      <c r="AU218" s="568"/>
      <c r="AV218" s="567"/>
      <c r="AW218" s="568"/>
      <c r="AX218" s="409" t="s">
        <v>425</v>
      </c>
      <c r="AY218" s="567">
        <f t="shared" si="1301"/>
        <v>806.5</v>
      </c>
      <c r="AZ218" s="567"/>
      <c r="BA218" s="568">
        <f t="shared" si="1302"/>
        <v>806.5</v>
      </c>
      <c r="BB218" s="568">
        <v>254.1</v>
      </c>
      <c r="BC218" s="569">
        <v>552.4</v>
      </c>
      <c r="BD218" s="574"/>
      <c r="BE218" s="567"/>
      <c r="BF218" s="567">
        <f t="shared" si="1217"/>
        <v>0</v>
      </c>
      <c r="BG218" s="567">
        <f t="shared" si="1218"/>
        <v>0</v>
      </c>
      <c r="BH218" s="567">
        <f t="shared" si="1219"/>
        <v>0</v>
      </c>
      <c r="BI218" s="567">
        <f t="shared" si="1220"/>
        <v>0</v>
      </c>
      <c r="BJ218" s="567">
        <f t="shared" si="1221"/>
        <v>0</v>
      </c>
      <c r="BK218" s="567">
        <f t="shared" si="1222"/>
        <v>0</v>
      </c>
      <c r="BL218" s="567" t="e">
        <f>#REF!-BE218</f>
        <v>#REF!</v>
      </c>
      <c r="BM218" s="567">
        <f t="shared" si="1303"/>
        <v>202.4</v>
      </c>
      <c r="BN218" s="567"/>
      <c r="BO218" s="568">
        <f>88+114.4</f>
        <v>202.4</v>
      </c>
      <c r="BP218" s="567"/>
      <c r="BQ218" s="567"/>
      <c r="BR218" s="567">
        <f t="shared" si="1304"/>
        <v>0</v>
      </c>
      <c r="BS218" s="567"/>
      <c r="BT218" s="568"/>
      <c r="BU218" s="567"/>
      <c r="BV218" s="567"/>
      <c r="BW218" s="567">
        <f t="shared" si="1305"/>
        <v>806.5</v>
      </c>
      <c r="BX218" s="567"/>
      <c r="BY218" s="578">
        <f t="shared" si="1223"/>
        <v>806.5</v>
      </c>
      <c r="BZ218" s="578">
        <v>254.1</v>
      </c>
      <c r="CA218" s="571">
        <v>552.4</v>
      </c>
      <c r="CB218" s="567"/>
      <c r="CC218" s="567"/>
      <c r="CD218" s="567">
        <f t="shared" si="1306"/>
        <v>806.5</v>
      </c>
      <c r="CE218" s="567"/>
      <c r="CF218" s="578">
        <f t="shared" si="1224"/>
        <v>806.5</v>
      </c>
      <c r="CG218" s="578">
        <v>254.1</v>
      </c>
      <c r="CH218" s="571">
        <v>552.4</v>
      </c>
      <c r="CI218" s="567"/>
      <c r="CJ218" s="567"/>
      <c r="CK218" s="567">
        <f t="shared" si="1307"/>
        <v>413.02764999999999</v>
      </c>
      <c r="CL218" s="567"/>
      <c r="CM218" s="567">
        <v>413.02764999999999</v>
      </c>
      <c r="CN218" s="567"/>
      <c r="CO218" s="567"/>
      <c r="CP218" s="567"/>
      <c r="CQ218" s="567"/>
      <c r="CR218" s="573">
        <f t="shared" si="1308"/>
        <v>1219.52765</v>
      </c>
      <c r="CS218" s="567">
        <f t="shared" si="1226"/>
        <v>1219.52765</v>
      </c>
      <c r="CT218" s="567">
        <f t="shared" si="1227"/>
        <v>0</v>
      </c>
      <c r="CU218" s="567">
        <f t="shared" si="1228"/>
        <v>1219.52765</v>
      </c>
      <c r="CV218" s="567">
        <f t="shared" si="1229"/>
        <v>0</v>
      </c>
      <c r="CW218" s="567">
        <f t="shared" si="1309"/>
        <v>0</v>
      </c>
      <c r="CX218" s="567">
        <f t="shared" ca="1" si="1339"/>
        <v>0</v>
      </c>
      <c r="CY218" s="567">
        <f t="shared" si="1230"/>
        <v>0</v>
      </c>
      <c r="CZ218" s="567">
        <f t="shared" si="1231"/>
        <v>0</v>
      </c>
      <c r="DA218" s="567">
        <f t="shared" si="1232"/>
        <v>0</v>
      </c>
      <c r="DB218" s="2">
        <f t="shared" si="1310"/>
        <v>0</v>
      </c>
      <c r="DC218" s="76"/>
      <c r="DD218" s="253"/>
      <c r="DE218" s="253"/>
      <c r="DF218" s="2">
        <f t="shared" si="1311"/>
        <v>0</v>
      </c>
      <c r="DG218" s="2"/>
      <c r="DH218" s="198"/>
      <c r="DI218" s="2"/>
      <c r="DJ218" s="2"/>
      <c r="DK218" s="2">
        <f t="shared" si="1312"/>
        <v>0</v>
      </c>
      <c r="DL218" s="2"/>
      <c r="DM218" s="198"/>
      <c r="DN218" s="2"/>
      <c r="DO218" s="2"/>
      <c r="DP218" s="2">
        <f t="shared" si="1313"/>
        <v>0</v>
      </c>
      <c r="DQ218" s="2">
        <f t="shared" si="1314"/>
        <v>0</v>
      </c>
      <c r="DR218" s="2">
        <f t="shared" si="1314"/>
        <v>0</v>
      </c>
      <c r="DS218" s="2">
        <f t="shared" si="1314"/>
        <v>0</v>
      </c>
      <c r="DT218" s="2">
        <f t="shared" si="1314"/>
        <v>0</v>
      </c>
      <c r="DU218" s="2"/>
      <c r="DV218" s="2"/>
      <c r="DW218" s="2"/>
      <c r="DX218" s="2">
        <f t="shared" ca="1" si="1315"/>
        <v>0</v>
      </c>
      <c r="DY218" s="46"/>
      <c r="DZ218" s="2">
        <f t="shared" si="1316"/>
        <v>806.5</v>
      </c>
      <c r="EA218" s="2">
        <f t="shared" si="1317"/>
        <v>806.5</v>
      </c>
      <c r="EB218" s="46"/>
      <c r="EC218" s="2"/>
      <c r="ED218" s="2"/>
      <c r="EE218" s="46"/>
      <c r="EF218" s="2"/>
      <c r="EG218" s="46"/>
      <c r="EH218" s="46"/>
      <c r="EI218" s="2">
        <f t="shared" si="1196"/>
        <v>806.5</v>
      </c>
      <c r="EJ218" s="2"/>
      <c r="EK218" s="433">
        <f t="shared" si="1233"/>
        <v>806.5</v>
      </c>
      <c r="EL218" s="433">
        <v>254.1</v>
      </c>
      <c r="EM218" s="446">
        <v>552.4</v>
      </c>
      <c r="EN218" s="2"/>
      <c r="EO218" s="2"/>
      <c r="EP218" s="2">
        <f t="shared" si="1234"/>
        <v>413.02764999999999</v>
      </c>
      <c r="EQ218" s="2"/>
      <c r="ER218" s="2">
        <v>413.02764999999999</v>
      </c>
      <c r="ES218" s="2">
        <v>333.75054999999998</v>
      </c>
      <c r="ET218" s="2">
        <v>79.277100000000004</v>
      </c>
      <c r="EU218" s="2"/>
      <c r="EV218" s="141"/>
      <c r="EW218" s="310"/>
      <c r="EX218" s="310"/>
      <c r="EY218" s="310"/>
      <c r="EZ218" s="396"/>
      <c r="FA218" s="396"/>
      <c r="FB218" s="310"/>
      <c r="FC218" s="310"/>
      <c r="FD218" s="310"/>
      <c r="FE218" s="396"/>
      <c r="FF218" s="396"/>
      <c r="FG218" s="396"/>
      <c r="FH218" s="311"/>
      <c r="FI218" s="310"/>
      <c r="FJ218" s="296" t="e">
        <f t="shared" si="1320"/>
        <v>#DIV/0!</v>
      </c>
      <c r="FK218" s="353">
        <f t="shared" si="1237"/>
        <v>806.5</v>
      </c>
      <c r="FL218" s="353">
        <f t="shared" si="1321"/>
        <v>806.5</v>
      </c>
      <c r="FM218" s="353"/>
      <c r="FN218" s="388">
        <f t="shared" si="1322"/>
        <v>1</v>
      </c>
      <c r="FO218" s="388">
        <f t="shared" si="1323"/>
        <v>0</v>
      </c>
      <c r="FP218" s="353">
        <f t="shared" si="1238"/>
        <v>1219.52765</v>
      </c>
      <c r="FQ218" s="353">
        <f t="shared" si="1324"/>
        <v>806.5</v>
      </c>
      <c r="FR218" s="353">
        <f t="shared" si="1325"/>
        <v>413.02764999999999</v>
      </c>
      <c r="FS218" s="388">
        <f t="shared" si="1326"/>
        <v>0.66132161907112152</v>
      </c>
      <c r="FT218" s="388">
        <f t="shared" si="1327"/>
        <v>0.33867838092887848</v>
      </c>
      <c r="FU218" s="388"/>
      <c r="FV218" s="353">
        <f t="shared" si="1328"/>
        <v>1219.52765</v>
      </c>
      <c r="FW218" s="353">
        <f t="shared" si="1239"/>
        <v>-413.02764999999999</v>
      </c>
      <c r="FX218" s="310"/>
      <c r="FY218" s="310"/>
      <c r="FZ218" s="310"/>
      <c r="GA218" s="396"/>
      <c r="GB218" s="396"/>
      <c r="GC218" s="310"/>
      <c r="GD218" s="310"/>
      <c r="GE218" s="310"/>
      <c r="GF218" s="396"/>
      <c r="GG218" s="396"/>
      <c r="GH218" s="396"/>
      <c r="GI218" s="311"/>
      <c r="GJ218" s="344"/>
      <c r="GK218" s="303">
        <f t="shared" si="1215"/>
        <v>1</v>
      </c>
    </row>
    <row r="219" spans="2:193" s="37" customFormat="1" ht="15.6" customHeight="1" x14ac:dyDescent="0.25">
      <c r="B219" s="29"/>
      <c r="C219" s="30"/>
      <c r="D219" s="30">
        <v>1</v>
      </c>
      <c r="E219" s="493">
        <v>183</v>
      </c>
      <c r="F219" s="29"/>
      <c r="G219" s="30"/>
      <c r="H219" s="30">
        <v>1</v>
      </c>
      <c r="I219" s="491"/>
      <c r="J219" s="491"/>
      <c r="K219" s="491"/>
      <c r="L219" s="544"/>
      <c r="M219" s="493">
        <v>158</v>
      </c>
      <c r="N219" s="494" t="s">
        <v>169</v>
      </c>
      <c r="O219" s="494"/>
      <c r="P219" s="494">
        <f t="shared" si="1236"/>
        <v>0</v>
      </c>
      <c r="Q219" s="494"/>
      <c r="R219" s="494"/>
      <c r="S219" s="494" t="s">
        <v>647</v>
      </c>
      <c r="T219" s="156">
        <v>2</v>
      </c>
      <c r="U219" s="493"/>
      <c r="V219" s="2">
        <f t="shared" si="1216"/>
        <v>1881.8000000000002</v>
      </c>
      <c r="W219" s="2"/>
      <c r="X219" s="198">
        <f t="shared" si="1031"/>
        <v>1881.8000000000002</v>
      </c>
      <c r="Y219" s="198">
        <v>592.9</v>
      </c>
      <c r="Z219" s="42">
        <v>1288.9000000000001</v>
      </c>
      <c r="AA219" s="2"/>
      <c r="AB219" s="567">
        <f t="shared" si="1300"/>
        <v>1881.8000000000002</v>
      </c>
      <c r="AC219" s="567"/>
      <c r="AD219" s="568">
        <f t="shared" si="1032"/>
        <v>1881.8000000000002</v>
      </c>
      <c r="AE219" s="568">
        <v>592.9</v>
      </c>
      <c r="AF219" s="569">
        <v>1288.9000000000001</v>
      </c>
      <c r="AG219" s="567"/>
      <c r="AH219" s="568"/>
      <c r="AI219" s="567"/>
      <c r="AJ219" s="567"/>
      <c r="AK219" s="568"/>
      <c r="AL219" s="567"/>
      <c r="AM219" s="568"/>
      <c r="AN219" s="567"/>
      <c r="AO219" s="567"/>
      <c r="AP219" s="568"/>
      <c r="AQ219" s="567"/>
      <c r="AR219" s="568"/>
      <c r="AS219" s="567"/>
      <c r="AT219" s="567"/>
      <c r="AU219" s="568"/>
      <c r="AV219" s="567"/>
      <c r="AW219" s="568"/>
      <c r="AX219" s="409" t="s">
        <v>493</v>
      </c>
      <c r="AY219" s="567">
        <f t="shared" si="1301"/>
        <v>1881.8000000000002</v>
      </c>
      <c r="AZ219" s="567"/>
      <c r="BA219" s="568">
        <f t="shared" si="1302"/>
        <v>1881.8000000000002</v>
      </c>
      <c r="BB219" s="568">
        <v>592.9</v>
      </c>
      <c r="BC219" s="569">
        <v>1288.9000000000001</v>
      </c>
      <c r="BD219" s="567"/>
      <c r="BE219" s="567"/>
      <c r="BF219" s="567">
        <f t="shared" si="1217"/>
        <v>0</v>
      </c>
      <c r="BG219" s="567">
        <f t="shared" si="1218"/>
        <v>0</v>
      </c>
      <c r="BH219" s="567">
        <f t="shared" si="1219"/>
        <v>0</v>
      </c>
      <c r="BI219" s="567">
        <f t="shared" si="1220"/>
        <v>0</v>
      </c>
      <c r="BJ219" s="567">
        <f t="shared" si="1221"/>
        <v>0</v>
      </c>
      <c r="BK219" s="567">
        <f t="shared" si="1222"/>
        <v>0</v>
      </c>
      <c r="BL219" s="567" t="e">
        <f>#REF!-BE219</f>
        <v>#REF!</v>
      </c>
      <c r="BM219" s="567">
        <f t="shared" si="1303"/>
        <v>441.6</v>
      </c>
      <c r="BN219" s="567"/>
      <c r="BO219" s="568">
        <f>192+249.6</f>
        <v>441.6</v>
      </c>
      <c r="BP219" s="567"/>
      <c r="BQ219" s="567"/>
      <c r="BR219" s="567">
        <f t="shared" si="1304"/>
        <v>0</v>
      </c>
      <c r="BS219" s="567"/>
      <c r="BT219" s="568"/>
      <c r="BU219" s="567"/>
      <c r="BV219" s="567"/>
      <c r="BW219" s="567">
        <f t="shared" si="1305"/>
        <v>1881.8000000000002</v>
      </c>
      <c r="BX219" s="567"/>
      <c r="BY219" s="578">
        <f t="shared" si="1223"/>
        <v>1881.8000000000002</v>
      </c>
      <c r="BZ219" s="571">
        <v>592.9</v>
      </c>
      <c r="CA219" s="571">
        <v>1288.9000000000001</v>
      </c>
      <c r="CB219" s="567"/>
      <c r="CC219" s="567"/>
      <c r="CD219" s="567">
        <f t="shared" si="1306"/>
        <v>1881.8000000000002</v>
      </c>
      <c r="CE219" s="567"/>
      <c r="CF219" s="578">
        <f t="shared" si="1224"/>
        <v>1881.8000000000002</v>
      </c>
      <c r="CG219" s="571">
        <v>592.9</v>
      </c>
      <c r="CH219" s="571">
        <v>1288.9000000000001</v>
      </c>
      <c r="CI219" s="567"/>
      <c r="CJ219" s="567"/>
      <c r="CK219" s="567">
        <f t="shared" si="1307"/>
        <v>1322.9128000000001</v>
      </c>
      <c r="CL219" s="567"/>
      <c r="CM219" s="567">
        <v>1322.9128000000001</v>
      </c>
      <c r="CN219" s="567"/>
      <c r="CO219" s="567"/>
      <c r="CP219" s="567"/>
      <c r="CQ219" s="567"/>
      <c r="CR219" s="573">
        <f t="shared" si="1308"/>
        <v>3204.7128000000002</v>
      </c>
      <c r="CS219" s="567">
        <f t="shared" si="1226"/>
        <v>3204.7128000000002</v>
      </c>
      <c r="CT219" s="567">
        <f t="shared" si="1227"/>
        <v>0</v>
      </c>
      <c r="CU219" s="567">
        <f t="shared" si="1228"/>
        <v>3204.7128000000002</v>
      </c>
      <c r="CV219" s="567">
        <f t="shared" si="1229"/>
        <v>0</v>
      </c>
      <c r="CW219" s="567">
        <f t="shared" si="1309"/>
        <v>0</v>
      </c>
      <c r="CX219" s="567">
        <f t="shared" ca="1" si="1339"/>
        <v>0</v>
      </c>
      <c r="CY219" s="567">
        <f t="shared" si="1230"/>
        <v>0</v>
      </c>
      <c r="CZ219" s="567">
        <f t="shared" si="1231"/>
        <v>0</v>
      </c>
      <c r="DA219" s="567">
        <f t="shared" si="1232"/>
        <v>0</v>
      </c>
      <c r="DB219" s="2">
        <f t="shared" si="1310"/>
        <v>0</v>
      </c>
      <c r="DC219" s="76"/>
      <c r="DD219" s="253"/>
      <c r="DE219" s="253"/>
      <c r="DF219" s="2">
        <f t="shared" si="1311"/>
        <v>0</v>
      </c>
      <c r="DG219" s="2"/>
      <c r="DH219" s="198"/>
      <c r="DI219" s="2"/>
      <c r="DJ219" s="2"/>
      <c r="DK219" s="2">
        <f t="shared" si="1312"/>
        <v>0</v>
      </c>
      <c r="DL219" s="2"/>
      <c r="DM219" s="198"/>
      <c r="DN219" s="2"/>
      <c r="DO219" s="2"/>
      <c r="DP219" s="2">
        <f t="shared" si="1313"/>
        <v>0</v>
      </c>
      <c r="DQ219" s="2">
        <f t="shared" si="1314"/>
        <v>0</v>
      </c>
      <c r="DR219" s="2">
        <f t="shared" si="1314"/>
        <v>0</v>
      </c>
      <c r="DS219" s="2">
        <f t="shared" si="1314"/>
        <v>0</v>
      </c>
      <c r="DT219" s="2">
        <f t="shared" si="1314"/>
        <v>0</v>
      </c>
      <c r="DU219" s="2"/>
      <c r="DV219" s="2"/>
      <c r="DW219" s="2"/>
      <c r="DX219" s="2">
        <f t="shared" ca="1" si="1315"/>
        <v>0</v>
      </c>
      <c r="DY219" s="46"/>
      <c r="DZ219" s="2">
        <f t="shared" si="1316"/>
        <v>1881.8000000000002</v>
      </c>
      <c r="EA219" s="2">
        <f t="shared" si="1317"/>
        <v>1881.8000000000002</v>
      </c>
      <c r="EB219" s="46"/>
      <c r="EC219" s="2"/>
      <c r="ED219" s="2"/>
      <c r="EE219" s="46"/>
      <c r="EF219" s="2"/>
      <c r="EG219" s="46"/>
      <c r="EH219" s="46"/>
      <c r="EI219" s="2">
        <f t="shared" si="1196"/>
        <v>1881.8000000000002</v>
      </c>
      <c r="EJ219" s="2"/>
      <c r="EK219" s="433">
        <f t="shared" si="1233"/>
        <v>1881.8000000000002</v>
      </c>
      <c r="EL219" s="446">
        <v>592.9</v>
      </c>
      <c r="EM219" s="446">
        <v>1288.9000000000001</v>
      </c>
      <c r="EN219" s="2"/>
      <c r="EO219" s="2"/>
      <c r="EP219" s="2">
        <f t="shared" si="1234"/>
        <v>1322.9128000000001</v>
      </c>
      <c r="EQ219" s="2"/>
      <c r="ER219" s="2">
        <v>1322.9128000000001</v>
      </c>
      <c r="ES219" s="2">
        <v>1194.0237999999999</v>
      </c>
      <c r="ET219" s="2">
        <v>128.88900000000001</v>
      </c>
      <c r="EU219" s="2"/>
      <c r="EV219" s="141"/>
      <c r="EW219" s="310"/>
      <c r="EX219" s="310"/>
      <c r="EY219" s="310"/>
      <c r="EZ219" s="396"/>
      <c r="FA219" s="396"/>
      <c r="FB219" s="310"/>
      <c r="FC219" s="310"/>
      <c r="FD219" s="310"/>
      <c r="FE219" s="396"/>
      <c r="FF219" s="396"/>
      <c r="FG219" s="396"/>
      <c r="FH219" s="311"/>
      <c r="FI219" s="310"/>
      <c r="FJ219" s="296" t="e">
        <f t="shared" si="1320"/>
        <v>#DIV/0!</v>
      </c>
      <c r="FK219" s="353">
        <f t="shared" si="1237"/>
        <v>1881.8000000000002</v>
      </c>
      <c r="FL219" s="353">
        <f t="shared" si="1321"/>
        <v>1881.8000000000002</v>
      </c>
      <c r="FM219" s="353"/>
      <c r="FN219" s="388">
        <f t="shared" si="1322"/>
        <v>1</v>
      </c>
      <c r="FO219" s="388">
        <f t="shared" si="1323"/>
        <v>0</v>
      </c>
      <c r="FP219" s="353">
        <f t="shared" si="1238"/>
        <v>3204.7128000000002</v>
      </c>
      <c r="FQ219" s="353">
        <f t="shared" si="1324"/>
        <v>1881.8000000000002</v>
      </c>
      <c r="FR219" s="353">
        <f t="shared" si="1325"/>
        <v>1322.9128000000001</v>
      </c>
      <c r="FS219" s="388">
        <f t="shared" si="1326"/>
        <v>0.58719770458057896</v>
      </c>
      <c r="FT219" s="388">
        <f t="shared" si="1327"/>
        <v>0.41280229541942104</v>
      </c>
      <c r="FU219" s="388"/>
      <c r="FV219" s="353">
        <f t="shared" si="1328"/>
        <v>3204.7128000000002</v>
      </c>
      <c r="FW219" s="353">
        <f t="shared" si="1239"/>
        <v>-1322.9128000000001</v>
      </c>
      <c r="FX219" s="310"/>
      <c r="FY219" s="310"/>
      <c r="FZ219" s="310"/>
      <c r="GA219" s="396"/>
      <c r="GB219" s="396"/>
      <c r="GC219" s="310"/>
      <c r="GD219" s="310"/>
      <c r="GE219" s="310"/>
      <c r="GF219" s="396"/>
      <c r="GG219" s="396"/>
      <c r="GH219" s="396"/>
      <c r="GI219" s="311"/>
      <c r="GJ219" s="344"/>
      <c r="GK219" s="303">
        <f t="shared" si="1215"/>
        <v>1</v>
      </c>
    </row>
    <row r="220" spans="2:193" s="37" customFormat="1" ht="15.6" customHeight="1" x14ac:dyDescent="0.25">
      <c r="B220" s="29"/>
      <c r="C220" s="30"/>
      <c r="D220" s="30">
        <v>1</v>
      </c>
      <c r="E220" s="493">
        <v>184</v>
      </c>
      <c r="F220" s="29"/>
      <c r="G220" s="30"/>
      <c r="H220" s="30"/>
      <c r="I220" s="493"/>
      <c r="J220" s="494"/>
      <c r="K220" s="494"/>
      <c r="L220" s="53"/>
      <c r="M220" s="493">
        <v>159</v>
      </c>
      <c r="N220" s="494" t="s">
        <v>144</v>
      </c>
      <c r="O220" s="494"/>
      <c r="P220" s="494">
        <f t="shared" si="1236"/>
        <v>0</v>
      </c>
      <c r="Q220" s="494"/>
      <c r="R220" s="494"/>
      <c r="S220" s="494" t="s">
        <v>598</v>
      </c>
      <c r="T220" s="156">
        <v>2</v>
      </c>
      <c r="U220" s="493"/>
      <c r="V220" s="2">
        <f t="shared" si="1216"/>
        <v>2553.8000000000002</v>
      </c>
      <c r="W220" s="2"/>
      <c r="X220" s="198">
        <f t="shared" si="1031"/>
        <v>2553.8000000000002</v>
      </c>
      <c r="Y220" s="198">
        <v>804.6</v>
      </c>
      <c r="Z220" s="42">
        <v>1749.2</v>
      </c>
      <c r="AA220" s="2"/>
      <c r="AB220" s="567">
        <f t="shared" si="1300"/>
        <v>2553.8000000000002</v>
      </c>
      <c r="AC220" s="567"/>
      <c r="AD220" s="568">
        <f t="shared" si="1032"/>
        <v>2553.8000000000002</v>
      </c>
      <c r="AE220" s="568">
        <v>804.6</v>
      </c>
      <c r="AF220" s="569">
        <v>1749.2</v>
      </c>
      <c r="AG220" s="567"/>
      <c r="AH220" s="568"/>
      <c r="AI220" s="567"/>
      <c r="AJ220" s="567"/>
      <c r="AK220" s="568"/>
      <c r="AL220" s="567"/>
      <c r="AM220" s="568"/>
      <c r="AN220" s="567"/>
      <c r="AO220" s="567"/>
      <c r="AP220" s="568"/>
      <c r="AQ220" s="567"/>
      <c r="AR220" s="568"/>
      <c r="AS220" s="567"/>
      <c r="AT220" s="567"/>
      <c r="AU220" s="568"/>
      <c r="AV220" s="567"/>
      <c r="AW220" s="568"/>
      <c r="AX220" s="409" t="s">
        <v>454</v>
      </c>
      <c r="AY220" s="567">
        <f t="shared" si="1301"/>
        <v>2553.8000000000002</v>
      </c>
      <c r="AZ220" s="567"/>
      <c r="BA220" s="568">
        <f t="shared" si="1302"/>
        <v>2553.8000000000002</v>
      </c>
      <c r="BB220" s="568">
        <v>804.6</v>
      </c>
      <c r="BC220" s="569">
        <v>1749.2</v>
      </c>
      <c r="BD220" s="567"/>
      <c r="BE220" s="567"/>
      <c r="BF220" s="567">
        <f t="shared" si="1217"/>
        <v>0</v>
      </c>
      <c r="BG220" s="567">
        <f t="shared" si="1218"/>
        <v>0</v>
      </c>
      <c r="BH220" s="567">
        <f t="shared" si="1219"/>
        <v>0</v>
      </c>
      <c r="BI220" s="567">
        <f t="shared" si="1220"/>
        <v>0</v>
      </c>
      <c r="BJ220" s="567">
        <f t="shared" si="1221"/>
        <v>0</v>
      </c>
      <c r="BK220" s="567">
        <f t="shared" si="1222"/>
        <v>0</v>
      </c>
      <c r="BL220" s="567" t="e">
        <f>#REF!-BE220</f>
        <v>#REF!</v>
      </c>
      <c r="BM220" s="567">
        <f t="shared" si="1303"/>
        <v>671.6</v>
      </c>
      <c r="BN220" s="567"/>
      <c r="BO220" s="568">
        <f>292+379.6</f>
        <v>671.6</v>
      </c>
      <c r="BP220" s="567"/>
      <c r="BQ220" s="567"/>
      <c r="BR220" s="567">
        <f t="shared" si="1304"/>
        <v>0</v>
      </c>
      <c r="BS220" s="567"/>
      <c r="BT220" s="567"/>
      <c r="BU220" s="567"/>
      <c r="BV220" s="567"/>
      <c r="BW220" s="567">
        <f t="shared" si="1305"/>
        <v>2545.0540000000001</v>
      </c>
      <c r="BX220" s="567"/>
      <c r="BY220" s="578">
        <f t="shared" si="1223"/>
        <v>2545.0540000000001</v>
      </c>
      <c r="BZ220" s="571">
        <v>804.6</v>
      </c>
      <c r="CA220" s="571">
        <v>1740.454</v>
      </c>
      <c r="CB220" s="567"/>
      <c r="CC220" s="567"/>
      <c r="CD220" s="567">
        <f t="shared" si="1306"/>
        <v>2545.0540000000001</v>
      </c>
      <c r="CE220" s="567"/>
      <c r="CF220" s="578">
        <f t="shared" si="1224"/>
        <v>2545.0540000000001</v>
      </c>
      <c r="CG220" s="571">
        <v>804.6</v>
      </c>
      <c r="CH220" s="571">
        <v>1740.454</v>
      </c>
      <c r="CI220" s="567"/>
      <c r="CJ220" s="567"/>
      <c r="CK220" s="567">
        <f t="shared" si="1307"/>
        <v>1064.335</v>
      </c>
      <c r="CL220" s="567"/>
      <c r="CM220" s="567">
        <v>1064.335</v>
      </c>
      <c r="CN220" s="567">
        <v>752.9</v>
      </c>
      <c r="CO220" s="567"/>
      <c r="CP220" s="567"/>
      <c r="CQ220" s="567"/>
      <c r="CR220" s="573">
        <f t="shared" si="1308"/>
        <v>3609.3890000000001</v>
      </c>
      <c r="CS220" s="567">
        <f t="shared" si="1226"/>
        <v>3609.3890000000001</v>
      </c>
      <c r="CT220" s="567">
        <f t="shared" si="1227"/>
        <v>0</v>
      </c>
      <c r="CU220" s="567">
        <f t="shared" si="1228"/>
        <v>3609.3890000000001</v>
      </c>
      <c r="CV220" s="567">
        <f t="shared" si="1229"/>
        <v>0</v>
      </c>
      <c r="CW220" s="567">
        <f t="shared" si="1309"/>
        <v>0</v>
      </c>
      <c r="CX220" s="567">
        <f t="shared" ca="1" si="1339"/>
        <v>0</v>
      </c>
      <c r="CY220" s="567">
        <f t="shared" si="1230"/>
        <v>0</v>
      </c>
      <c r="CZ220" s="567">
        <f t="shared" si="1231"/>
        <v>0</v>
      </c>
      <c r="DA220" s="567">
        <f t="shared" si="1232"/>
        <v>0</v>
      </c>
      <c r="DB220" s="2">
        <f t="shared" si="1310"/>
        <v>0</v>
      </c>
      <c r="DC220" s="76"/>
      <c r="DD220" s="253"/>
      <c r="DE220" s="253"/>
      <c r="DF220" s="2">
        <f t="shared" si="1311"/>
        <v>0</v>
      </c>
      <c r="DG220" s="2"/>
      <c r="DH220" s="2"/>
      <c r="DI220" s="2"/>
      <c r="DJ220" s="2"/>
      <c r="DK220" s="2">
        <f t="shared" si="1312"/>
        <v>0</v>
      </c>
      <c r="DL220" s="2"/>
      <c r="DM220" s="2"/>
      <c r="DN220" s="2"/>
      <c r="DO220" s="2"/>
      <c r="DP220" s="2">
        <f t="shared" si="1313"/>
        <v>0</v>
      </c>
      <c r="DQ220" s="2">
        <f t="shared" si="1314"/>
        <v>0</v>
      </c>
      <c r="DR220" s="2">
        <f t="shared" si="1314"/>
        <v>0</v>
      </c>
      <c r="DS220" s="2">
        <f t="shared" si="1314"/>
        <v>0</v>
      </c>
      <c r="DT220" s="2">
        <f t="shared" si="1314"/>
        <v>0</v>
      </c>
      <c r="DU220" s="2"/>
      <c r="DV220" s="2"/>
      <c r="DW220" s="2"/>
      <c r="DX220" s="2">
        <f t="shared" ca="1" si="1315"/>
        <v>0</v>
      </c>
      <c r="DY220" s="46"/>
      <c r="DZ220" s="2">
        <f t="shared" si="1316"/>
        <v>2545.0540000000001</v>
      </c>
      <c r="EA220" s="2">
        <f t="shared" si="1317"/>
        <v>2545.0540000000001</v>
      </c>
      <c r="EB220" s="46"/>
      <c r="EC220" s="2"/>
      <c r="ED220" s="2"/>
      <c r="EE220" s="46"/>
      <c r="EF220" s="2"/>
      <c r="EG220" s="46"/>
      <c r="EH220" s="46"/>
      <c r="EI220" s="2">
        <f t="shared" si="1196"/>
        <v>2545.0540000000001</v>
      </c>
      <c r="EJ220" s="2"/>
      <c r="EK220" s="433">
        <f t="shared" si="1233"/>
        <v>2545.0540000000001</v>
      </c>
      <c r="EL220" s="446">
        <v>804.6</v>
      </c>
      <c r="EM220" s="446">
        <v>1740.454</v>
      </c>
      <c r="EN220" s="2"/>
      <c r="EO220" s="2"/>
      <c r="EP220" s="2">
        <f t="shared" si="1234"/>
        <v>1064.335</v>
      </c>
      <c r="EQ220" s="2"/>
      <c r="ER220" s="2">
        <v>1064.335</v>
      </c>
      <c r="ES220" s="2">
        <v>752.9</v>
      </c>
      <c r="ET220" s="2">
        <v>331.435</v>
      </c>
      <c r="EU220" s="2"/>
      <c r="EV220" s="141"/>
      <c r="EW220" s="310"/>
      <c r="EX220" s="310"/>
      <c r="EY220" s="310"/>
      <c r="EZ220" s="396"/>
      <c r="FA220" s="396"/>
      <c r="FB220" s="310"/>
      <c r="FC220" s="310"/>
      <c r="FD220" s="310"/>
      <c r="FE220" s="396"/>
      <c r="FF220" s="396"/>
      <c r="FG220" s="396"/>
      <c r="FH220" s="311"/>
      <c r="FI220" s="310"/>
      <c r="FJ220" s="296" t="e">
        <f t="shared" si="1320"/>
        <v>#DIV/0!</v>
      </c>
      <c r="FK220" s="353">
        <f t="shared" si="1237"/>
        <v>2553.8000000000002</v>
      </c>
      <c r="FL220" s="353">
        <f t="shared" si="1321"/>
        <v>2553.8000000000002</v>
      </c>
      <c r="FM220" s="353"/>
      <c r="FN220" s="388">
        <f t="shared" si="1322"/>
        <v>1</v>
      </c>
      <c r="FO220" s="388">
        <f t="shared" si="1323"/>
        <v>0</v>
      </c>
      <c r="FP220" s="353">
        <f t="shared" si="1238"/>
        <v>3609.3890000000001</v>
      </c>
      <c r="FQ220" s="353">
        <f t="shared" si="1324"/>
        <v>2545.0540000000001</v>
      </c>
      <c r="FR220" s="353">
        <f t="shared" si="1325"/>
        <v>1064.335</v>
      </c>
      <c r="FS220" s="388">
        <f t="shared" si="1326"/>
        <v>0.70512045113452715</v>
      </c>
      <c r="FT220" s="388">
        <f t="shared" si="1327"/>
        <v>0.2948795488654728</v>
      </c>
      <c r="FU220" s="388"/>
      <c r="FV220" s="353">
        <f t="shared" si="1328"/>
        <v>3609.3890000000001</v>
      </c>
      <c r="FW220" s="353">
        <f t="shared" si="1239"/>
        <v>-1064.335</v>
      </c>
      <c r="FX220" s="310"/>
      <c r="FY220" s="310"/>
      <c r="FZ220" s="310"/>
      <c r="GA220" s="396"/>
      <c r="GB220" s="396"/>
      <c r="GC220" s="310"/>
      <c r="GD220" s="310"/>
      <c r="GE220" s="310"/>
      <c r="GF220" s="396"/>
      <c r="GG220" s="396"/>
      <c r="GH220" s="396"/>
      <c r="GI220" s="311"/>
      <c r="GJ220" s="344"/>
      <c r="GK220" s="303">
        <f t="shared" si="1215"/>
        <v>0.99657529955360635</v>
      </c>
    </row>
    <row r="221" spans="2:193" s="37" customFormat="1" ht="15.75" customHeight="1" x14ac:dyDescent="0.25">
      <c r="B221" s="29"/>
      <c r="C221" s="30"/>
      <c r="D221" s="30">
        <v>1</v>
      </c>
      <c r="E221" s="493">
        <v>185</v>
      </c>
      <c r="F221" s="29"/>
      <c r="G221" s="30"/>
      <c r="H221" s="30">
        <v>1</v>
      </c>
      <c r="I221" s="493"/>
      <c r="J221" s="494"/>
      <c r="K221" s="494"/>
      <c r="L221" s="53"/>
      <c r="M221" s="493">
        <v>160</v>
      </c>
      <c r="N221" s="494" t="s">
        <v>145</v>
      </c>
      <c r="O221" s="494"/>
      <c r="P221" s="494">
        <f t="shared" si="1236"/>
        <v>0</v>
      </c>
      <c r="Q221" s="494" t="s">
        <v>701</v>
      </c>
      <c r="R221" s="494" t="s">
        <v>699</v>
      </c>
      <c r="S221" s="494" t="s">
        <v>497</v>
      </c>
      <c r="T221" s="156">
        <v>2</v>
      </c>
      <c r="U221" s="493"/>
      <c r="V221" s="2">
        <f t="shared" si="1216"/>
        <v>5683.7</v>
      </c>
      <c r="W221" s="2"/>
      <c r="X221" s="198">
        <f t="shared" si="1031"/>
        <v>5683.7</v>
      </c>
      <c r="Y221" s="198">
        <v>1790.8</v>
      </c>
      <c r="Z221" s="42">
        <v>3892.9</v>
      </c>
      <c r="AA221" s="2"/>
      <c r="AB221" s="567">
        <f t="shared" si="1300"/>
        <v>5683.7</v>
      </c>
      <c r="AC221" s="567"/>
      <c r="AD221" s="568">
        <f t="shared" si="1032"/>
        <v>5683.7</v>
      </c>
      <c r="AE221" s="568">
        <v>1790.8</v>
      </c>
      <c r="AF221" s="569">
        <v>3892.9</v>
      </c>
      <c r="AG221" s="567"/>
      <c r="AH221" s="568"/>
      <c r="AI221" s="567"/>
      <c r="AJ221" s="567"/>
      <c r="AK221" s="568"/>
      <c r="AL221" s="567"/>
      <c r="AM221" s="568"/>
      <c r="AN221" s="567"/>
      <c r="AO221" s="567"/>
      <c r="AP221" s="568"/>
      <c r="AQ221" s="567"/>
      <c r="AR221" s="568"/>
      <c r="AS221" s="567"/>
      <c r="AT221" s="567"/>
      <c r="AU221" s="568"/>
      <c r="AV221" s="567"/>
      <c r="AW221" s="568"/>
      <c r="AX221" s="425" t="s">
        <v>378</v>
      </c>
      <c r="AY221" s="567">
        <f t="shared" si="1301"/>
        <v>5683.6743900000001</v>
      </c>
      <c r="AZ221" s="567"/>
      <c r="BA221" s="568">
        <f t="shared" si="1302"/>
        <v>5683.6743900000001</v>
      </c>
      <c r="BB221" s="568">
        <f>1790.8-0.02561</f>
        <v>1790.77439</v>
      </c>
      <c r="BC221" s="569">
        <f>3892.87439+0.02561</f>
        <v>3892.9</v>
      </c>
      <c r="BD221" s="567"/>
      <c r="BE221" s="568"/>
      <c r="BF221" s="567">
        <f t="shared" si="1217"/>
        <v>2.560999999991509E-2</v>
      </c>
      <c r="BG221" s="567">
        <f t="shared" si="1218"/>
        <v>0</v>
      </c>
      <c r="BH221" s="567">
        <f t="shared" si="1219"/>
        <v>2.560999999991509E-2</v>
      </c>
      <c r="BI221" s="567">
        <f t="shared" si="1220"/>
        <v>2.560999999991509E-2</v>
      </c>
      <c r="BJ221" s="567">
        <f t="shared" si="1221"/>
        <v>0</v>
      </c>
      <c r="BK221" s="567">
        <f t="shared" si="1222"/>
        <v>0</v>
      </c>
      <c r="BL221" s="567" t="e">
        <f>#REF!-BE221</f>
        <v>#REF!</v>
      </c>
      <c r="BM221" s="567">
        <f t="shared" si="1303"/>
        <v>1835.4</v>
      </c>
      <c r="BN221" s="567"/>
      <c r="BO221" s="568">
        <f>798+1037.4</f>
        <v>1835.4</v>
      </c>
      <c r="BP221" s="567"/>
      <c r="BQ221" s="568"/>
      <c r="BR221" s="567">
        <f t="shared" si="1304"/>
        <v>0</v>
      </c>
      <c r="BS221" s="567"/>
      <c r="BT221" s="568"/>
      <c r="BU221" s="567"/>
      <c r="BV221" s="568"/>
      <c r="BW221" s="567">
        <f t="shared" si="1305"/>
        <v>5047.9598100000003</v>
      </c>
      <c r="BX221" s="567"/>
      <c r="BY221" s="568">
        <f t="shared" si="1223"/>
        <v>5047.9598100000003</v>
      </c>
      <c r="BZ221" s="571">
        <f>1602.76596-0.02561</f>
        <v>1602.74035</v>
      </c>
      <c r="CA221" s="571">
        <f>3445.19385+0.02561</f>
        <v>3445.2194600000003</v>
      </c>
      <c r="CB221" s="567"/>
      <c r="CC221" s="577"/>
      <c r="CD221" s="567">
        <f t="shared" si="1306"/>
        <v>5047.9598100000003</v>
      </c>
      <c r="CE221" s="567"/>
      <c r="CF221" s="568">
        <f t="shared" si="1224"/>
        <v>5047.9598100000003</v>
      </c>
      <c r="CG221" s="571">
        <f>1602.76596-0.02561</f>
        <v>1602.74035</v>
      </c>
      <c r="CH221" s="571">
        <f>3445.19385+0.02561</f>
        <v>3445.2194600000003</v>
      </c>
      <c r="CI221" s="567"/>
      <c r="CJ221" s="577"/>
      <c r="CK221" s="567">
        <f t="shared" si="1307"/>
        <v>623.93091000000004</v>
      </c>
      <c r="CL221" s="567"/>
      <c r="CM221" s="567">
        <v>623.93091000000004</v>
      </c>
      <c r="CN221" s="567"/>
      <c r="CO221" s="567"/>
      <c r="CP221" s="567"/>
      <c r="CQ221" s="567"/>
      <c r="CR221" s="573">
        <f t="shared" si="1308"/>
        <v>5671.8907200000003</v>
      </c>
      <c r="CS221" s="567">
        <f t="shared" si="1226"/>
        <v>5671.8907200000003</v>
      </c>
      <c r="CT221" s="567">
        <f t="shared" si="1227"/>
        <v>0</v>
      </c>
      <c r="CU221" s="567">
        <f t="shared" si="1228"/>
        <v>5671.8907200000003</v>
      </c>
      <c r="CV221" s="567">
        <f t="shared" si="1229"/>
        <v>0</v>
      </c>
      <c r="CW221" s="567">
        <f t="shared" si="1309"/>
        <v>0</v>
      </c>
      <c r="CX221" s="567">
        <f t="shared" ca="1" si="1339"/>
        <v>0</v>
      </c>
      <c r="CY221" s="567">
        <f t="shared" si="1230"/>
        <v>0</v>
      </c>
      <c r="CZ221" s="567">
        <f t="shared" si="1231"/>
        <v>0</v>
      </c>
      <c r="DA221" s="567">
        <f t="shared" si="1232"/>
        <v>0</v>
      </c>
      <c r="DB221" s="2">
        <f t="shared" si="1310"/>
        <v>0</v>
      </c>
      <c r="DC221" s="76"/>
      <c r="DD221" s="253"/>
      <c r="DE221" s="253"/>
      <c r="DF221" s="2">
        <f t="shared" si="1311"/>
        <v>0</v>
      </c>
      <c r="DG221" s="2"/>
      <c r="DH221" s="198"/>
      <c r="DI221" s="2"/>
      <c r="DJ221" s="198"/>
      <c r="DK221" s="2">
        <f t="shared" si="1312"/>
        <v>0</v>
      </c>
      <c r="DL221" s="2"/>
      <c r="DM221" s="198"/>
      <c r="DN221" s="2"/>
      <c r="DO221" s="198"/>
      <c r="DP221" s="2">
        <f t="shared" si="1313"/>
        <v>0</v>
      </c>
      <c r="DQ221" s="2">
        <f t="shared" si="1314"/>
        <v>0</v>
      </c>
      <c r="DR221" s="2">
        <f t="shared" si="1314"/>
        <v>0</v>
      </c>
      <c r="DS221" s="2">
        <f t="shared" si="1314"/>
        <v>0</v>
      </c>
      <c r="DT221" s="2">
        <f t="shared" si="1314"/>
        <v>0</v>
      </c>
      <c r="DU221" s="2"/>
      <c r="DV221" s="2"/>
      <c r="DW221" s="2"/>
      <c r="DX221" s="2">
        <f t="shared" ca="1" si="1315"/>
        <v>0</v>
      </c>
      <c r="DY221" s="46"/>
      <c r="DZ221" s="2">
        <f t="shared" si="1316"/>
        <v>5047.9598100000003</v>
      </c>
      <c r="EA221" s="2">
        <f t="shared" si="1317"/>
        <v>5047.9598100000003</v>
      </c>
      <c r="EB221" s="46"/>
      <c r="EC221" s="2"/>
      <c r="ED221" s="2"/>
      <c r="EE221" s="46"/>
      <c r="EF221" s="2"/>
      <c r="EG221" s="46"/>
      <c r="EH221" s="46"/>
      <c r="EI221" s="2">
        <f t="shared" si="1196"/>
        <v>5047.9598100000003</v>
      </c>
      <c r="EJ221" s="2"/>
      <c r="EK221" s="198">
        <f t="shared" si="1233"/>
        <v>5047.9598100000003</v>
      </c>
      <c r="EL221" s="446">
        <f>1602.76596-0.02561</f>
        <v>1602.74035</v>
      </c>
      <c r="EM221" s="446">
        <f>3445.19385+0.02561</f>
        <v>3445.2194600000003</v>
      </c>
      <c r="EN221" s="2"/>
      <c r="EO221" s="236"/>
      <c r="EP221" s="2">
        <f t="shared" si="1234"/>
        <v>623.93091000000004</v>
      </c>
      <c r="EQ221" s="2"/>
      <c r="ER221" s="2">
        <v>623.93091000000004</v>
      </c>
      <c r="ES221" s="2">
        <v>198.12042</v>
      </c>
      <c r="ET221" s="2">
        <v>425.81049000000002</v>
      </c>
      <c r="EU221" s="2"/>
      <c r="EV221" s="141"/>
      <c r="EW221" s="310"/>
      <c r="EX221" s="310"/>
      <c r="EY221" s="310"/>
      <c r="EZ221" s="396"/>
      <c r="FA221" s="396"/>
      <c r="FB221" s="310"/>
      <c r="FC221" s="310"/>
      <c r="FD221" s="310"/>
      <c r="FE221" s="396"/>
      <c r="FF221" s="396"/>
      <c r="FG221" s="396"/>
      <c r="FH221" s="311"/>
      <c r="FI221" s="310"/>
      <c r="FJ221" s="296" t="e">
        <f t="shared" si="1320"/>
        <v>#DIV/0!</v>
      </c>
      <c r="FK221" s="353">
        <f t="shared" si="1237"/>
        <v>5683.6743900000001</v>
      </c>
      <c r="FL221" s="353">
        <f t="shared" si="1321"/>
        <v>5683.6743900000001</v>
      </c>
      <c r="FM221" s="353"/>
      <c r="FN221" s="388">
        <f t="shared" si="1322"/>
        <v>1</v>
      </c>
      <c r="FO221" s="388">
        <f t="shared" si="1323"/>
        <v>0</v>
      </c>
      <c r="FP221" s="353">
        <f t="shared" si="1238"/>
        <v>5671.8907200000003</v>
      </c>
      <c r="FQ221" s="353">
        <f t="shared" si="1324"/>
        <v>5047.9598100000003</v>
      </c>
      <c r="FR221" s="353">
        <f t="shared" si="1325"/>
        <v>623.93091000000004</v>
      </c>
      <c r="FS221" s="388">
        <f t="shared" si="1326"/>
        <v>0.88999595711533741</v>
      </c>
      <c r="FT221" s="388">
        <f t="shared" si="1327"/>
        <v>0.11000404288466263</v>
      </c>
      <c r="FU221" s="388"/>
      <c r="FV221" s="353">
        <f t="shared" si="1328"/>
        <v>5671.8907200000003</v>
      </c>
      <c r="FW221" s="353">
        <f t="shared" si="1239"/>
        <v>-623.93091000000004</v>
      </c>
      <c r="FX221" s="310">
        <f t="shared" ref="FX221" si="1347">FY221+FZ221</f>
        <v>0</v>
      </c>
      <c r="FY221" s="310">
        <f>BD221</f>
        <v>0</v>
      </c>
      <c r="FZ221" s="310"/>
      <c r="GA221" s="396" t="e">
        <f t="shared" ref="GA221" si="1348">FY221/FX221</f>
        <v>#DIV/0!</v>
      </c>
      <c r="GB221" s="396" t="e">
        <f t="shared" ref="GB221" si="1349">FZ221/FX221</f>
        <v>#DIV/0!</v>
      </c>
      <c r="GC221" s="310">
        <f t="shared" ref="GC221" si="1350">GD221+GE221</f>
        <v>0</v>
      </c>
      <c r="GD221" s="310">
        <f t="shared" ref="GD221" si="1351">EN221</f>
        <v>0</v>
      </c>
      <c r="GE221" s="310">
        <f t="shared" ref="GE221" si="1352">EU221</f>
        <v>0</v>
      </c>
      <c r="GF221" s="396" t="e">
        <f t="shared" ref="GF221" si="1353">GD221/GC221</f>
        <v>#DIV/0!</v>
      </c>
      <c r="GG221" s="396" t="e">
        <f t="shared" ref="GG221" si="1354">GE221/GC221</f>
        <v>#DIV/0!</v>
      </c>
      <c r="GH221" s="396"/>
      <c r="GI221" s="311" t="e">
        <f t="shared" ref="GI221" si="1355">GC221*GA221</f>
        <v>#DIV/0!</v>
      </c>
      <c r="GJ221" s="344" t="e">
        <f t="shared" ref="GJ221" si="1356">GD221-GI221</f>
        <v>#DIV/0!</v>
      </c>
      <c r="GK221" s="303">
        <f t="shared" si="1215"/>
        <v>0.88814677234899808</v>
      </c>
    </row>
    <row r="222" spans="2:193" s="115" customFormat="1" ht="15.75" customHeight="1" x14ac:dyDescent="0.2">
      <c r="B222" s="109"/>
      <c r="C222" s="110"/>
      <c r="D222" s="110"/>
      <c r="E222" s="111"/>
      <c r="F222" s="109"/>
      <c r="G222" s="110"/>
      <c r="H222" s="110"/>
      <c r="I222" s="492"/>
      <c r="J222" s="492"/>
      <c r="K222" s="492"/>
      <c r="L222" s="556"/>
      <c r="M222" s="111"/>
      <c r="N222" s="114" t="s">
        <v>12</v>
      </c>
      <c r="O222" s="114"/>
      <c r="P222" s="114">
        <f t="shared" si="1236"/>
        <v>0</v>
      </c>
      <c r="Q222" s="114"/>
      <c r="R222" s="114"/>
      <c r="S222" s="114"/>
      <c r="T222" s="158">
        <f t="shared" ref="T222:AH222" si="1357">SUM(T223:T231)-T224</f>
        <v>17</v>
      </c>
      <c r="U222" s="158">
        <f t="shared" si="1357"/>
        <v>3</v>
      </c>
      <c r="V222" s="57">
        <f t="shared" si="1216"/>
        <v>78247.091320000007</v>
      </c>
      <c r="W222" s="57">
        <f t="shared" ref="W222:AA222" si="1358">SUM(W223:W231)-W224</f>
        <v>0</v>
      </c>
      <c r="X222" s="57">
        <f t="shared" si="1358"/>
        <v>14919.500000000002</v>
      </c>
      <c r="Y222" s="57">
        <f t="shared" si="1358"/>
        <v>4700.7</v>
      </c>
      <c r="Z222" s="57">
        <f t="shared" si="1358"/>
        <v>10218.799999999999</v>
      </c>
      <c r="AA222" s="57">
        <f t="shared" si="1358"/>
        <v>63327.591320000007</v>
      </c>
      <c r="AB222" s="564">
        <f t="shared" si="1357"/>
        <v>78247.091320000007</v>
      </c>
      <c r="AC222" s="564">
        <f t="shared" si="1357"/>
        <v>0</v>
      </c>
      <c r="AD222" s="564">
        <f t="shared" si="1357"/>
        <v>14919.500000000002</v>
      </c>
      <c r="AE222" s="564">
        <f t="shared" si="1357"/>
        <v>4700.7</v>
      </c>
      <c r="AF222" s="564">
        <f t="shared" si="1357"/>
        <v>10218.799999999999</v>
      </c>
      <c r="AG222" s="564">
        <f t="shared" si="1357"/>
        <v>63327.591320000007</v>
      </c>
      <c r="AH222" s="564">
        <f t="shared" si="1357"/>
        <v>0</v>
      </c>
      <c r="AI222" s="564">
        <f t="shared" ref="AI222:AM222" si="1359">SUM(AI223:AI231)-AI224</f>
        <v>4485</v>
      </c>
      <c r="AJ222" s="564">
        <f t="shared" si="1359"/>
        <v>0</v>
      </c>
      <c r="AK222" s="564">
        <f t="shared" si="1359"/>
        <v>4485</v>
      </c>
      <c r="AL222" s="564">
        <f t="shared" si="1359"/>
        <v>0</v>
      </c>
      <c r="AM222" s="564">
        <f t="shared" si="1359"/>
        <v>0</v>
      </c>
      <c r="AN222" s="564">
        <f t="shared" ref="AN222:AR222" si="1360">SUM(AN223:AN231)-AN224</f>
        <v>4485</v>
      </c>
      <c r="AO222" s="564">
        <f t="shared" si="1360"/>
        <v>0</v>
      </c>
      <c r="AP222" s="564">
        <f t="shared" si="1360"/>
        <v>4485</v>
      </c>
      <c r="AQ222" s="564">
        <f t="shared" si="1360"/>
        <v>0</v>
      </c>
      <c r="AR222" s="564">
        <f t="shared" si="1360"/>
        <v>0</v>
      </c>
      <c r="AS222" s="566">
        <f t="shared" ref="AS222:AW222" si="1361">SUM(AS223:AS231)-AS224</f>
        <v>1950</v>
      </c>
      <c r="AT222" s="564">
        <f t="shared" si="1361"/>
        <v>0</v>
      </c>
      <c r="AU222" s="564">
        <f t="shared" si="1361"/>
        <v>1950</v>
      </c>
      <c r="AV222" s="564">
        <f t="shared" si="1361"/>
        <v>0</v>
      </c>
      <c r="AW222" s="564">
        <f t="shared" si="1361"/>
        <v>0</v>
      </c>
      <c r="AX222" s="565"/>
      <c r="AY222" s="564">
        <f t="shared" ref="AY222:BD222" si="1362">SUM(AY223:AY231)-AY224</f>
        <v>78221.192920000001</v>
      </c>
      <c r="AZ222" s="564">
        <f t="shared" si="1362"/>
        <v>0</v>
      </c>
      <c r="BA222" s="564">
        <f t="shared" si="1362"/>
        <v>14893.6016</v>
      </c>
      <c r="BB222" s="564">
        <f t="shared" ref="BB222:BC222" si="1363">SUM(BB223:BB231)-BB224</f>
        <v>4674.8015999999998</v>
      </c>
      <c r="BC222" s="564">
        <f t="shared" si="1363"/>
        <v>10218.799999999999</v>
      </c>
      <c r="BD222" s="564">
        <f t="shared" si="1362"/>
        <v>63327.591320000007</v>
      </c>
      <c r="BE222" s="564">
        <f>SUM(BE223:BE231)-BE224</f>
        <v>0</v>
      </c>
      <c r="BF222" s="564">
        <f t="shared" si="1217"/>
        <v>25.898400000000038</v>
      </c>
      <c r="BG222" s="564">
        <f t="shared" si="1218"/>
        <v>0</v>
      </c>
      <c r="BH222" s="564">
        <f t="shared" si="1219"/>
        <v>25.898400000000038</v>
      </c>
      <c r="BI222" s="564">
        <f t="shared" si="1220"/>
        <v>25.898400000000038</v>
      </c>
      <c r="BJ222" s="564">
        <f t="shared" si="1221"/>
        <v>0</v>
      </c>
      <c r="BK222" s="564">
        <f t="shared" si="1222"/>
        <v>0</v>
      </c>
      <c r="BL222" s="564" t="e">
        <f t="shared" ref="BL222:BQ222" si="1364">SUM(BL223:BL231)-BL224</f>
        <v>#REF!</v>
      </c>
      <c r="BM222" s="564">
        <f t="shared" si="1364"/>
        <v>4485</v>
      </c>
      <c r="BN222" s="564">
        <f t="shared" si="1364"/>
        <v>0</v>
      </c>
      <c r="BO222" s="564">
        <f t="shared" si="1364"/>
        <v>4485</v>
      </c>
      <c r="BP222" s="564">
        <f t="shared" si="1364"/>
        <v>0</v>
      </c>
      <c r="BQ222" s="564">
        <f t="shared" si="1364"/>
        <v>0</v>
      </c>
      <c r="BR222" s="564">
        <f t="shared" ref="BR222:DB222" si="1365">SUM(BR223:BR231)-BR224</f>
        <v>0</v>
      </c>
      <c r="BS222" s="564">
        <f t="shared" si="1365"/>
        <v>0</v>
      </c>
      <c r="BT222" s="564">
        <f t="shared" si="1365"/>
        <v>0</v>
      </c>
      <c r="BU222" s="564">
        <f t="shared" si="1365"/>
        <v>0</v>
      </c>
      <c r="BV222" s="564">
        <f t="shared" si="1365"/>
        <v>0</v>
      </c>
      <c r="BW222" s="564">
        <f t="shared" si="1365"/>
        <v>77049.432400000005</v>
      </c>
      <c r="BX222" s="564">
        <f t="shared" si="1365"/>
        <v>0</v>
      </c>
      <c r="BY222" s="564">
        <f t="shared" si="1223"/>
        <v>13721.841079999998</v>
      </c>
      <c r="BZ222" s="564">
        <f t="shared" si="1365"/>
        <v>4319.2665399999996</v>
      </c>
      <c r="CA222" s="564">
        <f t="shared" si="1365"/>
        <v>9402.5745399999996</v>
      </c>
      <c r="CB222" s="564">
        <f t="shared" si="1365"/>
        <v>63327.591320000007</v>
      </c>
      <c r="CC222" s="564">
        <f t="shared" si="1365"/>
        <v>0</v>
      </c>
      <c r="CD222" s="564">
        <f t="shared" si="1365"/>
        <v>77049.432400000005</v>
      </c>
      <c r="CE222" s="564">
        <f t="shared" ref="CE222" si="1366">SUM(CE223:CE231)-CE224</f>
        <v>0</v>
      </c>
      <c r="CF222" s="564">
        <f t="shared" si="1224"/>
        <v>13721.841079999998</v>
      </c>
      <c r="CG222" s="564">
        <f t="shared" ref="CG222:CH222" si="1367">SUM(CG223:CG231)-CG224</f>
        <v>4319.2665399999996</v>
      </c>
      <c r="CH222" s="564">
        <f t="shared" si="1367"/>
        <v>9402.5745399999996</v>
      </c>
      <c r="CI222" s="564">
        <f t="shared" ref="CI222" si="1368">SUM(CI223:CI231)-CI224</f>
        <v>63327.591320000007</v>
      </c>
      <c r="CJ222" s="564">
        <f t="shared" si="1365"/>
        <v>0</v>
      </c>
      <c r="CK222" s="566">
        <f t="shared" si="1365"/>
        <v>9047.7729299999992</v>
      </c>
      <c r="CL222" s="564">
        <f t="shared" si="1365"/>
        <v>0</v>
      </c>
      <c r="CM222" s="564">
        <f>SUM(CM223:CM231)</f>
        <v>2776.9564499999997</v>
      </c>
      <c r="CN222" s="564">
        <f t="shared" si="1365"/>
        <v>825.6520099999999</v>
      </c>
      <c r="CO222" s="564">
        <f t="shared" si="1365"/>
        <v>1425.2684400000001</v>
      </c>
      <c r="CP222" s="564">
        <f t="shared" si="1365"/>
        <v>6270.8164800000004</v>
      </c>
      <c r="CQ222" s="564">
        <f t="shared" si="1365"/>
        <v>0</v>
      </c>
      <c r="CR222" s="564">
        <f t="shared" si="1365"/>
        <v>86097.205329999982</v>
      </c>
      <c r="CS222" s="564">
        <f t="shared" si="1226"/>
        <v>86097.205329999997</v>
      </c>
      <c r="CT222" s="564">
        <f t="shared" si="1227"/>
        <v>0</v>
      </c>
      <c r="CU222" s="564">
        <f t="shared" si="1228"/>
        <v>16498.797529999996</v>
      </c>
      <c r="CV222" s="564">
        <f t="shared" si="1229"/>
        <v>69598.407800000001</v>
      </c>
      <c r="CW222" s="564">
        <f t="shared" si="1365"/>
        <v>0</v>
      </c>
      <c r="CX222" s="564">
        <f t="shared" ca="1" si="1339"/>
        <v>0</v>
      </c>
      <c r="CY222" s="564">
        <f t="shared" si="1230"/>
        <v>0</v>
      </c>
      <c r="CZ222" s="564">
        <f t="shared" si="1231"/>
        <v>0</v>
      </c>
      <c r="DA222" s="564">
        <f t="shared" si="1232"/>
        <v>0</v>
      </c>
      <c r="DB222" s="57">
        <f t="shared" si="1365"/>
        <v>0</v>
      </c>
      <c r="DC222" s="225">
        <f>DD222+DF222-BR222</f>
        <v>4485</v>
      </c>
      <c r="DD222" s="226">
        <f t="shared" ref="DD222:DX222" si="1369">SUM(DD223:DD231)-DD224</f>
        <v>4485</v>
      </c>
      <c r="DE222" s="226">
        <f t="shared" si="1369"/>
        <v>4485</v>
      </c>
      <c r="DF222" s="57">
        <f t="shared" si="1369"/>
        <v>0</v>
      </c>
      <c r="DG222" s="57">
        <f t="shared" si="1369"/>
        <v>0</v>
      </c>
      <c r="DH222" s="57">
        <f t="shared" si="1369"/>
        <v>0</v>
      </c>
      <c r="DI222" s="57">
        <f t="shared" si="1369"/>
        <v>0</v>
      </c>
      <c r="DJ222" s="57">
        <f t="shared" si="1369"/>
        <v>0</v>
      </c>
      <c r="DK222" s="57">
        <f t="shared" si="1369"/>
        <v>0</v>
      </c>
      <c r="DL222" s="57">
        <f t="shared" si="1369"/>
        <v>0</v>
      </c>
      <c r="DM222" s="57">
        <f t="shared" si="1369"/>
        <v>0</v>
      </c>
      <c r="DN222" s="57">
        <f t="shared" si="1369"/>
        <v>0</v>
      </c>
      <c r="DO222" s="57">
        <f t="shared" si="1369"/>
        <v>0</v>
      </c>
      <c r="DP222" s="57">
        <f t="shared" si="1369"/>
        <v>0</v>
      </c>
      <c r="DQ222" s="57">
        <f t="shared" si="1369"/>
        <v>0</v>
      </c>
      <c r="DR222" s="57">
        <f t="shared" si="1369"/>
        <v>0</v>
      </c>
      <c r="DS222" s="57">
        <f t="shared" si="1369"/>
        <v>0</v>
      </c>
      <c r="DT222" s="57">
        <f t="shared" si="1369"/>
        <v>0</v>
      </c>
      <c r="DU222" s="57">
        <f t="shared" si="1369"/>
        <v>0</v>
      </c>
      <c r="DV222" s="57">
        <f t="shared" si="1369"/>
        <v>0</v>
      </c>
      <c r="DW222" s="57">
        <f t="shared" si="1369"/>
        <v>0</v>
      </c>
      <c r="DX222" s="57">
        <f t="shared" ca="1" si="1369"/>
        <v>0</v>
      </c>
      <c r="DY222" s="124"/>
      <c r="DZ222" s="57">
        <f>SUM(DZ223:DZ231)-DZ224</f>
        <v>77049.432400000005</v>
      </c>
      <c r="EA222" s="57">
        <f>SUM(EA223:EA231)-EA224</f>
        <v>77049.432400000005</v>
      </c>
      <c r="EB222" s="124"/>
      <c r="EC222" s="57">
        <f>SUM(EC223:EC231)-EC224</f>
        <v>77049.43240000002</v>
      </c>
      <c r="ED222" s="57">
        <f ca="1">SUM(ED223:ED231)-ED224</f>
        <v>0</v>
      </c>
      <c r="EE222" s="124"/>
      <c r="EF222" s="57">
        <f>SUM(EF223:EF231)-EF224</f>
        <v>-72564.432400000005</v>
      </c>
      <c r="EG222" s="124">
        <f ca="1">DX222-EF222</f>
        <v>72564.432400000005</v>
      </c>
      <c r="EH222" s="124"/>
      <c r="EI222" s="57">
        <f t="shared" si="1196"/>
        <v>77049.432400000005</v>
      </c>
      <c r="EJ222" s="57">
        <f t="shared" ref="EJ222:EN222" si="1370">SUM(EJ223:EJ231)-EJ224</f>
        <v>0</v>
      </c>
      <c r="EK222" s="57">
        <f t="shared" si="1233"/>
        <v>13721.841079999998</v>
      </c>
      <c r="EL222" s="57">
        <f t="shared" ref="EL222:EM222" si="1371">SUM(EL223:EL231)-EL224</f>
        <v>4319.2665399999996</v>
      </c>
      <c r="EM222" s="57">
        <f t="shared" si="1371"/>
        <v>9402.5745399999996</v>
      </c>
      <c r="EN222" s="57">
        <f t="shared" si="1370"/>
        <v>63327.591320000007</v>
      </c>
      <c r="EO222" s="57">
        <f t="shared" ref="EO222" si="1372">SUM(EO223:EO231)-EO224</f>
        <v>0</v>
      </c>
      <c r="EP222" s="57">
        <f t="shared" si="1234"/>
        <v>9047.7729299999992</v>
      </c>
      <c r="EQ222" s="57">
        <f t="shared" ref="EQ222" si="1373">SUM(EQ223:EQ231)-EQ224</f>
        <v>0</v>
      </c>
      <c r="ER222" s="57">
        <f>SUM(ER223:ER231)</f>
        <v>2776.9564499999997</v>
      </c>
      <c r="ES222" s="57">
        <f t="shared" ref="ES222:EU222" si="1374">SUM(ES223:ES231)-ES224</f>
        <v>991.39100999999994</v>
      </c>
      <c r="ET222" s="57">
        <f t="shared" si="1374"/>
        <v>1785.5654400000001</v>
      </c>
      <c r="EU222" s="57">
        <f t="shared" si="1374"/>
        <v>6270.8164800000004</v>
      </c>
      <c r="EV222" s="140">
        <f t="shared" ref="EV222" si="1375">SUM(EV223:EV231)-EV224</f>
        <v>0</v>
      </c>
      <c r="EW222" s="57">
        <f t="shared" si="1289"/>
        <v>0</v>
      </c>
      <c r="EX222" s="57">
        <f>AZ222</f>
        <v>0</v>
      </c>
      <c r="EY222" s="57">
        <f t="shared" ref="EY222" si="1376">SUM(EY223:EY231)-EY224</f>
        <v>0</v>
      </c>
      <c r="EZ222" s="390"/>
      <c r="FA222" s="390"/>
      <c r="FB222" s="57">
        <f t="shared" si="1291"/>
        <v>0</v>
      </c>
      <c r="FC222" s="57">
        <f>SUM(FC223:FC231)</f>
        <v>0</v>
      </c>
      <c r="FD222" s="57">
        <f>SUM(FD223:FD231)</f>
        <v>0</v>
      </c>
      <c r="FE222" s="390"/>
      <c r="FF222" s="390"/>
      <c r="FG222" s="390"/>
      <c r="FH222" s="304">
        <f t="shared" ref="FH222" si="1377">SUM(FH223:FH231)</f>
        <v>0</v>
      </c>
      <c r="FI222" s="57">
        <f t="shared" si="1293"/>
        <v>0</v>
      </c>
      <c r="FJ222" s="295"/>
      <c r="FK222" s="57">
        <f t="shared" si="1237"/>
        <v>14893.6016</v>
      </c>
      <c r="FL222" s="57">
        <f t="shared" si="1321"/>
        <v>14893.6016</v>
      </c>
      <c r="FM222" s="57">
        <f t="shared" ref="FM222" si="1378">SUM(FM223:FM231)-FM224</f>
        <v>0</v>
      </c>
      <c r="FN222" s="390"/>
      <c r="FO222" s="390"/>
      <c r="FP222" s="57">
        <f t="shared" si="1238"/>
        <v>16498.797530000003</v>
      </c>
      <c r="FQ222" s="57">
        <f>SUM(FQ223:FQ231)</f>
        <v>13721.841080000002</v>
      </c>
      <c r="FR222" s="57">
        <f>SUM(FR223:FR231)</f>
        <v>2776.9564499999997</v>
      </c>
      <c r="FS222" s="390"/>
      <c r="FT222" s="390"/>
      <c r="FU222" s="390"/>
      <c r="FV222" s="57">
        <f t="shared" ref="FV222" si="1379">SUM(FV223:FV231)</f>
        <v>16498.79753</v>
      </c>
      <c r="FW222" s="57">
        <f t="shared" si="1239"/>
        <v>-2776.9564499999979</v>
      </c>
      <c r="FX222" s="57">
        <f t="shared" ref="FX222" si="1380">FY222+FZ222+GA222</f>
        <v>63327.591320000007</v>
      </c>
      <c r="FY222" s="57">
        <f>BD222</f>
        <v>63327.591320000007</v>
      </c>
      <c r="FZ222" s="57">
        <f t="shared" ref="FZ222" si="1381">SUM(FZ223:FZ231)-FZ224</f>
        <v>0</v>
      </c>
      <c r="GA222" s="390"/>
      <c r="GB222" s="390"/>
      <c r="GC222" s="57">
        <f t="shared" si="1298"/>
        <v>69598.407800000001</v>
      </c>
      <c r="GD222" s="57">
        <f t="shared" si="1343"/>
        <v>63327.591320000007</v>
      </c>
      <c r="GE222" s="57">
        <f t="shared" si="1344"/>
        <v>6270.8164800000004</v>
      </c>
      <c r="GF222" s="390"/>
      <c r="GG222" s="390"/>
      <c r="GH222" s="390"/>
      <c r="GI222" s="304">
        <f t="shared" si="1095"/>
        <v>0</v>
      </c>
      <c r="GJ222" s="77">
        <f t="shared" si="1299"/>
        <v>63327.591320000007</v>
      </c>
      <c r="GK222" s="462">
        <f t="shared" si="1215"/>
        <v>0.98469388574327898</v>
      </c>
    </row>
    <row r="223" spans="2:193" s="37" customFormat="1" ht="15.75" customHeight="1" x14ac:dyDescent="0.25">
      <c r="B223" s="29">
        <v>1</v>
      </c>
      <c r="C223" s="30"/>
      <c r="D223" s="30"/>
      <c r="E223" s="493">
        <v>186</v>
      </c>
      <c r="F223" s="29"/>
      <c r="G223" s="30"/>
      <c r="H223" s="30"/>
      <c r="M223" s="493">
        <v>161</v>
      </c>
      <c r="N223" s="494" t="s">
        <v>239</v>
      </c>
      <c r="O223" s="127" t="s">
        <v>335</v>
      </c>
      <c r="P223" s="127">
        <f t="shared" si="1236"/>
        <v>0</v>
      </c>
      <c r="Q223" s="127"/>
      <c r="R223" s="127"/>
      <c r="S223" s="127" t="s">
        <v>524</v>
      </c>
      <c r="T223" s="476">
        <v>2</v>
      </c>
      <c r="U223" s="127"/>
      <c r="V223" s="2">
        <f t="shared" si="1216"/>
        <v>652.9</v>
      </c>
      <c r="W223" s="2"/>
      <c r="X223" s="198">
        <f t="shared" si="1031"/>
        <v>652.9</v>
      </c>
      <c r="Y223" s="198">
        <v>205.7</v>
      </c>
      <c r="Z223" s="42">
        <v>447.2</v>
      </c>
      <c r="AA223" s="2"/>
      <c r="AB223" s="567">
        <f t="shared" ref="AB223:AB231" si="1382">AC223+AD223+AG223+AH223</f>
        <v>652.9</v>
      </c>
      <c r="AC223" s="567"/>
      <c r="AD223" s="568">
        <f t="shared" si="1032"/>
        <v>652.9</v>
      </c>
      <c r="AE223" s="568">
        <v>205.7</v>
      </c>
      <c r="AF223" s="569">
        <v>447.2</v>
      </c>
      <c r="AG223" s="567"/>
      <c r="AH223" s="573"/>
      <c r="AI223" s="567">
        <f t="shared" ref="AI223:AI231" si="1383">AJ223+AK223+AL223+AM223</f>
        <v>0</v>
      </c>
      <c r="AJ223" s="567"/>
      <c r="AK223" s="568"/>
      <c r="AL223" s="567"/>
      <c r="AM223" s="573"/>
      <c r="AN223" s="567">
        <f t="shared" ref="AN223:AN231" si="1384">AO223+AP223+AQ223+AR223</f>
        <v>0</v>
      </c>
      <c r="AO223" s="567"/>
      <c r="AP223" s="568"/>
      <c r="AQ223" s="567"/>
      <c r="AR223" s="573"/>
      <c r="AS223" s="567">
        <f t="shared" ref="AS223:AS231" si="1385">AT223+AU223+AV223+AW223</f>
        <v>0</v>
      </c>
      <c r="AT223" s="567"/>
      <c r="AU223" s="568"/>
      <c r="AV223" s="567"/>
      <c r="AW223" s="567"/>
      <c r="AX223" s="409" t="s">
        <v>397</v>
      </c>
      <c r="AY223" s="567">
        <f t="shared" ref="AY223:AY231" si="1386">AZ223+BA223+BD223+BE223</f>
        <v>652.9</v>
      </c>
      <c r="AZ223" s="567"/>
      <c r="BA223" s="568">
        <f t="shared" ref="BA223:BA231" si="1387">BB223+BC223</f>
        <v>652.9</v>
      </c>
      <c r="BB223" s="568">
        <v>205.7</v>
      </c>
      <c r="BC223" s="569">
        <v>447.2</v>
      </c>
      <c r="BD223" s="567"/>
      <c r="BE223" s="567"/>
      <c r="BF223" s="567">
        <f t="shared" si="1217"/>
        <v>0</v>
      </c>
      <c r="BG223" s="567">
        <f t="shared" si="1218"/>
        <v>0</v>
      </c>
      <c r="BH223" s="567">
        <f t="shared" si="1219"/>
        <v>0</v>
      </c>
      <c r="BI223" s="567">
        <f t="shared" si="1220"/>
        <v>0</v>
      </c>
      <c r="BJ223" s="567">
        <f t="shared" si="1221"/>
        <v>0</v>
      </c>
      <c r="BK223" s="567">
        <f t="shared" si="1222"/>
        <v>0</v>
      </c>
      <c r="BL223" s="567" t="e">
        <f>#REF!-BE223</f>
        <v>#REF!</v>
      </c>
      <c r="BM223" s="567">
        <f t="shared" ref="BM223:BM231" si="1388">BN223+BO223+BP223+BQ223</f>
        <v>0</v>
      </c>
      <c r="BN223" s="567"/>
      <c r="BO223" s="567"/>
      <c r="BP223" s="567"/>
      <c r="BQ223" s="567"/>
      <c r="BR223" s="567">
        <f t="shared" ref="BR223:BR231" si="1389">BS223+BT223+BU223+BV223</f>
        <v>0</v>
      </c>
      <c r="BS223" s="567"/>
      <c r="BT223" s="567"/>
      <c r="BU223" s="567"/>
      <c r="BV223" s="567"/>
      <c r="BW223" s="567">
        <f t="shared" ref="BW223:BW231" si="1390">BX223+BY223+CB223+CC223</f>
        <v>648.71812</v>
      </c>
      <c r="BX223" s="567"/>
      <c r="BY223" s="567">
        <f t="shared" si="1223"/>
        <v>648.71812</v>
      </c>
      <c r="BZ223" s="574">
        <v>204.38247999999999</v>
      </c>
      <c r="CA223" s="574">
        <v>444.33564000000001</v>
      </c>
      <c r="CB223" s="567"/>
      <c r="CC223" s="606"/>
      <c r="CD223" s="567">
        <f t="shared" ref="CD223:CD231" si="1391">CE223+CF223+CI223+CJ223</f>
        <v>648.71812</v>
      </c>
      <c r="CE223" s="567"/>
      <c r="CF223" s="567">
        <f t="shared" si="1224"/>
        <v>648.71812</v>
      </c>
      <c r="CG223" s="574">
        <v>204.38247999999999</v>
      </c>
      <c r="CH223" s="574">
        <v>444.33564000000001</v>
      </c>
      <c r="CI223" s="567"/>
      <c r="CJ223" s="567"/>
      <c r="CK223" s="567">
        <f t="shared" ref="CK223:CK231" si="1392">CL223+CM223+CP223+CQ223</f>
        <v>731.28188</v>
      </c>
      <c r="CL223" s="567"/>
      <c r="CM223" s="567">
        <f t="shared" si="1225"/>
        <v>731.28188</v>
      </c>
      <c r="CN223" s="567">
        <v>45.293019999999999</v>
      </c>
      <c r="CO223" s="567">
        <v>685.98886000000005</v>
      </c>
      <c r="CP223" s="567"/>
      <c r="CQ223" s="567"/>
      <c r="CR223" s="573">
        <f t="shared" ref="CR223:CR231" si="1393">CS223</f>
        <v>1380</v>
      </c>
      <c r="CS223" s="567">
        <f t="shared" si="1226"/>
        <v>1380</v>
      </c>
      <c r="CT223" s="567">
        <f t="shared" si="1227"/>
        <v>0</v>
      </c>
      <c r="CU223" s="567">
        <f t="shared" si="1228"/>
        <v>1380</v>
      </c>
      <c r="CV223" s="567">
        <f t="shared" si="1229"/>
        <v>0</v>
      </c>
      <c r="CW223" s="567">
        <f t="shared" ref="CW223:CW231" si="1394">CJ223+CQ223</f>
        <v>0</v>
      </c>
      <c r="CX223" s="567">
        <f t="shared" ca="1" si="1339"/>
        <v>0</v>
      </c>
      <c r="CY223" s="567">
        <f t="shared" si="1230"/>
        <v>0</v>
      </c>
      <c r="CZ223" s="567">
        <f t="shared" si="1231"/>
        <v>0</v>
      </c>
      <c r="DA223" s="567">
        <f t="shared" si="1232"/>
        <v>0</v>
      </c>
      <c r="DB223" s="2">
        <f t="shared" ref="DB223:DB231" si="1395">CC223-CJ223</f>
        <v>0</v>
      </c>
      <c r="DC223" s="76"/>
      <c r="DD223" s="253">
        <f>BM223</f>
        <v>0</v>
      </c>
      <c r="DE223" s="253">
        <f>DD223</f>
        <v>0</v>
      </c>
      <c r="DF223" s="2">
        <f t="shared" ref="DF223:DF231" si="1396">DG223+DH223+DI223+DJ223</f>
        <v>0</v>
      </c>
      <c r="DG223" s="2"/>
      <c r="DH223" s="2"/>
      <c r="DI223" s="2"/>
      <c r="DJ223" s="2"/>
      <c r="DK223" s="2">
        <f t="shared" ref="DK223:DK231" si="1397">DL223+DM223+DN223+DO223</f>
        <v>0</v>
      </c>
      <c r="DL223" s="2"/>
      <c r="DM223" s="2"/>
      <c r="DN223" s="2"/>
      <c r="DO223" s="2"/>
      <c r="DP223" s="2">
        <f t="shared" ref="DP223:DP231" si="1398">DQ223+DR223+DS223+DT223</f>
        <v>0</v>
      </c>
      <c r="DQ223" s="2"/>
      <c r="DR223" s="2"/>
      <c r="DS223" s="2"/>
      <c r="DT223" s="2"/>
      <c r="DU223" s="2"/>
      <c r="DV223" s="2"/>
      <c r="DW223" s="2"/>
      <c r="DX223" s="2">
        <f t="shared" ref="DX223:DX231" ca="1" si="1399">CX223+DP223+DW223</f>
        <v>0</v>
      </c>
      <c r="DY223" s="46"/>
      <c r="DZ223" s="2">
        <f t="shared" ref="DZ223:DZ231" si="1400">BW223+DF223+DU223</f>
        <v>648.71812</v>
      </c>
      <c r="EA223" s="2">
        <f t="shared" ref="EA223:EA231" si="1401">CD223+DK223+DV223</f>
        <v>648.71812</v>
      </c>
      <c r="EB223" s="46"/>
      <c r="EC223" s="2">
        <f t="shared" ref="EC223:EC224" si="1402">EA223</f>
        <v>648.71812</v>
      </c>
      <c r="ED223" s="2">
        <f t="shared" ref="ED223:ED224" ca="1" si="1403">DX223</f>
        <v>0</v>
      </c>
      <c r="EE223" s="46"/>
      <c r="EF223" s="2">
        <f>DE223-EC223</f>
        <v>-648.71812</v>
      </c>
      <c r="EG223" s="46"/>
      <c r="EH223" s="46"/>
      <c r="EI223" s="2">
        <f t="shared" si="1196"/>
        <v>648.71812</v>
      </c>
      <c r="EJ223" s="2"/>
      <c r="EK223" s="2">
        <f t="shared" si="1233"/>
        <v>648.71812</v>
      </c>
      <c r="EL223" s="432">
        <v>204.38247999999999</v>
      </c>
      <c r="EM223" s="432">
        <v>444.33564000000001</v>
      </c>
      <c r="EN223" s="2"/>
      <c r="EO223" s="2"/>
      <c r="EP223" s="2">
        <f t="shared" si="1234"/>
        <v>731.28188</v>
      </c>
      <c r="EQ223" s="2"/>
      <c r="ER223" s="2">
        <f t="shared" si="1235"/>
        <v>731.28188</v>
      </c>
      <c r="ES223" s="2">
        <v>45.293019999999999</v>
      </c>
      <c r="ET223" s="2">
        <v>685.98886000000005</v>
      </c>
      <c r="EU223" s="2"/>
      <c r="EV223" s="141"/>
      <c r="EW223" s="310"/>
      <c r="EX223" s="310"/>
      <c r="EY223" s="310"/>
      <c r="EZ223" s="396"/>
      <c r="FA223" s="396"/>
      <c r="FB223" s="310"/>
      <c r="FC223" s="310"/>
      <c r="FD223" s="310"/>
      <c r="FE223" s="396"/>
      <c r="FF223" s="396"/>
      <c r="FG223" s="396"/>
      <c r="FH223" s="311"/>
      <c r="FI223" s="310"/>
      <c r="FJ223" s="296" t="e">
        <f t="shared" ref="FJ223:FJ231" si="1404">FH223/FE223</f>
        <v>#DIV/0!</v>
      </c>
      <c r="FK223" s="353">
        <f t="shared" si="1237"/>
        <v>652.9</v>
      </c>
      <c r="FL223" s="353">
        <f t="shared" si="1321"/>
        <v>652.9</v>
      </c>
      <c r="FM223" s="353"/>
      <c r="FN223" s="388">
        <f t="shared" ref="FN223:FN231" si="1405">FL223/FK223</f>
        <v>1</v>
      </c>
      <c r="FO223" s="388">
        <f t="shared" ref="FO223:FO231" si="1406">FM223/FK223</f>
        <v>0</v>
      </c>
      <c r="FP223" s="353">
        <f t="shared" si="1238"/>
        <v>1380</v>
      </c>
      <c r="FQ223" s="353">
        <f t="shared" ref="FQ223:FQ231" si="1407">EK223</f>
        <v>648.71812</v>
      </c>
      <c r="FR223" s="353">
        <f t="shared" ref="FR223:FR231" si="1408">ER223</f>
        <v>731.28188</v>
      </c>
      <c r="FS223" s="388">
        <f t="shared" ref="FS223:FS231" si="1409">FQ223/FP223</f>
        <v>0.47008559420289853</v>
      </c>
      <c r="FT223" s="388">
        <f t="shared" ref="FT223:FT231" si="1410">FR223/FP223</f>
        <v>0.52991440579710147</v>
      </c>
      <c r="FU223" s="388"/>
      <c r="FV223" s="353">
        <f t="shared" ref="FV223:FV231" si="1411">FP223*FN223</f>
        <v>1380</v>
      </c>
      <c r="FW223" s="353">
        <f t="shared" si="1239"/>
        <v>-731.28188</v>
      </c>
      <c r="FX223" s="310"/>
      <c r="FY223" s="310"/>
      <c r="FZ223" s="310"/>
      <c r="GA223" s="396"/>
      <c r="GB223" s="396"/>
      <c r="GC223" s="310"/>
      <c r="GD223" s="310"/>
      <c r="GE223" s="310"/>
      <c r="GF223" s="396"/>
      <c r="GG223" s="396"/>
      <c r="GH223" s="396"/>
      <c r="GI223" s="311"/>
      <c r="GJ223" s="344"/>
      <c r="GK223" s="303">
        <f t="shared" si="1215"/>
        <v>0.99359491499463937</v>
      </c>
    </row>
    <row r="224" spans="2:193" s="37" customFormat="1" ht="15.6" hidden="1" customHeight="1" x14ac:dyDescent="0.25">
      <c r="B224" s="29"/>
      <c r="C224" s="30"/>
      <c r="D224" s="30"/>
      <c r="E224" s="493"/>
      <c r="F224" s="29"/>
      <c r="G224" s="30"/>
      <c r="H224" s="30"/>
      <c r="M224" s="493"/>
      <c r="N224" s="18" t="s">
        <v>246</v>
      </c>
      <c r="O224" s="128"/>
      <c r="P224" s="128">
        <f t="shared" si="1236"/>
        <v>0</v>
      </c>
      <c r="Q224" s="128"/>
      <c r="R224" s="128"/>
      <c r="S224" s="128"/>
      <c r="T224" s="128"/>
      <c r="U224" s="128"/>
      <c r="V224" s="2">
        <f t="shared" si="1216"/>
        <v>0</v>
      </c>
      <c r="W224" s="2"/>
      <c r="X224" s="198">
        <f t="shared" si="1031"/>
        <v>0</v>
      </c>
      <c r="Y224" s="198"/>
      <c r="Z224" s="42"/>
      <c r="AA224" s="2"/>
      <c r="AB224" s="567">
        <f t="shared" si="1382"/>
        <v>0</v>
      </c>
      <c r="AC224" s="567"/>
      <c r="AD224" s="568">
        <f t="shared" si="1032"/>
        <v>0</v>
      </c>
      <c r="AE224" s="568"/>
      <c r="AF224" s="569"/>
      <c r="AG224" s="567"/>
      <c r="AH224" s="573"/>
      <c r="AI224" s="567">
        <f t="shared" si="1383"/>
        <v>0</v>
      </c>
      <c r="AJ224" s="567"/>
      <c r="AK224" s="568"/>
      <c r="AL224" s="567"/>
      <c r="AM224" s="573"/>
      <c r="AN224" s="567">
        <f t="shared" si="1384"/>
        <v>0</v>
      </c>
      <c r="AO224" s="567"/>
      <c r="AP224" s="568"/>
      <c r="AQ224" s="567"/>
      <c r="AR224" s="573"/>
      <c r="AS224" s="567">
        <f t="shared" si="1385"/>
        <v>0</v>
      </c>
      <c r="AT224" s="567"/>
      <c r="AU224" s="568"/>
      <c r="AV224" s="567"/>
      <c r="AW224" s="567"/>
      <c r="AX224" s="409"/>
      <c r="AY224" s="567">
        <f t="shared" si="1386"/>
        <v>0</v>
      </c>
      <c r="AZ224" s="567"/>
      <c r="BA224" s="567">
        <f t="shared" si="1387"/>
        <v>0</v>
      </c>
      <c r="BB224" s="567"/>
      <c r="BC224" s="567"/>
      <c r="BD224" s="567"/>
      <c r="BE224" s="567"/>
      <c r="BF224" s="567">
        <f t="shared" si="1217"/>
        <v>0</v>
      </c>
      <c r="BG224" s="567">
        <f t="shared" si="1218"/>
        <v>0</v>
      </c>
      <c r="BH224" s="567">
        <f t="shared" si="1219"/>
        <v>0</v>
      </c>
      <c r="BI224" s="567">
        <f t="shared" si="1220"/>
        <v>0</v>
      </c>
      <c r="BJ224" s="567">
        <f t="shared" si="1221"/>
        <v>0</v>
      </c>
      <c r="BK224" s="567">
        <f t="shared" si="1222"/>
        <v>0</v>
      </c>
      <c r="BL224" s="567" t="e">
        <f>#REF!-BE224</f>
        <v>#REF!</v>
      </c>
      <c r="BM224" s="567">
        <f t="shared" si="1388"/>
        <v>0</v>
      </c>
      <c r="BN224" s="567"/>
      <c r="BO224" s="567"/>
      <c r="BP224" s="567"/>
      <c r="BQ224" s="567"/>
      <c r="BR224" s="567">
        <f t="shared" si="1389"/>
        <v>0</v>
      </c>
      <c r="BS224" s="567"/>
      <c r="BT224" s="567"/>
      <c r="BU224" s="567"/>
      <c r="BV224" s="567"/>
      <c r="BW224" s="567">
        <f t="shared" si="1390"/>
        <v>0</v>
      </c>
      <c r="BX224" s="567"/>
      <c r="BY224" s="567">
        <f t="shared" si="1223"/>
        <v>0</v>
      </c>
      <c r="BZ224" s="574"/>
      <c r="CA224" s="574"/>
      <c r="CB224" s="567"/>
      <c r="CC224" s="606"/>
      <c r="CD224" s="567">
        <f t="shared" si="1391"/>
        <v>0</v>
      </c>
      <c r="CE224" s="567"/>
      <c r="CF224" s="567">
        <f t="shared" si="1224"/>
        <v>0</v>
      </c>
      <c r="CG224" s="574"/>
      <c r="CH224" s="574"/>
      <c r="CI224" s="567"/>
      <c r="CJ224" s="567"/>
      <c r="CK224" s="567">
        <f t="shared" si="1392"/>
        <v>0</v>
      </c>
      <c r="CL224" s="567"/>
      <c r="CM224" s="567">
        <f t="shared" si="1225"/>
        <v>0</v>
      </c>
      <c r="CN224" s="567"/>
      <c r="CO224" s="567"/>
      <c r="CP224" s="567"/>
      <c r="CQ224" s="567"/>
      <c r="CR224" s="573">
        <f t="shared" si="1393"/>
        <v>0</v>
      </c>
      <c r="CS224" s="567">
        <f t="shared" si="1226"/>
        <v>0</v>
      </c>
      <c r="CT224" s="567">
        <f t="shared" si="1227"/>
        <v>0</v>
      </c>
      <c r="CU224" s="567">
        <f t="shared" si="1228"/>
        <v>0</v>
      </c>
      <c r="CV224" s="567">
        <f t="shared" si="1229"/>
        <v>0</v>
      </c>
      <c r="CW224" s="567">
        <f t="shared" si="1394"/>
        <v>0</v>
      </c>
      <c r="CX224" s="567">
        <f t="shared" ca="1" si="1339"/>
        <v>0</v>
      </c>
      <c r="CY224" s="567">
        <f t="shared" si="1230"/>
        <v>0</v>
      </c>
      <c r="CZ224" s="567">
        <f t="shared" si="1231"/>
        <v>0</v>
      </c>
      <c r="DA224" s="567">
        <f t="shared" si="1232"/>
        <v>0</v>
      </c>
      <c r="DB224" s="2">
        <f t="shared" si="1395"/>
        <v>0</v>
      </c>
      <c r="DC224" s="76"/>
      <c r="DD224" s="253"/>
      <c r="DE224" s="253"/>
      <c r="DF224" s="2">
        <f t="shared" si="1396"/>
        <v>0</v>
      </c>
      <c r="DG224" s="2"/>
      <c r="DH224" s="2"/>
      <c r="DI224" s="2"/>
      <c r="DJ224" s="2"/>
      <c r="DK224" s="2">
        <f t="shared" si="1397"/>
        <v>0</v>
      </c>
      <c r="DL224" s="2"/>
      <c r="DM224" s="2"/>
      <c r="DN224" s="2"/>
      <c r="DO224" s="2"/>
      <c r="DP224" s="2">
        <f t="shared" si="1398"/>
        <v>0</v>
      </c>
      <c r="DQ224" s="2"/>
      <c r="DR224" s="2"/>
      <c r="DS224" s="2"/>
      <c r="DT224" s="2"/>
      <c r="DU224" s="2"/>
      <c r="DV224" s="2"/>
      <c r="DW224" s="2"/>
      <c r="DX224" s="2">
        <f t="shared" ca="1" si="1399"/>
        <v>0</v>
      </c>
      <c r="DY224" s="46"/>
      <c r="DZ224" s="2">
        <f t="shared" si="1400"/>
        <v>0</v>
      </c>
      <c r="EA224" s="2">
        <f t="shared" si="1401"/>
        <v>0</v>
      </c>
      <c r="EB224" s="46"/>
      <c r="EC224" s="2">
        <f t="shared" si="1402"/>
        <v>0</v>
      </c>
      <c r="ED224" s="2">
        <f t="shared" ca="1" si="1403"/>
        <v>0</v>
      </c>
      <c r="EE224" s="46"/>
      <c r="EF224" s="2"/>
      <c r="EG224" s="46"/>
      <c r="EH224" s="46"/>
      <c r="EI224" s="2">
        <f t="shared" si="1196"/>
        <v>0</v>
      </c>
      <c r="EJ224" s="2"/>
      <c r="EK224" s="2">
        <f t="shared" si="1233"/>
        <v>0</v>
      </c>
      <c r="EL224" s="432"/>
      <c r="EM224" s="432"/>
      <c r="EN224" s="2"/>
      <c r="EO224" s="2"/>
      <c r="EP224" s="2">
        <f t="shared" si="1234"/>
        <v>0</v>
      </c>
      <c r="EQ224" s="2"/>
      <c r="ER224" s="2">
        <f t="shared" si="1235"/>
        <v>0</v>
      </c>
      <c r="ES224" s="2"/>
      <c r="ET224" s="2"/>
      <c r="EU224" s="2"/>
      <c r="EV224" s="141"/>
      <c r="EW224" s="310"/>
      <c r="EX224" s="310"/>
      <c r="EY224" s="310"/>
      <c r="EZ224" s="396"/>
      <c r="FA224" s="396"/>
      <c r="FB224" s="310"/>
      <c r="FC224" s="310"/>
      <c r="FD224" s="310"/>
      <c r="FE224" s="396"/>
      <c r="FF224" s="396"/>
      <c r="FG224" s="396"/>
      <c r="FH224" s="311"/>
      <c r="FI224" s="310"/>
      <c r="FJ224" s="296" t="e">
        <f t="shared" si="1404"/>
        <v>#DIV/0!</v>
      </c>
      <c r="FK224" s="353"/>
      <c r="FL224" s="353"/>
      <c r="FM224" s="353"/>
      <c r="FN224" s="388"/>
      <c r="FO224" s="388"/>
      <c r="FP224" s="353"/>
      <c r="FQ224" s="353"/>
      <c r="FR224" s="353"/>
      <c r="FS224" s="388"/>
      <c r="FT224" s="388"/>
      <c r="FU224" s="388"/>
      <c r="FV224" s="353"/>
      <c r="FW224" s="353">
        <f t="shared" si="1239"/>
        <v>0</v>
      </c>
      <c r="FX224" s="310"/>
      <c r="FY224" s="310"/>
      <c r="FZ224" s="310"/>
      <c r="GA224" s="396"/>
      <c r="GB224" s="396"/>
      <c r="GC224" s="310"/>
      <c r="GD224" s="310"/>
      <c r="GE224" s="310"/>
      <c r="GF224" s="396"/>
      <c r="GG224" s="396"/>
      <c r="GH224" s="396"/>
      <c r="GI224" s="311"/>
      <c r="GJ224" s="344"/>
      <c r="GK224" s="303" t="e">
        <f t="shared" si="1215"/>
        <v>#DIV/0!</v>
      </c>
    </row>
    <row r="225" spans="2:193" s="37" customFormat="1" ht="15.6" customHeight="1" x14ac:dyDescent="0.25">
      <c r="B225" s="29"/>
      <c r="C225" s="30"/>
      <c r="D225" s="30">
        <v>1</v>
      </c>
      <c r="E225" s="493">
        <v>187</v>
      </c>
      <c r="F225" s="29"/>
      <c r="G225" s="30"/>
      <c r="H225" s="30"/>
      <c r="I225" s="493"/>
      <c r="J225" s="494"/>
      <c r="K225" s="494"/>
      <c r="L225" s="53"/>
      <c r="M225" s="493">
        <v>162</v>
      </c>
      <c r="N225" s="494" t="s">
        <v>146</v>
      </c>
      <c r="O225" s="494"/>
      <c r="P225" s="494">
        <f t="shared" si="1236"/>
        <v>0</v>
      </c>
      <c r="Q225" s="494" t="s">
        <v>701</v>
      </c>
      <c r="R225" s="494" t="s">
        <v>700</v>
      </c>
      <c r="S225" s="494" t="s">
        <v>527</v>
      </c>
      <c r="T225" s="156">
        <v>2</v>
      </c>
      <c r="U225" s="493"/>
      <c r="V225" s="2">
        <f t="shared" si="1216"/>
        <v>1376.1</v>
      </c>
      <c r="W225" s="2"/>
      <c r="X225" s="198">
        <f t="shared" si="1031"/>
        <v>1376.1</v>
      </c>
      <c r="Y225" s="198">
        <v>433.6</v>
      </c>
      <c r="Z225" s="42">
        <v>942.5</v>
      </c>
      <c r="AA225" s="2"/>
      <c r="AB225" s="567">
        <f t="shared" si="1382"/>
        <v>1376.1</v>
      </c>
      <c r="AC225" s="567"/>
      <c r="AD225" s="568">
        <f t="shared" si="1032"/>
        <v>1376.1</v>
      </c>
      <c r="AE225" s="568">
        <v>433.6</v>
      </c>
      <c r="AF225" s="569">
        <v>942.5</v>
      </c>
      <c r="AG225" s="567"/>
      <c r="AH225" s="570"/>
      <c r="AI225" s="567">
        <f t="shared" si="1383"/>
        <v>464.6</v>
      </c>
      <c r="AJ225" s="567"/>
      <c r="AK225" s="568">
        <v>464.6</v>
      </c>
      <c r="AL225" s="567"/>
      <c r="AM225" s="570"/>
      <c r="AN225" s="567">
        <f t="shared" si="1384"/>
        <v>464.6</v>
      </c>
      <c r="AO225" s="567"/>
      <c r="AP225" s="568">
        <v>464.6</v>
      </c>
      <c r="AQ225" s="567"/>
      <c r="AR225" s="570"/>
      <c r="AS225" s="567">
        <f t="shared" si="1385"/>
        <v>202</v>
      </c>
      <c r="AT225" s="567"/>
      <c r="AU225" s="568">
        <v>202</v>
      </c>
      <c r="AV225" s="567"/>
      <c r="AW225" s="570"/>
      <c r="AX225" s="409" t="s">
        <v>399</v>
      </c>
      <c r="AY225" s="567">
        <f t="shared" si="1386"/>
        <v>1376.1</v>
      </c>
      <c r="AZ225" s="567"/>
      <c r="BA225" s="568">
        <f t="shared" si="1387"/>
        <v>1376.1</v>
      </c>
      <c r="BB225" s="568">
        <v>433.6</v>
      </c>
      <c r="BC225" s="569">
        <v>942.5</v>
      </c>
      <c r="BD225" s="567"/>
      <c r="BE225" s="567"/>
      <c r="BF225" s="567">
        <f t="shared" si="1217"/>
        <v>0</v>
      </c>
      <c r="BG225" s="567">
        <f t="shared" si="1218"/>
        <v>0</v>
      </c>
      <c r="BH225" s="567">
        <f t="shared" si="1219"/>
        <v>0</v>
      </c>
      <c r="BI225" s="567">
        <f t="shared" si="1220"/>
        <v>0</v>
      </c>
      <c r="BJ225" s="567">
        <f t="shared" si="1221"/>
        <v>0</v>
      </c>
      <c r="BK225" s="567">
        <f t="shared" si="1222"/>
        <v>0</v>
      </c>
      <c r="BL225" s="567" t="e">
        <f>#REF!-BE225</f>
        <v>#REF!</v>
      </c>
      <c r="BM225" s="567">
        <f t="shared" si="1388"/>
        <v>464.6</v>
      </c>
      <c r="BN225" s="567"/>
      <c r="BO225" s="568">
        <f>202+262.6</f>
        <v>464.6</v>
      </c>
      <c r="BP225" s="567"/>
      <c r="BQ225" s="567"/>
      <c r="BR225" s="567">
        <f t="shared" si="1389"/>
        <v>0</v>
      </c>
      <c r="BS225" s="567"/>
      <c r="BT225" s="567"/>
      <c r="BU225" s="567"/>
      <c r="BV225" s="567"/>
      <c r="BW225" s="567">
        <f t="shared" si="1390"/>
        <v>1319.5500000000002</v>
      </c>
      <c r="BX225" s="567"/>
      <c r="BY225" s="568">
        <f t="shared" si="1223"/>
        <v>1319.5500000000002</v>
      </c>
      <c r="BZ225" s="578">
        <v>433.6</v>
      </c>
      <c r="CA225" s="571">
        <v>885.95</v>
      </c>
      <c r="CB225" s="567"/>
      <c r="CC225" s="567"/>
      <c r="CD225" s="567">
        <f t="shared" si="1391"/>
        <v>1319.5500000000002</v>
      </c>
      <c r="CE225" s="567"/>
      <c r="CF225" s="568">
        <f t="shared" si="1224"/>
        <v>1319.5500000000002</v>
      </c>
      <c r="CG225" s="578">
        <v>433.6</v>
      </c>
      <c r="CH225" s="571">
        <v>885.95</v>
      </c>
      <c r="CI225" s="567"/>
      <c r="CJ225" s="567"/>
      <c r="CK225" s="567">
        <f t="shared" si="1392"/>
        <v>250.68099999999998</v>
      </c>
      <c r="CL225" s="567"/>
      <c r="CM225" s="567">
        <f t="shared" si="1225"/>
        <v>250.68099999999998</v>
      </c>
      <c r="CN225" s="567">
        <v>149.631</v>
      </c>
      <c r="CO225" s="567">
        <v>101.05</v>
      </c>
      <c r="CP225" s="567"/>
      <c r="CQ225" s="567"/>
      <c r="CR225" s="573">
        <f t="shared" si="1393"/>
        <v>1570.2310000000002</v>
      </c>
      <c r="CS225" s="567">
        <f t="shared" si="1226"/>
        <v>1570.2310000000002</v>
      </c>
      <c r="CT225" s="567">
        <f t="shared" si="1227"/>
        <v>0</v>
      </c>
      <c r="CU225" s="567">
        <f t="shared" si="1228"/>
        <v>1570.2310000000002</v>
      </c>
      <c r="CV225" s="567">
        <f t="shared" si="1229"/>
        <v>0</v>
      </c>
      <c r="CW225" s="567">
        <f t="shared" si="1394"/>
        <v>0</v>
      </c>
      <c r="CX225" s="567">
        <f t="shared" ca="1" si="1339"/>
        <v>0</v>
      </c>
      <c r="CY225" s="567">
        <f t="shared" si="1230"/>
        <v>0</v>
      </c>
      <c r="CZ225" s="567">
        <f t="shared" si="1231"/>
        <v>0</v>
      </c>
      <c r="DA225" s="567">
        <f t="shared" si="1232"/>
        <v>0</v>
      </c>
      <c r="DB225" s="2">
        <f t="shared" si="1395"/>
        <v>0</v>
      </c>
      <c r="DC225" s="76"/>
      <c r="DD225" s="253"/>
      <c r="DE225" s="253"/>
      <c r="DF225" s="2">
        <f t="shared" si="1396"/>
        <v>0</v>
      </c>
      <c r="DG225" s="2"/>
      <c r="DH225" s="2"/>
      <c r="DI225" s="2"/>
      <c r="DJ225" s="2"/>
      <c r="DK225" s="2">
        <f t="shared" si="1397"/>
        <v>0</v>
      </c>
      <c r="DL225" s="2"/>
      <c r="DM225" s="2"/>
      <c r="DN225" s="2"/>
      <c r="DO225" s="2"/>
      <c r="DP225" s="2">
        <f t="shared" si="1398"/>
        <v>0</v>
      </c>
      <c r="DQ225" s="2">
        <f t="shared" ref="DQ225:DT231" si="1412">DG225-DL225</f>
        <v>0</v>
      </c>
      <c r="DR225" s="2">
        <f t="shared" si="1412"/>
        <v>0</v>
      </c>
      <c r="DS225" s="2">
        <f t="shared" si="1412"/>
        <v>0</v>
      </c>
      <c r="DT225" s="2">
        <f t="shared" si="1412"/>
        <v>0</v>
      </c>
      <c r="DU225" s="2"/>
      <c r="DV225" s="2"/>
      <c r="DW225" s="2"/>
      <c r="DX225" s="2">
        <f t="shared" ca="1" si="1399"/>
        <v>0</v>
      </c>
      <c r="DY225" s="46"/>
      <c r="DZ225" s="2">
        <f t="shared" si="1400"/>
        <v>1319.5500000000002</v>
      </c>
      <c r="EA225" s="2">
        <f t="shared" si="1401"/>
        <v>1319.5500000000002</v>
      </c>
      <c r="EB225" s="46"/>
      <c r="EC225" s="2"/>
      <c r="ED225" s="2"/>
      <c r="EE225" s="46"/>
      <c r="EF225" s="2"/>
      <c r="EG225" s="46"/>
      <c r="EH225" s="46"/>
      <c r="EI225" s="2">
        <f t="shared" si="1196"/>
        <v>1319.5500000000002</v>
      </c>
      <c r="EJ225" s="2"/>
      <c r="EK225" s="198">
        <f t="shared" si="1233"/>
        <v>1319.5500000000002</v>
      </c>
      <c r="EL225" s="433">
        <v>433.6</v>
      </c>
      <c r="EM225" s="446">
        <v>885.95</v>
      </c>
      <c r="EN225" s="2"/>
      <c r="EO225" s="2"/>
      <c r="EP225" s="2">
        <f t="shared" si="1234"/>
        <v>250.68099999999998</v>
      </c>
      <c r="EQ225" s="2"/>
      <c r="ER225" s="2">
        <f t="shared" si="1235"/>
        <v>250.68099999999998</v>
      </c>
      <c r="ES225" s="2">
        <v>149.631</v>
      </c>
      <c r="ET225" s="2">
        <v>101.05</v>
      </c>
      <c r="EU225" s="2"/>
      <c r="EV225" s="141"/>
      <c r="EW225" s="310"/>
      <c r="EX225" s="310"/>
      <c r="EY225" s="310"/>
      <c r="EZ225" s="396"/>
      <c r="FA225" s="396"/>
      <c r="FB225" s="310"/>
      <c r="FC225" s="310"/>
      <c r="FD225" s="310"/>
      <c r="FE225" s="396"/>
      <c r="FF225" s="396"/>
      <c r="FG225" s="396"/>
      <c r="FH225" s="311"/>
      <c r="FI225" s="310"/>
      <c r="FJ225" s="296" t="e">
        <f t="shared" si="1404"/>
        <v>#DIV/0!</v>
      </c>
      <c r="FK225" s="353">
        <f t="shared" si="1237"/>
        <v>1376.1</v>
      </c>
      <c r="FL225" s="353">
        <f t="shared" ref="FL225:FL233" si="1413">BA225</f>
        <v>1376.1</v>
      </c>
      <c r="FM225" s="353"/>
      <c r="FN225" s="388">
        <f t="shared" si="1405"/>
        <v>1</v>
      </c>
      <c r="FO225" s="388">
        <f t="shared" si="1406"/>
        <v>0</v>
      </c>
      <c r="FP225" s="353">
        <f t="shared" si="1238"/>
        <v>1570.2310000000002</v>
      </c>
      <c r="FQ225" s="353">
        <f t="shared" si="1407"/>
        <v>1319.5500000000002</v>
      </c>
      <c r="FR225" s="353">
        <f t="shared" si="1408"/>
        <v>250.68099999999998</v>
      </c>
      <c r="FS225" s="388">
        <f t="shared" si="1409"/>
        <v>0.84035406255512723</v>
      </c>
      <c r="FT225" s="388">
        <f t="shared" si="1410"/>
        <v>0.15964593744487274</v>
      </c>
      <c r="FU225" s="388"/>
      <c r="FV225" s="353">
        <f t="shared" si="1411"/>
        <v>1570.2310000000002</v>
      </c>
      <c r="FW225" s="353">
        <f t="shared" si="1239"/>
        <v>-250.68100000000004</v>
      </c>
      <c r="FX225" s="310"/>
      <c r="FY225" s="310"/>
      <c r="FZ225" s="310"/>
      <c r="GA225" s="396"/>
      <c r="GB225" s="396"/>
      <c r="GC225" s="310"/>
      <c r="GD225" s="310"/>
      <c r="GE225" s="310"/>
      <c r="GF225" s="396"/>
      <c r="GG225" s="396"/>
      <c r="GH225" s="396"/>
      <c r="GI225" s="311"/>
      <c r="GJ225" s="344"/>
      <c r="GK225" s="303">
        <f t="shared" si="1215"/>
        <v>0.95890560279049508</v>
      </c>
    </row>
    <row r="226" spans="2:193" s="37" customFormat="1" ht="15.6" customHeight="1" x14ac:dyDescent="0.25">
      <c r="B226" s="29"/>
      <c r="C226" s="30"/>
      <c r="D226" s="30">
        <v>1</v>
      </c>
      <c r="E226" s="493">
        <v>188</v>
      </c>
      <c r="F226" s="29"/>
      <c r="G226" s="30"/>
      <c r="H226" s="30"/>
      <c r="M226" s="493">
        <v>163</v>
      </c>
      <c r="N226" s="494" t="s">
        <v>147</v>
      </c>
      <c r="O226" s="494"/>
      <c r="P226" s="494">
        <f t="shared" si="1236"/>
        <v>0</v>
      </c>
      <c r="Q226" s="494" t="s">
        <v>701</v>
      </c>
      <c r="R226" s="494" t="s">
        <v>699</v>
      </c>
      <c r="S226" s="494" t="s">
        <v>546</v>
      </c>
      <c r="T226" s="156">
        <v>2</v>
      </c>
      <c r="U226" s="493">
        <v>1</v>
      </c>
      <c r="V226" s="2">
        <f t="shared" si="1216"/>
        <v>480</v>
      </c>
      <c r="W226" s="2"/>
      <c r="X226" s="198">
        <f t="shared" si="1031"/>
        <v>480</v>
      </c>
      <c r="Y226" s="198">
        <v>151.19999999999999</v>
      </c>
      <c r="Z226" s="42">
        <v>328.8</v>
      </c>
      <c r="AA226" s="2"/>
      <c r="AB226" s="567">
        <f t="shared" si="1382"/>
        <v>480</v>
      </c>
      <c r="AC226" s="567"/>
      <c r="AD226" s="568">
        <f t="shared" si="1032"/>
        <v>480</v>
      </c>
      <c r="AE226" s="568">
        <v>151.19999999999999</v>
      </c>
      <c r="AF226" s="569">
        <v>328.8</v>
      </c>
      <c r="AG226" s="567"/>
      <c r="AH226" s="573"/>
      <c r="AI226" s="567">
        <f t="shared" si="1383"/>
        <v>0</v>
      </c>
      <c r="AJ226" s="567"/>
      <c r="AK226" s="568">
        <v>0</v>
      </c>
      <c r="AL226" s="567"/>
      <c r="AM226" s="573"/>
      <c r="AN226" s="567">
        <f t="shared" si="1384"/>
        <v>0</v>
      </c>
      <c r="AO226" s="567"/>
      <c r="AP226" s="568">
        <v>0</v>
      </c>
      <c r="AQ226" s="567"/>
      <c r="AR226" s="573"/>
      <c r="AS226" s="567">
        <f t="shared" si="1385"/>
        <v>48</v>
      </c>
      <c r="AT226" s="567"/>
      <c r="AU226" s="568">
        <v>48</v>
      </c>
      <c r="AV226" s="567"/>
      <c r="AW226" s="567"/>
      <c r="AX226" s="409" t="s">
        <v>691</v>
      </c>
      <c r="AY226" s="567">
        <f t="shared" si="1386"/>
        <v>480</v>
      </c>
      <c r="AZ226" s="567"/>
      <c r="BA226" s="568">
        <f t="shared" si="1387"/>
        <v>480</v>
      </c>
      <c r="BB226" s="568">
        <v>151.19999999999999</v>
      </c>
      <c r="BC226" s="569">
        <v>328.8</v>
      </c>
      <c r="BD226" s="567"/>
      <c r="BE226" s="567"/>
      <c r="BF226" s="567">
        <f t="shared" si="1217"/>
        <v>0</v>
      </c>
      <c r="BG226" s="567">
        <f t="shared" si="1218"/>
        <v>0</v>
      </c>
      <c r="BH226" s="567">
        <f t="shared" si="1219"/>
        <v>0</v>
      </c>
      <c r="BI226" s="567">
        <f t="shared" si="1220"/>
        <v>0</v>
      </c>
      <c r="BJ226" s="567">
        <f t="shared" si="1221"/>
        <v>0</v>
      </c>
      <c r="BK226" s="567">
        <f t="shared" si="1222"/>
        <v>0</v>
      </c>
      <c r="BL226" s="567" t="e">
        <f>#REF!-BE226</f>
        <v>#REF!</v>
      </c>
      <c r="BM226" s="567">
        <f t="shared" si="1388"/>
        <v>0</v>
      </c>
      <c r="BN226" s="567"/>
      <c r="BO226" s="568"/>
      <c r="BP226" s="567"/>
      <c r="BQ226" s="567"/>
      <c r="BR226" s="567">
        <f t="shared" si="1389"/>
        <v>0</v>
      </c>
      <c r="BS226" s="567"/>
      <c r="BT226" s="567"/>
      <c r="BU226" s="567"/>
      <c r="BV226" s="567"/>
      <c r="BW226" s="567">
        <f t="shared" si="1390"/>
        <v>480</v>
      </c>
      <c r="BX226" s="567"/>
      <c r="BY226" s="578">
        <f t="shared" si="1223"/>
        <v>480</v>
      </c>
      <c r="BZ226" s="571">
        <v>151.19999999999999</v>
      </c>
      <c r="CA226" s="571">
        <v>328.8</v>
      </c>
      <c r="CB226" s="567"/>
      <c r="CC226" s="567"/>
      <c r="CD226" s="567">
        <f t="shared" si="1391"/>
        <v>480</v>
      </c>
      <c r="CE226" s="567"/>
      <c r="CF226" s="578">
        <f t="shared" si="1224"/>
        <v>480</v>
      </c>
      <c r="CG226" s="571">
        <v>151.19999999999999</v>
      </c>
      <c r="CH226" s="571">
        <v>328.8</v>
      </c>
      <c r="CI226" s="567"/>
      <c r="CJ226" s="567"/>
      <c r="CK226" s="567">
        <f t="shared" si="1392"/>
        <v>53.16</v>
      </c>
      <c r="CL226" s="567"/>
      <c r="CM226" s="567">
        <f t="shared" si="1225"/>
        <v>53.16</v>
      </c>
      <c r="CN226" s="567">
        <v>18.4512</v>
      </c>
      <c r="CO226" s="567">
        <v>34.708799999999997</v>
      </c>
      <c r="CP226" s="567"/>
      <c r="CQ226" s="567"/>
      <c r="CR226" s="573">
        <f t="shared" si="1393"/>
        <v>533.16</v>
      </c>
      <c r="CS226" s="567">
        <f t="shared" si="1226"/>
        <v>533.16</v>
      </c>
      <c r="CT226" s="567">
        <f t="shared" si="1227"/>
        <v>0</v>
      </c>
      <c r="CU226" s="567">
        <f t="shared" si="1228"/>
        <v>533.16</v>
      </c>
      <c r="CV226" s="567">
        <f t="shared" si="1229"/>
        <v>0</v>
      </c>
      <c r="CW226" s="567">
        <f t="shared" si="1394"/>
        <v>0</v>
      </c>
      <c r="CX226" s="567">
        <f t="shared" ca="1" si="1339"/>
        <v>0</v>
      </c>
      <c r="CY226" s="567">
        <f t="shared" si="1230"/>
        <v>0</v>
      </c>
      <c r="CZ226" s="567">
        <f t="shared" si="1231"/>
        <v>0</v>
      </c>
      <c r="DA226" s="567">
        <f t="shared" si="1232"/>
        <v>0</v>
      </c>
      <c r="DB226" s="2">
        <f t="shared" si="1395"/>
        <v>0</v>
      </c>
      <c r="DC226" s="76"/>
      <c r="DD226" s="253"/>
      <c r="DE226" s="253"/>
      <c r="DF226" s="2">
        <f t="shared" si="1396"/>
        <v>0</v>
      </c>
      <c r="DG226" s="2"/>
      <c r="DH226" s="2"/>
      <c r="DI226" s="2"/>
      <c r="DJ226" s="2"/>
      <c r="DK226" s="2">
        <f t="shared" si="1397"/>
        <v>0</v>
      </c>
      <c r="DL226" s="2"/>
      <c r="DM226" s="2"/>
      <c r="DN226" s="2"/>
      <c r="DO226" s="2"/>
      <c r="DP226" s="2">
        <f t="shared" si="1398"/>
        <v>0</v>
      </c>
      <c r="DQ226" s="2">
        <f t="shared" si="1412"/>
        <v>0</v>
      </c>
      <c r="DR226" s="2">
        <f t="shared" si="1412"/>
        <v>0</v>
      </c>
      <c r="DS226" s="2">
        <f t="shared" si="1412"/>
        <v>0</v>
      </c>
      <c r="DT226" s="2">
        <f t="shared" si="1412"/>
        <v>0</v>
      </c>
      <c r="DU226" s="2"/>
      <c r="DV226" s="2"/>
      <c r="DW226" s="2"/>
      <c r="DX226" s="2">
        <f t="shared" ca="1" si="1399"/>
        <v>0</v>
      </c>
      <c r="DY226" s="46"/>
      <c r="DZ226" s="2">
        <f t="shared" si="1400"/>
        <v>480</v>
      </c>
      <c r="EA226" s="2">
        <f t="shared" si="1401"/>
        <v>480</v>
      </c>
      <c r="EB226" s="46"/>
      <c r="EC226" s="2"/>
      <c r="ED226" s="2"/>
      <c r="EE226" s="46"/>
      <c r="EF226" s="2"/>
      <c r="EG226" s="46"/>
      <c r="EH226" s="46"/>
      <c r="EI226" s="2">
        <f t="shared" si="1196"/>
        <v>480</v>
      </c>
      <c r="EJ226" s="2"/>
      <c r="EK226" s="433">
        <f t="shared" si="1233"/>
        <v>480</v>
      </c>
      <c r="EL226" s="446">
        <v>151.19999999999999</v>
      </c>
      <c r="EM226" s="446">
        <v>328.8</v>
      </c>
      <c r="EN226" s="2"/>
      <c r="EO226" s="2"/>
      <c r="EP226" s="2">
        <f t="shared" si="1234"/>
        <v>53.16</v>
      </c>
      <c r="EQ226" s="2"/>
      <c r="ER226" s="2">
        <f t="shared" si="1235"/>
        <v>53.16</v>
      </c>
      <c r="ES226" s="2">
        <v>18.4512</v>
      </c>
      <c r="ET226" s="2">
        <v>34.708799999999997</v>
      </c>
      <c r="EU226" s="2"/>
      <c r="EV226" s="141"/>
      <c r="EW226" s="310"/>
      <c r="EX226" s="310"/>
      <c r="EY226" s="310"/>
      <c r="EZ226" s="396"/>
      <c r="FA226" s="396"/>
      <c r="FB226" s="310"/>
      <c r="FC226" s="310"/>
      <c r="FD226" s="310"/>
      <c r="FE226" s="396"/>
      <c r="FF226" s="396"/>
      <c r="FG226" s="396"/>
      <c r="FH226" s="311"/>
      <c r="FI226" s="310"/>
      <c r="FJ226" s="296" t="e">
        <f t="shared" si="1404"/>
        <v>#DIV/0!</v>
      </c>
      <c r="FK226" s="353">
        <f t="shared" ref="FK226" si="1414">FL226+FM226</f>
        <v>480</v>
      </c>
      <c r="FL226" s="353">
        <f t="shared" si="1413"/>
        <v>480</v>
      </c>
      <c r="FM226" s="353"/>
      <c r="FN226" s="388">
        <f t="shared" ref="FN226" si="1415">FL226/FK226</f>
        <v>1</v>
      </c>
      <c r="FO226" s="388">
        <f t="shared" ref="FO226" si="1416">FM226/FK226</f>
        <v>0</v>
      </c>
      <c r="FP226" s="353">
        <f t="shared" ref="FP226" si="1417">FQ226+FR226</f>
        <v>533.16</v>
      </c>
      <c r="FQ226" s="353">
        <f t="shared" ref="FQ226" si="1418">EK226</f>
        <v>480</v>
      </c>
      <c r="FR226" s="353">
        <f t="shared" ref="FR226" si="1419">ER226</f>
        <v>53.16</v>
      </c>
      <c r="FS226" s="388">
        <f t="shared" ref="FS226" si="1420">FQ226/FP226</f>
        <v>0.90029259509340542</v>
      </c>
      <c r="FT226" s="388">
        <f t="shared" ref="FT226" si="1421">FR226/FP226</f>
        <v>9.9707404906594646E-2</v>
      </c>
      <c r="FU226" s="388"/>
      <c r="FV226" s="353">
        <f t="shared" ref="FV226" si="1422">FP226*FN226</f>
        <v>533.16</v>
      </c>
      <c r="FW226" s="353">
        <f t="shared" si="1239"/>
        <v>-53.159999999999968</v>
      </c>
      <c r="FX226" s="310"/>
      <c r="FY226" s="310"/>
      <c r="FZ226" s="310"/>
      <c r="GA226" s="396"/>
      <c r="GB226" s="396"/>
      <c r="GC226" s="310"/>
      <c r="GD226" s="310"/>
      <c r="GE226" s="310"/>
      <c r="GF226" s="396"/>
      <c r="GG226" s="396"/>
      <c r="GH226" s="396"/>
      <c r="GI226" s="311"/>
      <c r="GJ226" s="344"/>
      <c r="GK226" s="303">
        <f t="shared" si="1215"/>
        <v>1</v>
      </c>
    </row>
    <row r="227" spans="2:193" s="37" customFormat="1" ht="15.6" customHeight="1" x14ac:dyDescent="0.25">
      <c r="B227" s="29"/>
      <c r="C227" s="30"/>
      <c r="D227" s="30">
        <v>1</v>
      </c>
      <c r="E227" s="493">
        <v>189</v>
      </c>
      <c r="F227" s="29"/>
      <c r="G227" s="30"/>
      <c r="H227" s="30">
        <v>1</v>
      </c>
      <c r="I227" s="493"/>
      <c r="J227" s="494"/>
      <c r="K227" s="494"/>
      <c r="L227" s="53"/>
      <c r="M227" s="493">
        <v>164</v>
      </c>
      <c r="N227" s="494" t="s">
        <v>170</v>
      </c>
      <c r="O227" s="494"/>
      <c r="P227" s="494">
        <f t="shared" si="1236"/>
        <v>0</v>
      </c>
      <c r="Q227" s="494" t="s">
        <v>701</v>
      </c>
      <c r="R227" s="494" t="s">
        <v>699</v>
      </c>
      <c r="S227" s="494" t="s">
        <v>518</v>
      </c>
      <c r="T227" s="156">
        <v>2</v>
      </c>
      <c r="U227" s="493"/>
      <c r="V227" s="2">
        <f t="shared" si="1216"/>
        <v>1830.5</v>
      </c>
      <c r="W227" s="2"/>
      <c r="X227" s="198">
        <f t="shared" si="1031"/>
        <v>1830.5</v>
      </c>
      <c r="Y227" s="198">
        <v>576.70000000000005</v>
      </c>
      <c r="Z227" s="42">
        <v>1253.8</v>
      </c>
      <c r="AA227" s="2"/>
      <c r="AB227" s="567">
        <f t="shared" si="1382"/>
        <v>1830.5</v>
      </c>
      <c r="AC227" s="567"/>
      <c r="AD227" s="568">
        <f t="shared" si="1032"/>
        <v>1830.5</v>
      </c>
      <c r="AE227" s="568">
        <v>576.70000000000005</v>
      </c>
      <c r="AF227" s="569">
        <v>1253.8</v>
      </c>
      <c r="AG227" s="567"/>
      <c r="AH227" s="573"/>
      <c r="AI227" s="567">
        <f t="shared" si="1383"/>
        <v>584.20000000000005</v>
      </c>
      <c r="AJ227" s="567"/>
      <c r="AK227" s="568">
        <v>584.20000000000005</v>
      </c>
      <c r="AL227" s="567"/>
      <c r="AM227" s="573"/>
      <c r="AN227" s="567">
        <f t="shared" si="1384"/>
        <v>584.20000000000005</v>
      </c>
      <c r="AO227" s="567"/>
      <c r="AP227" s="568">
        <v>584.20000000000005</v>
      </c>
      <c r="AQ227" s="567"/>
      <c r="AR227" s="573"/>
      <c r="AS227" s="567">
        <f t="shared" si="1385"/>
        <v>254</v>
      </c>
      <c r="AT227" s="567"/>
      <c r="AU227" s="568">
        <v>254</v>
      </c>
      <c r="AV227" s="567"/>
      <c r="AW227" s="567"/>
      <c r="AX227" s="409" t="s">
        <v>392</v>
      </c>
      <c r="AY227" s="567">
        <f t="shared" si="1386"/>
        <v>1830.5</v>
      </c>
      <c r="AZ227" s="567"/>
      <c r="BA227" s="568">
        <f t="shared" si="1387"/>
        <v>1830.5</v>
      </c>
      <c r="BB227" s="568">
        <v>576.70000000000005</v>
      </c>
      <c r="BC227" s="569">
        <v>1253.8</v>
      </c>
      <c r="BD227" s="567"/>
      <c r="BE227" s="567"/>
      <c r="BF227" s="567">
        <f t="shared" si="1217"/>
        <v>0</v>
      </c>
      <c r="BG227" s="567">
        <f t="shared" si="1218"/>
        <v>0</v>
      </c>
      <c r="BH227" s="567">
        <f t="shared" si="1219"/>
        <v>0</v>
      </c>
      <c r="BI227" s="567">
        <f t="shared" si="1220"/>
        <v>0</v>
      </c>
      <c r="BJ227" s="567">
        <f t="shared" si="1221"/>
        <v>0</v>
      </c>
      <c r="BK227" s="567">
        <f t="shared" si="1222"/>
        <v>0</v>
      </c>
      <c r="BL227" s="567" t="e">
        <f>#REF!-BE227</f>
        <v>#REF!</v>
      </c>
      <c r="BM227" s="567">
        <f t="shared" si="1388"/>
        <v>584.20000000000005</v>
      </c>
      <c r="BN227" s="567"/>
      <c r="BO227" s="568">
        <v>584.20000000000005</v>
      </c>
      <c r="BP227" s="567"/>
      <c r="BQ227" s="567"/>
      <c r="BR227" s="567">
        <f t="shared" si="1389"/>
        <v>0</v>
      </c>
      <c r="BS227" s="567"/>
      <c r="BT227" s="568"/>
      <c r="BU227" s="567"/>
      <c r="BV227" s="567"/>
      <c r="BW227" s="567">
        <f t="shared" si="1390"/>
        <v>1004.59142</v>
      </c>
      <c r="BX227" s="567"/>
      <c r="BY227" s="568">
        <f t="shared" si="1223"/>
        <v>1004.59142</v>
      </c>
      <c r="BZ227" s="571">
        <v>337.36950000000002</v>
      </c>
      <c r="CA227" s="571">
        <v>667.22191999999995</v>
      </c>
      <c r="CB227" s="567"/>
      <c r="CC227" s="567"/>
      <c r="CD227" s="567">
        <f t="shared" si="1391"/>
        <v>1004.59142</v>
      </c>
      <c r="CE227" s="567"/>
      <c r="CF227" s="568">
        <f t="shared" si="1224"/>
        <v>1004.59142</v>
      </c>
      <c r="CG227" s="571">
        <v>337.36950000000002</v>
      </c>
      <c r="CH227" s="571">
        <v>667.22191999999995</v>
      </c>
      <c r="CI227" s="567"/>
      <c r="CJ227" s="567"/>
      <c r="CK227" s="567">
        <f t="shared" si="1392"/>
        <v>192.06079</v>
      </c>
      <c r="CL227" s="567"/>
      <c r="CM227" s="567">
        <f t="shared" si="1225"/>
        <v>192.06079</v>
      </c>
      <c r="CN227" s="567">
        <v>71.960849999999994</v>
      </c>
      <c r="CO227" s="567">
        <v>120.09994</v>
      </c>
      <c r="CP227" s="567"/>
      <c r="CQ227" s="567"/>
      <c r="CR227" s="573">
        <f t="shared" si="1393"/>
        <v>1196.65221</v>
      </c>
      <c r="CS227" s="567">
        <f t="shared" si="1226"/>
        <v>1196.65221</v>
      </c>
      <c r="CT227" s="567">
        <f t="shared" si="1227"/>
        <v>0</v>
      </c>
      <c r="CU227" s="567">
        <f t="shared" si="1228"/>
        <v>1196.65221</v>
      </c>
      <c r="CV227" s="567">
        <f t="shared" si="1229"/>
        <v>0</v>
      </c>
      <c r="CW227" s="567">
        <f t="shared" si="1394"/>
        <v>0</v>
      </c>
      <c r="CX227" s="567">
        <f t="shared" ca="1" si="1339"/>
        <v>0</v>
      </c>
      <c r="CY227" s="567">
        <f t="shared" si="1230"/>
        <v>0</v>
      </c>
      <c r="CZ227" s="567">
        <f t="shared" si="1231"/>
        <v>0</v>
      </c>
      <c r="DA227" s="567">
        <f t="shared" si="1232"/>
        <v>0</v>
      </c>
      <c r="DB227" s="2">
        <f t="shared" si="1395"/>
        <v>0</v>
      </c>
      <c r="DC227" s="76"/>
      <c r="DD227" s="253"/>
      <c r="DE227" s="253"/>
      <c r="DF227" s="2">
        <f t="shared" si="1396"/>
        <v>0</v>
      </c>
      <c r="DG227" s="2"/>
      <c r="DH227" s="198"/>
      <c r="DI227" s="2"/>
      <c r="DJ227" s="2"/>
      <c r="DK227" s="2">
        <f t="shared" si="1397"/>
        <v>0</v>
      </c>
      <c r="DL227" s="2"/>
      <c r="DM227" s="198"/>
      <c r="DN227" s="2"/>
      <c r="DO227" s="2"/>
      <c r="DP227" s="2">
        <f t="shared" si="1398"/>
        <v>0</v>
      </c>
      <c r="DQ227" s="2">
        <f t="shared" si="1412"/>
        <v>0</v>
      </c>
      <c r="DR227" s="2">
        <f t="shared" si="1412"/>
        <v>0</v>
      </c>
      <c r="DS227" s="2">
        <f t="shared" si="1412"/>
        <v>0</v>
      </c>
      <c r="DT227" s="2">
        <f t="shared" si="1412"/>
        <v>0</v>
      </c>
      <c r="DU227" s="2"/>
      <c r="DV227" s="2"/>
      <c r="DW227" s="2"/>
      <c r="DX227" s="2">
        <f t="shared" ca="1" si="1399"/>
        <v>0</v>
      </c>
      <c r="DY227" s="46"/>
      <c r="DZ227" s="2">
        <f t="shared" si="1400"/>
        <v>1004.59142</v>
      </c>
      <c r="EA227" s="2">
        <f t="shared" si="1401"/>
        <v>1004.59142</v>
      </c>
      <c r="EB227" s="46"/>
      <c r="EC227" s="2"/>
      <c r="ED227" s="2"/>
      <c r="EE227" s="46"/>
      <c r="EF227" s="2"/>
      <c r="EG227" s="46"/>
      <c r="EH227" s="46"/>
      <c r="EI227" s="2">
        <f t="shared" si="1196"/>
        <v>1004.59142</v>
      </c>
      <c r="EJ227" s="2"/>
      <c r="EK227" s="198">
        <f t="shared" si="1233"/>
        <v>1004.59142</v>
      </c>
      <c r="EL227" s="446">
        <v>337.36950000000002</v>
      </c>
      <c r="EM227" s="446">
        <v>667.22191999999995</v>
      </c>
      <c r="EN227" s="2"/>
      <c r="EO227" s="2"/>
      <c r="EP227" s="2">
        <f t="shared" si="1234"/>
        <v>192.06079</v>
      </c>
      <c r="EQ227" s="2"/>
      <c r="ER227" s="2">
        <f t="shared" si="1235"/>
        <v>192.06079</v>
      </c>
      <c r="ES227" s="2">
        <v>71.960849999999994</v>
      </c>
      <c r="ET227" s="2">
        <v>120.09994</v>
      </c>
      <c r="EU227" s="2"/>
      <c r="EV227" s="141"/>
      <c r="EW227" s="310"/>
      <c r="EX227" s="310"/>
      <c r="EY227" s="310"/>
      <c r="EZ227" s="396"/>
      <c r="FA227" s="396"/>
      <c r="FB227" s="310"/>
      <c r="FC227" s="310"/>
      <c r="FD227" s="310"/>
      <c r="FE227" s="396"/>
      <c r="FF227" s="396"/>
      <c r="FG227" s="396"/>
      <c r="FH227" s="311"/>
      <c r="FI227" s="310"/>
      <c r="FJ227" s="296" t="e">
        <f t="shared" si="1404"/>
        <v>#DIV/0!</v>
      </c>
      <c r="FK227" s="353">
        <f t="shared" si="1237"/>
        <v>1830.5</v>
      </c>
      <c r="FL227" s="353">
        <f t="shared" si="1413"/>
        <v>1830.5</v>
      </c>
      <c r="FM227" s="353"/>
      <c r="FN227" s="388">
        <f t="shared" si="1405"/>
        <v>1</v>
      </c>
      <c r="FO227" s="388">
        <f t="shared" si="1406"/>
        <v>0</v>
      </c>
      <c r="FP227" s="353">
        <f t="shared" si="1238"/>
        <v>1196.65221</v>
      </c>
      <c r="FQ227" s="353">
        <f t="shared" si="1407"/>
        <v>1004.59142</v>
      </c>
      <c r="FR227" s="353">
        <f t="shared" si="1408"/>
        <v>192.06079</v>
      </c>
      <c r="FS227" s="388">
        <f t="shared" si="1409"/>
        <v>0.83950157915974599</v>
      </c>
      <c r="FT227" s="388">
        <f t="shared" si="1410"/>
        <v>0.16049842084025401</v>
      </c>
      <c r="FU227" s="388"/>
      <c r="FV227" s="353">
        <f t="shared" si="1411"/>
        <v>1196.65221</v>
      </c>
      <c r="FW227" s="353">
        <f t="shared" si="1239"/>
        <v>-192.06079</v>
      </c>
      <c r="FX227" s="310"/>
      <c r="FY227" s="310"/>
      <c r="FZ227" s="310"/>
      <c r="GA227" s="396"/>
      <c r="GB227" s="396"/>
      <c r="GC227" s="310"/>
      <c r="GD227" s="310"/>
      <c r="GE227" s="310"/>
      <c r="GF227" s="396"/>
      <c r="GG227" s="396"/>
      <c r="GH227" s="396"/>
      <c r="GI227" s="311"/>
      <c r="GJ227" s="344"/>
      <c r="GK227" s="303">
        <f t="shared" si="1215"/>
        <v>0.54880711281070749</v>
      </c>
    </row>
    <row r="228" spans="2:193" s="37" customFormat="1" ht="15.6" customHeight="1" x14ac:dyDescent="0.25">
      <c r="B228" s="29"/>
      <c r="C228" s="30"/>
      <c r="D228" s="30">
        <v>1</v>
      </c>
      <c r="E228" s="493">
        <v>190</v>
      </c>
      <c r="F228" s="29"/>
      <c r="G228" s="30"/>
      <c r="H228" s="30">
        <v>1</v>
      </c>
      <c r="I228" s="493"/>
      <c r="J228" s="494"/>
      <c r="K228" s="494"/>
      <c r="L228" s="53"/>
      <c r="M228" s="493">
        <v>165</v>
      </c>
      <c r="N228" s="494" t="s">
        <v>148</v>
      </c>
      <c r="O228" s="494"/>
      <c r="P228" s="494">
        <f t="shared" si="1236"/>
        <v>0</v>
      </c>
      <c r="Q228" s="494" t="s">
        <v>705</v>
      </c>
      <c r="R228" s="494" t="s">
        <v>699</v>
      </c>
      <c r="S228" s="494" t="s">
        <v>601</v>
      </c>
      <c r="T228" s="156">
        <v>2</v>
      </c>
      <c r="U228" s="493"/>
      <c r="V228" s="2">
        <f t="shared" si="1216"/>
        <v>1612.9</v>
      </c>
      <c r="W228" s="2"/>
      <c r="X228" s="198">
        <f t="shared" si="1031"/>
        <v>1612.9</v>
      </c>
      <c r="Y228" s="198">
        <v>508.2</v>
      </c>
      <c r="Z228" s="42">
        <v>1104.7</v>
      </c>
      <c r="AA228" s="2"/>
      <c r="AB228" s="567">
        <f t="shared" si="1382"/>
        <v>1612.9</v>
      </c>
      <c r="AC228" s="567"/>
      <c r="AD228" s="568">
        <f t="shared" si="1032"/>
        <v>1612.9</v>
      </c>
      <c r="AE228" s="568">
        <v>508.2</v>
      </c>
      <c r="AF228" s="569">
        <v>1104.7</v>
      </c>
      <c r="AG228" s="567"/>
      <c r="AH228" s="573"/>
      <c r="AI228" s="567">
        <f t="shared" si="1383"/>
        <v>501.4</v>
      </c>
      <c r="AJ228" s="567"/>
      <c r="AK228" s="568">
        <v>501.4</v>
      </c>
      <c r="AL228" s="567"/>
      <c r="AM228" s="573"/>
      <c r="AN228" s="567">
        <f t="shared" si="1384"/>
        <v>501.4</v>
      </c>
      <c r="AO228" s="567"/>
      <c r="AP228" s="568">
        <v>501.4</v>
      </c>
      <c r="AQ228" s="567"/>
      <c r="AR228" s="573"/>
      <c r="AS228" s="567">
        <f t="shared" si="1385"/>
        <v>218</v>
      </c>
      <c r="AT228" s="567"/>
      <c r="AU228" s="568">
        <v>218</v>
      </c>
      <c r="AV228" s="567"/>
      <c r="AW228" s="567"/>
      <c r="AX228" s="409" t="s">
        <v>456</v>
      </c>
      <c r="AY228" s="567">
        <f t="shared" si="1386"/>
        <v>1606.6636000000001</v>
      </c>
      <c r="AZ228" s="567"/>
      <c r="BA228" s="568">
        <f t="shared" si="1387"/>
        <v>1606.6636000000001</v>
      </c>
      <c r="BB228" s="568">
        <f>502.85-0.8864</f>
        <v>501.96360000000004</v>
      </c>
      <c r="BC228" s="569">
        <f>1103.8136+0.8864</f>
        <v>1104.7</v>
      </c>
      <c r="BD228" s="567"/>
      <c r="BE228" s="567"/>
      <c r="BF228" s="567">
        <f t="shared" si="1217"/>
        <v>6.2363999999999464</v>
      </c>
      <c r="BG228" s="567">
        <f t="shared" si="1218"/>
        <v>0</v>
      </c>
      <c r="BH228" s="567">
        <f t="shared" si="1219"/>
        <v>6.2363999999999464</v>
      </c>
      <c r="BI228" s="567">
        <f t="shared" si="1220"/>
        <v>6.2363999999999464</v>
      </c>
      <c r="BJ228" s="567">
        <f t="shared" si="1221"/>
        <v>0</v>
      </c>
      <c r="BK228" s="567">
        <f t="shared" si="1222"/>
        <v>0</v>
      </c>
      <c r="BL228" s="567" t="e">
        <f>#REF!-BE228</f>
        <v>#REF!</v>
      </c>
      <c r="BM228" s="567">
        <f t="shared" si="1388"/>
        <v>501.4</v>
      </c>
      <c r="BN228" s="567"/>
      <c r="BO228" s="568">
        <v>501.4</v>
      </c>
      <c r="BP228" s="567"/>
      <c r="BQ228" s="567"/>
      <c r="BR228" s="567">
        <f t="shared" si="1389"/>
        <v>0</v>
      </c>
      <c r="BS228" s="567"/>
      <c r="BT228" s="568"/>
      <c r="BU228" s="567"/>
      <c r="BV228" s="567"/>
      <c r="BW228" s="567">
        <f t="shared" si="1390"/>
        <v>1606.6636000000001</v>
      </c>
      <c r="BX228" s="567"/>
      <c r="BY228" s="578">
        <f t="shared" si="1223"/>
        <v>1606.6636000000001</v>
      </c>
      <c r="BZ228" s="571">
        <f>502.85-0.8864</f>
        <v>501.96360000000004</v>
      </c>
      <c r="CA228" s="571">
        <f>1103.8136+0.8864</f>
        <v>1104.7</v>
      </c>
      <c r="CB228" s="567"/>
      <c r="CC228" s="567"/>
      <c r="CD228" s="567">
        <f t="shared" si="1391"/>
        <v>1606.6636000000001</v>
      </c>
      <c r="CE228" s="567"/>
      <c r="CF228" s="578">
        <f t="shared" si="1224"/>
        <v>1606.6636000000001</v>
      </c>
      <c r="CG228" s="571">
        <f>502.85-0.8864</f>
        <v>501.96360000000004</v>
      </c>
      <c r="CH228" s="571">
        <f>1103.8136+0.8864</f>
        <v>1104.7</v>
      </c>
      <c r="CI228" s="567"/>
      <c r="CJ228" s="567"/>
      <c r="CK228" s="567">
        <f t="shared" si="1392"/>
        <v>198.57640000000001</v>
      </c>
      <c r="CL228" s="567"/>
      <c r="CM228" s="567">
        <f t="shared" si="1225"/>
        <v>198.57640000000001</v>
      </c>
      <c r="CN228" s="567">
        <v>62.15</v>
      </c>
      <c r="CO228" s="567">
        <v>136.4264</v>
      </c>
      <c r="CP228" s="567"/>
      <c r="CQ228" s="567"/>
      <c r="CR228" s="573">
        <f t="shared" si="1393"/>
        <v>1805.24</v>
      </c>
      <c r="CS228" s="567">
        <f t="shared" si="1226"/>
        <v>1805.24</v>
      </c>
      <c r="CT228" s="567">
        <f t="shared" si="1227"/>
        <v>0</v>
      </c>
      <c r="CU228" s="567">
        <f t="shared" si="1228"/>
        <v>1805.24</v>
      </c>
      <c r="CV228" s="567">
        <f t="shared" si="1229"/>
        <v>0</v>
      </c>
      <c r="CW228" s="567">
        <f t="shared" si="1394"/>
        <v>0</v>
      </c>
      <c r="CX228" s="567">
        <f t="shared" ca="1" si="1339"/>
        <v>0</v>
      </c>
      <c r="CY228" s="567">
        <f t="shared" si="1230"/>
        <v>0</v>
      </c>
      <c r="CZ228" s="567">
        <f t="shared" si="1231"/>
        <v>0</v>
      </c>
      <c r="DA228" s="567">
        <f t="shared" si="1232"/>
        <v>0</v>
      </c>
      <c r="DB228" s="2">
        <f t="shared" si="1395"/>
        <v>0</v>
      </c>
      <c r="DC228" s="76"/>
      <c r="DD228" s="253"/>
      <c r="DE228" s="253"/>
      <c r="DF228" s="2">
        <f t="shared" si="1396"/>
        <v>0</v>
      </c>
      <c r="DG228" s="2"/>
      <c r="DH228" s="198"/>
      <c r="DI228" s="2"/>
      <c r="DJ228" s="2"/>
      <c r="DK228" s="2">
        <f t="shared" si="1397"/>
        <v>0</v>
      </c>
      <c r="DL228" s="2"/>
      <c r="DM228" s="198"/>
      <c r="DN228" s="2"/>
      <c r="DO228" s="2"/>
      <c r="DP228" s="2">
        <f t="shared" si="1398"/>
        <v>0</v>
      </c>
      <c r="DQ228" s="2">
        <f t="shared" si="1412"/>
        <v>0</v>
      </c>
      <c r="DR228" s="2">
        <f t="shared" si="1412"/>
        <v>0</v>
      </c>
      <c r="DS228" s="2">
        <f t="shared" si="1412"/>
        <v>0</v>
      </c>
      <c r="DT228" s="2">
        <f t="shared" si="1412"/>
        <v>0</v>
      </c>
      <c r="DU228" s="2"/>
      <c r="DV228" s="2"/>
      <c r="DW228" s="2"/>
      <c r="DX228" s="2">
        <f t="shared" ca="1" si="1399"/>
        <v>0</v>
      </c>
      <c r="DY228" s="46"/>
      <c r="DZ228" s="2">
        <f t="shared" si="1400"/>
        <v>1606.6636000000001</v>
      </c>
      <c r="EA228" s="2">
        <f t="shared" si="1401"/>
        <v>1606.6636000000001</v>
      </c>
      <c r="EB228" s="46"/>
      <c r="EC228" s="2"/>
      <c r="ED228" s="2"/>
      <c r="EE228" s="46"/>
      <c r="EF228" s="2"/>
      <c r="EG228" s="46"/>
      <c r="EH228" s="46"/>
      <c r="EI228" s="2">
        <f t="shared" si="1196"/>
        <v>1606.6636000000001</v>
      </c>
      <c r="EJ228" s="2"/>
      <c r="EK228" s="433">
        <f t="shared" si="1233"/>
        <v>1606.6636000000001</v>
      </c>
      <c r="EL228" s="446">
        <f>502.85-0.8864</f>
        <v>501.96360000000004</v>
      </c>
      <c r="EM228" s="446">
        <f>1103.8136+0.8864</f>
        <v>1104.7</v>
      </c>
      <c r="EN228" s="2"/>
      <c r="EO228" s="2"/>
      <c r="EP228" s="2">
        <f t="shared" si="1234"/>
        <v>198.57640000000001</v>
      </c>
      <c r="EQ228" s="2"/>
      <c r="ER228" s="2">
        <f t="shared" si="1235"/>
        <v>198.57640000000001</v>
      </c>
      <c r="ES228" s="2">
        <v>62.15</v>
      </c>
      <c r="ET228" s="2">
        <v>136.4264</v>
      </c>
      <c r="EU228" s="2"/>
      <c r="EV228" s="141"/>
      <c r="EW228" s="310"/>
      <c r="EX228" s="310"/>
      <c r="EY228" s="310"/>
      <c r="EZ228" s="396"/>
      <c r="FA228" s="396"/>
      <c r="FB228" s="310"/>
      <c r="FC228" s="310"/>
      <c r="FD228" s="310"/>
      <c r="FE228" s="396"/>
      <c r="FF228" s="396"/>
      <c r="FG228" s="396"/>
      <c r="FH228" s="311"/>
      <c r="FI228" s="310"/>
      <c r="FJ228" s="296" t="e">
        <f t="shared" si="1404"/>
        <v>#DIV/0!</v>
      </c>
      <c r="FK228" s="353">
        <f t="shared" si="1237"/>
        <v>1606.6636000000001</v>
      </c>
      <c r="FL228" s="353">
        <f t="shared" si="1413"/>
        <v>1606.6636000000001</v>
      </c>
      <c r="FM228" s="353"/>
      <c r="FN228" s="388">
        <f t="shared" si="1405"/>
        <v>1</v>
      </c>
      <c r="FO228" s="388">
        <f t="shared" si="1406"/>
        <v>0</v>
      </c>
      <c r="FP228" s="353">
        <f t="shared" si="1238"/>
        <v>1805.24</v>
      </c>
      <c r="FQ228" s="353">
        <f t="shared" si="1407"/>
        <v>1606.6636000000001</v>
      </c>
      <c r="FR228" s="353">
        <f t="shared" si="1408"/>
        <v>198.57640000000001</v>
      </c>
      <c r="FS228" s="388">
        <f t="shared" si="1409"/>
        <v>0.89</v>
      </c>
      <c r="FT228" s="388">
        <f t="shared" si="1410"/>
        <v>0.11</v>
      </c>
      <c r="FU228" s="388"/>
      <c r="FV228" s="353">
        <f t="shared" si="1411"/>
        <v>1805.24</v>
      </c>
      <c r="FW228" s="353">
        <f t="shared" si="1239"/>
        <v>-198.57639999999992</v>
      </c>
      <c r="FX228" s="310"/>
      <c r="FY228" s="310"/>
      <c r="FZ228" s="310"/>
      <c r="GA228" s="396"/>
      <c r="GB228" s="396"/>
      <c r="GC228" s="310"/>
      <c r="GD228" s="310"/>
      <c r="GE228" s="310"/>
      <c r="GF228" s="396"/>
      <c r="GG228" s="396"/>
      <c r="GH228" s="396"/>
      <c r="GI228" s="311"/>
      <c r="GJ228" s="344"/>
      <c r="GK228" s="303">
        <f t="shared" si="1215"/>
        <v>0.99613342426684848</v>
      </c>
    </row>
    <row r="229" spans="2:193" s="37" customFormat="1" ht="15.6" customHeight="1" x14ac:dyDescent="0.25">
      <c r="B229" s="29"/>
      <c r="C229" s="30">
        <v>1</v>
      </c>
      <c r="D229" s="30"/>
      <c r="E229" s="493">
        <v>191</v>
      </c>
      <c r="F229" s="29"/>
      <c r="G229" s="30">
        <v>1</v>
      </c>
      <c r="H229" s="30">
        <v>1</v>
      </c>
      <c r="I229" s="493"/>
      <c r="J229" s="494"/>
      <c r="K229" s="494"/>
      <c r="L229" s="53"/>
      <c r="M229" s="493">
        <v>166</v>
      </c>
      <c r="N229" s="494" t="s">
        <v>65</v>
      </c>
      <c r="O229" s="494"/>
      <c r="P229" s="494">
        <f t="shared" si="1236"/>
        <v>0</v>
      </c>
      <c r="Q229" s="494"/>
      <c r="R229" s="494"/>
      <c r="S229" s="494" t="s">
        <v>539</v>
      </c>
      <c r="T229" s="156">
        <v>3</v>
      </c>
      <c r="U229" s="156">
        <v>1</v>
      </c>
      <c r="V229" s="2">
        <f t="shared" si="1216"/>
        <v>68646.39132000001</v>
      </c>
      <c r="W229" s="2"/>
      <c r="X229" s="198">
        <f t="shared" si="1031"/>
        <v>5318.8</v>
      </c>
      <c r="Y229" s="198">
        <v>1675.8</v>
      </c>
      <c r="Z229" s="198">
        <v>3643</v>
      </c>
      <c r="AA229" s="198">
        <f>67670.516-4342.92468</f>
        <v>63327.591320000007</v>
      </c>
      <c r="AB229" s="567">
        <f t="shared" si="1382"/>
        <v>68646.39132000001</v>
      </c>
      <c r="AC229" s="567"/>
      <c r="AD229" s="568">
        <f t="shared" si="1032"/>
        <v>5318.8</v>
      </c>
      <c r="AE229" s="568">
        <v>1675.8</v>
      </c>
      <c r="AF229" s="568">
        <v>3643</v>
      </c>
      <c r="AG229" s="568">
        <f>67670.516-4342.92468</f>
        <v>63327.591320000007</v>
      </c>
      <c r="AH229" s="568"/>
      <c r="AI229" s="567">
        <f t="shared" si="1383"/>
        <v>1715.8</v>
      </c>
      <c r="AJ229" s="567"/>
      <c r="AK229" s="568">
        <v>1715.8</v>
      </c>
      <c r="AL229" s="568"/>
      <c r="AM229" s="568"/>
      <c r="AN229" s="567">
        <f t="shared" si="1384"/>
        <v>1715.8</v>
      </c>
      <c r="AO229" s="567"/>
      <c r="AP229" s="568">
        <v>1715.8</v>
      </c>
      <c r="AQ229" s="568"/>
      <c r="AR229" s="568"/>
      <c r="AS229" s="567">
        <f t="shared" si="1385"/>
        <v>746</v>
      </c>
      <c r="AT229" s="567"/>
      <c r="AU229" s="568">
        <v>746</v>
      </c>
      <c r="AV229" s="568"/>
      <c r="AW229" s="568"/>
      <c r="AX229" s="409" t="s">
        <v>714</v>
      </c>
      <c r="AY229" s="568">
        <f t="shared" si="1386"/>
        <v>68646.39132000001</v>
      </c>
      <c r="AZ229" s="568"/>
      <c r="BA229" s="568">
        <f t="shared" si="1387"/>
        <v>5318.8</v>
      </c>
      <c r="BB229" s="568">
        <v>1675.8</v>
      </c>
      <c r="BC229" s="568">
        <v>3643</v>
      </c>
      <c r="BD229" s="568">
        <f>67670.516-4342.92468</f>
        <v>63327.591320000007</v>
      </c>
      <c r="BE229" s="568"/>
      <c r="BF229" s="568">
        <f t="shared" si="1217"/>
        <v>0</v>
      </c>
      <c r="BG229" s="567">
        <f t="shared" si="1218"/>
        <v>0</v>
      </c>
      <c r="BH229" s="567">
        <f t="shared" si="1219"/>
        <v>0</v>
      </c>
      <c r="BI229" s="567">
        <f t="shared" si="1220"/>
        <v>0</v>
      </c>
      <c r="BJ229" s="567">
        <f t="shared" si="1221"/>
        <v>0</v>
      </c>
      <c r="BK229" s="567">
        <f t="shared" si="1222"/>
        <v>0</v>
      </c>
      <c r="BL229" s="567" t="e">
        <f>#REF!-BE229</f>
        <v>#REF!</v>
      </c>
      <c r="BM229" s="568">
        <f t="shared" si="1388"/>
        <v>1715.8</v>
      </c>
      <c r="BN229" s="568"/>
      <c r="BO229" s="568">
        <f>746+969.8</f>
        <v>1715.8</v>
      </c>
      <c r="BP229" s="568"/>
      <c r="BQ229" s="568"/>
      <c r="BR229" s="568">
        <f t="shared" si="1389"/>
        <v>0</v>
      </c>
      <c r="BS229" s="568"/>
      <c r="BT229" s="568"/>
      <c r="BU229" s="568"/>
      <c r="BV229" s="568"/>
      <c r="BW229" s="568">
        <f t="shared" si="1390"/>
        <v>68646.39132000001</v>
      </c>
      <c r="BX229" s="568"/>
      <c r="BY229" s="568">
        <f t="shared" si="1223"/>
        <v>5318.8</v>
      </c>
      <c r="BZ229" s="578">
        <v>1675.8</v>
      </c>
      <c r="CA229" s="578">
        <v>3643</v>
      </c>
      <c r="CB229" s="577">
        <f>6400.74379+15756.07519+41170.77234</f>
        <v>63327.591320000007</v>
      </c>
      <c r="CC229" s="577"/>
      <c r="CD229" s="577">
        <f t="shared" si="1391"/>
        <v>68646.39132000001</v>
      </c>
      <c r="CE229" s="568"/>
      <c r="CF229" s="568">
        <f t="shared" si="1224"/>
        <v>5318.8</v>
      </c>
      <c r="CG229" s="578">
        <v>1675.8</v>
      </c>
      <c r="CH229" s="578">
        <v>3643</v>
      </c>
      <c r="CI229" s="577">
        <f>6400.74379+15756.07519+41170.77234</f>
        <v>63327.591320000007</v>
      </c>
      <c r="CJ229" s="577"/>
      <c r="CK229" s="567">
        <f t="shared" si="1392"/>
        <v>6796.8524800000005</v>
      </c>
      <c r="CL229" s="567"/>
      <c r="CM229" s="567">
        <v>526.03599999999994</v>
      </c>
      <c r="CN229" s="567"/>
      <c r="CO229" s="567"/>
      <c r="CP229" s="567">
        <v>6270.8164800000004</v>
      </c>
      <c r="CQ229" s="567"/>
      <c r="CR229" s="573">
        <f t="shared" si="1393"/>
        <v>75443.243799999997</v>
      </c>
      <c r="CS229" s="567">
        <f t="shared" si="1226"/>
        <v>75443.243799999997</v>
      </c>
      <c r="CT229" s="567">
        <f t="shared" si="1227"/>
        <v>0</v>
      </c>
      <c r="CU229" s="567">
        <f t="shared" si="1228"/>
        <v>5844.8360000000002</v>
      </c>
      <c r="CV229" s="567">
        <f t="shared" si="1229"/>
        <v>69598.407800000001</v>
      </c>
      <c r="CW229" s="567">
        <f t="shared" si="1394"/>
        <v>0</v>
      </c>
      <c r="CX229" s="567">
        <f t="shared" ca="1" si="1339"/>
        <v>0</v>
      </c>
      <c r="CY229" s="567">
        <f t="shared" si="1230"/>
        <v>0</v>
      </c>
      <c r="CZ229" s="567">
        <f t="shared" si="1231"/>
        <v>0</v>
      </c>
      <c r="DA229" s="567">
        <f t="shared" si="1232"/>
        <v>0</v>
      </c>
      <c r="DB229" s="2">
        <f t="shared" si="1395"/>
        <v>0</v>
      </c>
      <c r="DC229" s="76"/>
      <c r="DD229" s="545">
        <f xml:space="preserve"> BM229</f>
        <v>1715.8</v>
      </c>
      <c r="DE229" s="545">
        <f>DD229</f>
        <v>1715.8</v>
      </c>
      <c r="DF229" s="198">
        <f t="shared" si="1396"/>
        <v>0</v>
      </c>
      <c r="DG229" s="198"/>
      <c r="DH229" s="198"/>
      <c r="DI229" s="198"/>
      <c r="DJ229" s="198"/>
      <c r="DK229" s="198">
        <f t="shared" si="1397"/>
        <v>0</v>
      </c>
      <c r="DL229" s="198"/>
      <c r="DM229" s="198"/>
      <c r="DN229" s="198"/>
      <c r="DO229" s="198"/>
      <c r="DP229" s="2">
        <f t="shared" si="1398"/>
        <v>0</v>
      </c>
      <c r="DQ229" s="2">
        <f t="shared" si="1412"/>
        <v>0</v>
      </c>
      <c r="DR229" s="2">
        <f t="shared" si="1412"/>
        <v>0</v>
      </c>
      <c r="DS229" s="2">
        <f t="shared" si="1412"/>
        <v>0</v>
      </c>
      <c r="DT229" s="2">
        <f t="shared" si="1412"/>
        <v>0</v>
      </c>
      <c r="DU229" s="2"/>
      <c r="DV229" s="2"/>
      <c r="DW229" s="2"/>
      <c r="DX229" s="2">
        <f t="shared" ca="1" si="1399"/>
        <v>0</v>
      </c>
      <c r="DY229" s="46"/>
      <c r="DZ229" s="2">
        <f t="shared" si="1400"/>
        <v>68646.39132000001</v>
      </c>
      <c r="EA229" s="2">
        <f t="shared" si="1401"/>
        <v>68646.39132000001</v>
      </c>
      <c r="EB229" s="46"/>
      <c r="EC229" s="546">
        <f>EA229</f>
        <v>68646.39132000001</v>
      </c>
      <c r="ED229" s="546">
        <f ca="1">DX229</f>
        <v>0</v>
      </c>
      <c r="EE229" s="46"/>
      <c r="EF229" s="2">
        <f>DE229-EC229</f>
        <v>-66930.591320000007</v>
      </c>
      <c r="EG229" s="46"/>
      <c r="EH229" s="46"/>
      <c r="EI229" s="2">
        <f t="shared" si="1196"/>
        <v>68646.39132000001</v>
      </c>
      <c r="EJ229" s="198"/>
      <c r="EK229" s="198">
        <f t="shared" si="1233"/>
        <v>5318.8</v>
      </c>
      <c r="EL229" s="433">
        <v>1675.8</v>
      </c>
      <c r="EM229" s="433">
        <v>3643</v>
      </c>
      <c r="EN229" s="236">
        <f>6400.74379+15756.07519+41170.77234</f>
        <v>63327.591320000007</v>
      </c>
      <c r="EO229" s="236"/>
      <c r="EP229" s="2">
        <f t="shared" si="1234"/>
        <v>6796.8524800000005</v>
      </c>
      <c r="EQ229" s="2"/>
      <c r="ER229" s="2">
        <v>526.03599999999994</v>
      </c>
      <c r="ES229" s="2">
        <v>165.739</v>
      </c>
      <c r="ET229" s="2">
        <v>360.29700000000003</v>
      </c>
      <c r="EU229" s="2">
        <v>6270.8164800000004</v>
      </c>
      <c r="EV229" s="141"/>
      <c r="EW229" s="310"/>
      <c r="EX229" s="310"/>
      <c r="EY229" s="310"/>
      <c r="EZ229" s="396"/>
      <c r="FA229" s="396"/>
      <c r="FB229" s="310"/>
      <c r="FC229" s="310"/>
      <c r="FD229" s="310"/>
      <c r="FE229" s="396"/>
      <c r="FF229" s="396"/>
      <c r="FG229" s="396"/>
      <c r="FH229" s="311"/>
      <c r="FI229" s="310"/>
      <c r="FJ229" s="296" t="e">
        <f t="shared" si="1404"/>
        <v>#DIV/0!</v>
      </c>
      <c r="FK229" s="353">
        <f t="shared" si="1237"/>
        <v>5318.8</v>
      </c>
      <c r="FL229" s="353">
        <f t="shared" si="1413"/>
        <v>5318.8</v>
      </c>
      <c r="FM229" s="353"/>
      <c r="FN229" s="388">
        <f t="shared" si="1405"/>
        <v>1</v>
      </c>
      <c r="FO229" s="388">
        <f t="shared" si="1406"/>
        <v>0</v>
      </c>
      <c r="FP229" s="353">
        <f t="shared" si="1238"/>
        <v>5844.8360000000002</v>
      </c>
      <c r="FQ229" s="353">
        <f t="shared" si="1407"/>
        <v>5318.8</v>
      </c>
      <c r="FR229" s="353">
        <f t="shared" si="1408"/>
        <v>526.03599999999994</v>
      </c>
      <c r="FS229" s="388">
        <f t="shared" si="1409"/>
        <v>0.9099998699706886</v>
      </c>
      <c r="FT229" s="388">
        <f t="shared" si="1410"/>
        <v>9.0000130029311329E-2</v>
      </c>
      <c r="FU229" s="388"/>
      <c r="FV229" s="353">
        <f t="shared" si="1411"/>
        <v>5844.8360000000002</v>
      </c>
      <c r="FW229" s="353">
        <f t="shared" si="1239"/>
        <v>-526.03600000000006</v>
      </c>
      <c r="FX229" s="310">
        <f t="shared" ref="FX229" si="1423">FY229+FZ229</f>
        <v>63327.591320000007</v>
      </c>
      <c r="FY229" s="310">
        <f>BD229</f>
        <v>63327.591320000007</v>
      </c>
      <c r="FZ229" s="310"/>
      <c r="GA229" s="396">
        <f t="shared" ref="GA229" si="1424">FY229/FX229</f>
        <v>1</v>
      </c>
      <c r="GB229" s="396">
        <f t="shared" ref="GB229" si="1425">FZ229/FX229</f>
        <v>0</v>
      </c>
      <c r="GC229" s="310">
        <f t="shared" si="1298"/>
        <v>69598.407800000001</v>
      </c>
      <c r="GD229" s="310">
        <f t="shared" si="1343"/>
        <v>63327.591320000007</v>
      </c>
      <c r="GE229" s="310">
        <f t="shared" si="1344"/>
        <v>6270.8164800000004</v>
      </c>
      <c r="GF229" s="396">
        <f t="shared" ref="GF229" si="1426">GD229/GC229</f>
        <v>0.90990000090203227</v>
      </c>
      <c r="GG229" s="396">
        <f t="shared" ref="GG229" si="1427">GE229/GC229</f>
        <v>9.009999909796787E-2</v>
      </c>
      <c r="GH229" s="396"/>
      <c r="GI229" s="311">
        <f t="shared" si="1095"/>
        <v>69598.407800000001</v>
      </c>
      <c r="GJ229" s="344">
        <f t="shared" si="1299"/>
        <v>-6270.816479999994</v>
      </c>
      <c r="GK229" s="303">
        <f t="shared" si="1215"/>
        <v>1</v>
      </c>
    </row>
    <row r="230" spans="2:193" s="37" customFormat="1" ht="15.6" customHeight="1" x14ac:dyDescent="0.25">
      <c r="B230" s="29"/>
      <c r="C230" s="30"/>
      <c r="D230" s="30">
        <v>1</v>
      </c>
      <c r="E230" s="493">
        <v>192</v>
      </c>
      <c r="F230" s="29"/>
      <c r="G230" s="30"/>
      <c r="H230" s="30">
        <v>1</v>
      </c>
      <c r="I230" s="493"/>
      <c r="J230" s="494"/>
      <c r="K230" s="494"/>
      <c r="L230" s="53"/>
      <c r="M230" s="493">
        <v>167</v>
      </c>
      <c r="N230" s="494" t="s">
        <v>149</v>
      </c>
      <c r="O230" s="494"/>
      <c r="P230" s="494">
        <f t="shared" si="1236"/>
        <v>0</v>
      </c>
      <c r="Q230" s="494" t="s">
        <v>701</v>
      </c>
      <c r="R230" s="494" t="s">
        <v>699</v>
      </c>
      <c r="S230" s="494" t="s">
        <v>519</v>
      </c>
      <c r="T230" s="156">
        <v>2</v>
      </c>
      <c r="U230" s="493">
        <v>1</v>
      </c>
      <c r="V230" s="2">
        <f t="shared" si="1216"/>
        <v>2816.2</v>
      </c>
      <c r="W230" s="2"/>
      <c r="X230" s="198">
        <f t="shared" si="1031"/>
        <v>2816.2</v>
      </c>
      <c r="Y230" s="198">
        <v>887.3</v>
      </c>
      <c r="Z230" s="42">
        <v>1928.9</v>
      </c>
      <c r="AA230" s="2"/>
      <c r="AB230" s="567">
        <f t="shared" si="1382"/>
        <v>2816.2</v>
      </c>
      <c r="AC230" s="567"/>
      <c r="AD230" s="568">
        <f t="shared" si="1032"/>
        <v>2816.2</v>
      </c>
      <c r="AE230" s="568">
        <v>887.3</v>
      </c>
      <c r="AF230" s="569">
        <v>1928.9</v>
      </c>
      <c r="AG230" s="567"/>
      <c r="AH230" s="570"/>
      <c r="AI230" s="567">
        <f t="shared" si="1383"/>
        <v>834.9</v>
      </c>
      <c r="AJ230" s="567"/>
      <c r="AK230" s="568">
        <v>834.9</v>
      </c>
      <c r="AL230" s="567"/>
      <c r="AM230" s="570"/>
      <c r="AN230" s="567">
        <f t="shared" si="1384"/>
        <v>834.9</v>
      </c>
      <c r="AO230" s="567"/>
      <c r="AP230" s="568">
        <v>834.9</v>
      </c>
      <c r="AQ230" s="567"/>
      <c r="AR230" s="570"/>
      <c r="AS230" s="567">
        <f t="shared" si="1385"/>
        <v>363</v>
      </c>
      <c r="AT230" s="567"/>
      <c r="AU230" s="568">
        <v>363</v>
      </c>
      <c r="AV230" s="567"/>
      <c r="AW230" s="570"/>
      <c r="AX230" s="409" t="s">
        <v>669</v>
      </c>
      <c r="AY230" s="567">
        <f t="shared" si="1386"/>
        <v>2816.2</v>
      </c>
      <c r="AZ230" s="567"/>
      <c r="BA230" s="568">
        <f t="shared" si="1387"/>
        <v>2816.2</v>
      </c>
      <c r="BB230" s="568">
        <v>887.3</v>
      </c>
      <c r="BC230" s="569">
        <v>1928.9</v>
      </c>
      <c r="BD230" s="567"/>
      <c r="BE230" s="570"/>
      <c r="BF230" s="567">
        <f t="shared" si="1217"/>
        <v>0</v>
      </c>
      <c r="BG230" s="567">
        <f t="shared" si="1218"/>
        <v>0</v>
      </c>
      <c r="BH230" s="567">
        <f t="shared" si="1219"/>
        <v>0</v>
      </c>
      <c r="BI230" s="567">
        <f t="shared" si="1220"/>
        <v>0</v>
      </c>
      <c r="BJ230" s="567">
        <f t="shared" si="1221"/>
        <v>0</v>
      </c>
      <c r="BK230" s="567">
        <f t="shared" si="1222"/>
        <v>0</v>
      </c>
      <c r="BL230" s="567" t="e">
        <f>#REF!-BE230</f>
        <v>#REF!</v>
      </c>
      <c r="BM230" s="567">
        <f t="shared" si="1388"/>
        <v>834.9</v>
      </c>
      <c r="BN230" s="567"/>
      <c r="BO230" s="568">
        <v>834.9</v>
      </c>
      <c r="BP230" s="567"/>
      <c r="BQ230" s="570"/>
      <c r="BR230" s="567">
        <f t="shared" si="1389"/>
        <v>0</v>
      </c>
      <c r="BS230" s="567"/>
      <c r="BT230" s="570"/>
      <c r="BU230" s="567"/>
      <c r="BV230" s="570"/>
      <c r="BW230" s="567">
        <f t="shared" si="1390"/>
        <v>2816.2</v>
      </c>
      <c r="BX230" s="567"/>
      <c r="BY230" s="578">
        <f t="shared" si="1223"/>
        <v>2816.2</v>
      </c>
      <c r="BZ230" s="571">
        <v>887.3</v>
      </c>
      <c r="CA230" s="571">
        <f>1803.35006+125.54994</f>
        <v>1928.9</v>
      </c>
      <c r="CB230" s="567"/>
      <c r="CC230" s="577"/>
      <c r="CD230" s="567">
        <f t="shared" si="1391"/>
        <v>2816.2</v>
      </c>
      <c r="CE230" s="567"/>
      <c r="CF230" s="578">
        <f t="shared" si="1224"/>
        <v>2816.2</v>
      </c>
      <c r="CG230" s="571">
        <v>887.3</v>
      </c>
      <c r="CH230" s="571">
        <f>1803.35006+125.54994</f>
        <v>1928.9</v>
      </c>
      <c r="CI230" s="567"/>
      <c r="CJ230" s="577"/>
      <c r="CK230" s="567">
        <f t="shared" si="1392"/>
        <v>748.22</v>
      </c>
      <c r="CL230" s="567"/>
      <c r="CM230" s="567">
        <f t="shared" si="1225"/>
        <v>748.22</v>
      </c>
      <c r="CN230" s="567">
        <v>448.19319999999999</v>
      </c>
      <c r="CO230" s="567">
        <f>19.52841+280.49839</f>
        <v>300.02679999999998</v>
      </c>
      <c r="CP230" s="567"/>
      <c r="CQ230" s="567"/>
      <c r="CR230" s="573">
        <f t="shared" si="1393"/>
        <v>3564.42</v>
      </c>
      <c r="CS230" s="567">
        <f t="shared" si="1226"/>
        <v>3564.42</v>
      </c>
      <c r="CT230" s="567">
        <f t="shared" si="1227"/>
        <v>0</v>
      </c>
      <c r="CU230" s="567">
        <f t="shared" si="1228"/>
        <v>3564.42</v>
      </c>
      <c r="CV230" s="567">
        <f t="shared" si="1229"/>
        <v>0</v>
      </c>
      <c r="CW230" s="567">
        <f t="shared" si="1394"/>
        <v>0</v>
      </c>
      <c r="CX230" s="567">
        <f t="shared" ca="1" si="1339"/>
        <v>0</v>
      </c>
      <c r="CY230" s="567">
        <f t="shared" si="1230"/>
        <v>0</v>
      </c>
      <c r="CZ230" s="567">
        <f t="shared" si="1231"/>
        <v>0</v>
      </c>
      <c r="DA230" s="567">
        <f t="shared" si="1232"/>
        <v>0</v>
      </c>
      <c r="DB230" s="2">
        <f t="shared" si="1395"/>
        <v>0</v>
      </c>
      <c r="DC230" s="76"/>
      <c r="DD230" s="253">
        <f xml:space="preserve"> BM222-DD223-DD229</f>
        <v>2769.2</v>
      </c>
      <c r="DE230" s="253">
        <f>DD230-BR231</f>
        <v>2769.2</v>
      </c>
      <c r="DF230" s="2">
        <f t="shared" si="1396"/>
        <v>0</v>
      </c>
      <c r="DG230" s="2"/>
      <c r="DH230" s="234"/>
      <c r="DI230" s="2"/>
      <c r="DJ230" s="234"/>
      <c r="DK230" s="2">
        <f t="shared" si="1397"/>
        <v>0</v>
      </c>
      <c r="DL230" s="2"/>
      <c r="DM230" s="234"/>
      <c r="DN230" s="2"/>
      <c r="DO230" s="234"/>
      <c r="DP230" s="2">
        <f t="shared" si="1398"/>
        <v>0</v>
      </c>
      <c r="DQ230" s="2">
        <f t="shared" si="1412"/>
        <v>0</v>
      </c>
      <c r="DR230" s="2">
        <f t="shared" si="1412"/>
        <v>0</v>
      </c>
      <c r="DS230" s="2">
        <f t="shared" si="1412"/>
        <v>0</v>
      </c>
      <c r="DT230" s="2">
        <f t="shared" si="1412"/>
        <v>0</v>
      </c>
      <c r="DU230" s="2"/>
      <c r="DV230" s="2"/>
      <c r="DW230" s="2"/>
      <c r="DX230" s="2">
        <f t="shared" ca="1" si="1399"/>
        <v>0</v>
      </c>
      <c r="DY230" s="46"/>
      <c r="DZ230" s="2">
        <f t="shared" si="1400"/>
        <v>2816.2</v>
      </c>
      <c r="EA230" s="2">
        <f t="shared" si="1401"/>
        <v>2816.2</v>
      </c>
      <c r="EB230" s="46"/>
      <c r="EC230" s="2">
        <f>EA225+EA226+EA227+EA228+EA230+EA231</f>
        <v>7754.3229599999995</v>
      </c>
      <c r="ED230" s="2">
        <f ca="1">DX225+DX226+DX227+DX228+DX230+DX231</f>
        <v>0</v>
      </c>
      <c r="EE230" s="46"/>
      <c r="EF230" s="2">
        <f>DE230-EC230</f>
        <v>-4985.1229599999997</v>
      </c>
      <c r="EG230" s="46"/>
      <c r="EH230" s="46"/>
      <c r="EI230" s="2">
        <f t="shared" si="1196"/>
        <v>2816.2</v>
      </c>
      <c r="EJ230" s="2"/>
      <c r="EK230" s="433">
        <f t="shared" si="1233"/>
        <v>2816.2</v>
      </c>
      <c r="EL230" s="446">
        <v>887.3</v>
      </c>
      <c r="EM230" s="446">
        <f>1803.35006+125.54994</f>
        <v>1928.9</v>
      </c>
      <c r="EN230" s="2"/>
      <c r="EO230" s="236"/>
      <c r="EP230" s="2">
        <f t="shared" si="1234"/>
        <v>748.22</v>
      </c>
      <c r="EQ230" s="2"/>
      <c r="ER230" s="2">
        <f t="shared" si="1235"/>
        <v>748.22</v>
      </c>
      <c r="ES230" s="2">
        <v>448.19319999999999</v>
      </c>
      <c r="ET230" s="2">
        <f>19.52841+280.49839</f>
        <v>300.02679999999998</v>
      </c>
      <c r="EU230" s="2"/>
      <c r="EV230" s="141"/>
      <c r="EW230" s="310"/>
      <c r="EX230" s="310"/>
      <c r="EY230" s="310"/>
      <c r="EZ230" s="396"/>
      <c r="FA230" s="396"/>
      <c r="FB230" s="310"/>
      <c r="FC230" s="310"/>
      <c r="FD230" s="310"/>
      <c r="FE230" s="396"/>
      <c r="FF230" s="396"/>
      <c r="FG230" s="396"/>
      <c r="FH230" s="311"/>
      <c r="FI230" s="310"/>
      <c r="FJ230" s="296" t="e">
        <f t="shared" si="1404"/>
        <v>#DIV/0!</v>
      </c>
      <c r="FK230" s="353">
        <f t="shared" si="1237"/>
        <v>2816.2</v>
      </c>
      <c r="FL230" s="353">
        <f t="shared" si="1413"/>
        <v>2816.2</v>
      </c>
      <c r="FM230" s="353"/>
      <c r="FN230" s="388">
        <f t="shared" si="1405"/>
        <v>1</v>
      </c>
      <c r="FO230" s="388">
        <f t="shared" si="1406"/>
        <v>0</v>
      </c>
      <c r="FP230" s="353">
        <f t="shared" si="1238"/>
        <v>3564.42</v>
      </c>
      <c r="FQ230" s="353">
        <f t="shared" si="1407"/>
        <v>2816.2</v>
      </c>
      <c r="FR230" s="353">
        <f t="shared" si="1408"/>
        <v>748.22</v>
      </c>
      <c r="FS230" s="388">
        <f t="shared" si="1409"/>
        <v>0.79008646568025087</v>
      </c>
      <c r="FT230" s="388">
        <f t="shared" si="1410"/>
        <v>0.20991353431974907</v>
      </c>
      <c r="FU230" s="388"/>
      <c r="FV230" s="353">
        <f t="shared" si="1411"/>
        <v>3564.42</v>
      </c>
      <c r="FW230" s="353">
        <f t="shared" si="1239"/>
        <v>-748.22000000000025</v>
      </c>
      <c r="FX230" s="310"/>
      <c r="FY230" s="310"/>
      <c r="FZ230" s="310"/>
      <c r="GA230" s="396"/>
      <c r="GB230" s="396"/>
      <c r="GC230" s="310"/>
      <c r="GD230" s="310"/>
      <c r="GE230" s="310"/>
      <c r="GF230" s="396"/>
      <c r="GG230" s="396"/>
      <c r="GH230" s="396"/>
      <c r="GI230" s="311"/>
      <c r="GJ230" s="344"/>
      <c r="GK230" s="303">
        <f t="shared" si="1215"/>
        <v>1</v>
      </c>
    </row>
    <row r="231" spans="2:193" s="37" customFormat="1" ht="15.75" customHeight="1" x14ac:dyDescent="0.25">
      <c r="B231" s="29"/>
      <c r="C231" s="30"/>
      <c r="D231" s="30">
        <v>1</v>
      </c>
      <c r="E231" s="493">
        <v>193</v>
      </c>
      <c r="F231" s="29"/>
      <c r="G231" s="30"/>
      <c r="H231" s="30">
        <v>1</v>
      </c>
      <c r="I231" s="493"/>
      <c r="J231" s="494"/>
      <c r="K231" s="494"/>
      <c r="L231" s="53"/>
      <c r="M231" s="493">
        <v>168</v>
      </c>
      <c r="N231" s="478" t="s">
        <v>171</v>
      </c>
      <c r="O231" s="478"/>
      <c r="P231" s="478">
        <f t="shared" si="1236"/>
        <v>0</v>
      </c>
      <c r="Q231" s="478"/>
      <c r="R231" s="478"/>
      <c r="S231" s="443" t="s">
        <v>509</v>
      </c>
      <c r="T231" s="156">
        <v>2</v>
      </c>
      <c r="U231" s="493"/>
      <c r="V231" s="2">
        <f t="shared" si="1216"/>
        <v>832.09999999999991</v>
      </c>
      <c r="W231" s="2"/>
      <c r="X231" s="2">
        <f t="shared" si="1031"/>
        <v>832.09999999999991</v>
      </c>
      <c r="Y231" s="2">
        <v>262.2</v>
      </c>
      <c r="Z231" s="2">
        <v>569.9</v>
      </c>
      <c r="AA231" s="2"/>
      <c r="AB231" s="567">
        <f t="shared" si="1382"/>
        <v>832.09999999999991</v>
      </c>
      <c r="AC231" s="567"/>
      <c r="AD231" s="567">
        <f t="shared" si="1032"/>
        <v>832.09999999999991</v>
      </c>
      <c r="AE231" s="567">
        <v>262.2</v>
      </c>
      <c r="AF231" s="567">
        <v>569.9</v>
      </c>
      <c r="AG231" s="567"/>
      <c r="AH231" s="573"/>
      <c r="AI231" s="567">
        <f t="shared" si="1383"/>
        <v>384.1</v>
      </c>
      <c r="AJ231" s="567"/>
      <c r="AK231" s="567">
        <v>384.1</v>
      </c>
      <c r="AL231" s="567"/>
      <c r="AM231" s="573"/>
      <c r="AN231" s="567">
        <f t="shared" si="1384"/>
        <v>384.1</v>
      </c>
      <c r="AO231" s="567"/>
      <c r="AP231" s="567">
        <v>384.1</v>
      </c>
      <c r="AQ231" s="567"/>
      <c r="AR231" s="573"/>
      <c r="AS231" s="567">
        <f t="shared" si="1385"/>
        <v>119</v>
      </c>
      <c r="AT231" s="567"/>
      <c r="AU231" s="567">
        <v>119</v>
      </c>
      <c r="AV231" s="567"/>
      <c r="AW231" s="567"/>
      <c r="AX231" s="425" t="s">
        <v>385</v>
      </c>
      <c r="AY231" s="567">
        <f t="shared" si="1386"/>
        <v>812.4380000000001</v>
      </c>
      <c r="AZ231" s="567"/>
      <c r="BA231" s="567">
        <f t="shared" si="1387"/>
        <v>812.4380000000001</v>
      </c>
      <c r="BB231" s="567">
        <f>262.2-19.662</f>
        <v>242.53799999999998</v>
      </c>
      <c r="BC231" s="567">
        <f>550.238+19.662</f>
        <v>569.90000000000009</v>
      </c>
      <c r="BD231" s="567"/>
      <c r="BE231" s="567"/>
      <c r="BF231" s="567">
        <f t="shared" si="1217"/>
        <v>19.662000000000006</v>
      </c>
      <c r="BG231" s="567">
        <f t="shared" si="1218"/>
        <v>0</v>
      </c>
      <c r="BH231" s="567">
        <f t="shared" si="1219"/>
        <v>19.662000000000006</v>
      </c>
      <c r="BI231" s="567">
        <f t="shared" si="1220"/>
        <v>19.662000000000006</v>
      </c>
      <c r="BJ231" s="567">
        <f t="shared" si="1221"/>
        <v>0</v>
      </c>
      <c r="BK231" s="567">
        <f t="shared" si="1222"/>
        <v>0</v>
      </c>
      <c r="BL231" s="567" t="e">
        <f>#REF!-BE231</f>
        <v>#REF!</v>
      </c>
      <c r="BM231" s="567">
        <f t="shared" si="1388"/>
        <v>384.1</v>
      </c>
      <c r="BN231" s="567"/>
      <c r="BO231" s="567">
        <f>119+265.1</f>
        <v>384.1</v>
      </c>
      <c r="BP231" s="567"/>
      <c r="BQ231" s="567"/>
      <c r="BR231" s="567">
        <f t="shared" si="1389"/>
        <v>0</v>
      </c>
      <c r="BS231" s="567"/>
      <c r="BT231" s="568"/>
      <c r="BU231" s="567"/>
      <c r="BV231" s="567"/>
      <c r="BW231" s="567">
        <f t="shared" si="1390"/>
        <v>527.31793999999991</v>
      </c>
      <c r="BX231" s="567"/>
      <c r="BY231" s="567">
        <f t="shared" si="1223"/>
        <v>527.31793999999991</v>
      </c>
      <c r="BZ231" s="574">
        <f>147.31296-19.662</f>
        <v>127.65096</v>
      </c>
      <c r="CA231" s="574">
        <f>148.23387+231.77111+19.662</f>
        <v>399.66697999999997</v>
      </c>
      <c r="CB231" s="567"/>
      <c r="CC231" s="567"/>
      <c r="CD231" s="567">
        <f t="shared" si="1391"/>
        <v>527.31793999999991</v>
      </c>
      <c r="CE231" s="567"/>
      <c r="CF231" s="567">
        <f t="shared" si="1224"/>
        <v>527.31793999999991</v>
      </c>
      <c r="CG231" s="574">
        <f>147.31296-19.662</f>
        <v>127.65096</v>
      </c>
      <c r="CH231" s="574">
        <f>148.23387+231.77111+19.662</f>
        <v>399.66697999999997</v>
      </c>
      <c r="CI231" s="567"/>
      <c r="CJ231" s="567"/>
      <c r="CK231" s="567">
        <f t="shared" si="1392"/>
        <v>76.940380000000005</v>
      </c>
      <c r="CL231" s="567"/>
      <c r="CM231" s="567">
        <f t="shared" si="1225"/>
        <v>76.940380000000005</v>
      </c>
      <c r="CN231" s="567">
        <v>29.972740000000002</v>
      </c>
      <c r="CO231" s="567">
        <f>18.32133+28.64631</f>
        <v>46.967640000000003</v>
      </c>
      <c r="CP231" s="567"/>
      <c r="CQ231" s="567"/>
      <c r="CR231" s="573">
        <f t="shared" si="1393"/>
        <v>604.25831999999991</v>
      </c>
      <c r="CS231" s="567">
        <f t="shared" si="1226"/>
        <v>604.25831999999991</v>
      </c>
      <c r="CT231" s="567">
        <f t="shared" si="1227"/>
        <v>0</v>
      </c>
      <c r="CU231" s="567">
        <f t="shared" si="1228"/>
        <v>604.25831999999991</v>
      </c>
      <c r="CV231" s="567">
        <f t="shared" si="1229"/>
        <v>0</v>
      </c>
      <c r="CW231" s="567">
        <f t="shared" si="1394"/>
        <v>0</v>
      </c>
      <c r="CX231" s="567">
        <f t="shared" ca="1" si="1339"/>
        <v>0</v>
      </c>
      <c r="CY231" s="567">
        <f t="shared" si="1230"/>
        <v>0</v>
      </c>
      <c r="CZ231" s="567">
        <f t="shared" si="1231"/>
        <v>0</v>
      </c>
      <c r="DA231" s="567">
        <f t="shared" si="1232"/>
        <v>0</v>
      </c>
      <c r="DB231" s="2">
        <f t="shared" si="1395"/>
        <v>0</v>
      </c>
      <c r="DC231" s="76"/>
      <c r="DD231" s="253"/>
      <c r="DE231" s="253"/>
      <c r="DF231" s="2">
        <f t="shared" si="1396"/>
        <v>0</v>
      </c>
      <c r="DG231" s="2"/>
      <c r="DH231" s="198"/>
      <c r="DI231" s="2"/>
      <c r="DJ231" s="2"/>
      <c r="DK231" s="2">
        <f t="shared" si="1397"/>
        <v>0</v>
      </c>
      <c r="DL231" s="2"/>
      <c r="DM231" s="198"/>
      <c r="DN231" s="2"/>
      <c r="DO231" s="2"/>
      <c r="DP231" s="2">
        <f t="shared" si="1398"/>
        <v>0</v>
      </c>
      <c r="DQ231" s="2">
        <f t="shared" si="1412"/>
        <v>0</v>
      </c>
      <c r="DR231" s="2">
        <f t="shared" si="1412"/>
        <v>0</v>
      </c>
      <c r="DS231" s="2">
        <f t="shared" si="1412"/>
        <v>0</v>
      </c>
      <c r="DT231" s="2">
        <f t="shared" si="1412"/>
        <v>0</v>
      </c>
      <c r="DU231" s="2"/>
      <c r="DV231" s="2"/>
      <c r="DW231" s="2"/>
      <c r="DX231" s="2">
        <f t="shared" ca="1" si="1399"/>
        <v>0</v>
      </c>
      <c r="DY231" s="46"/>
      <c r="DZ231" s="2">
        <f t="shared" si="1400"/>
        <v>527.31793999999991</v>
      </c>
      <c r="EA231" s="2">
        <f t="shared" si="1401"/>
        <v>527.31793999999991</v>
      </c>
      <c r="EB231" s="46"/>
      <c r="EC231" s="2"/>
      <c r="ED231" s="2"/>
      <c r="EE231" s="46"/>
      <c r="EF231" s="2"/>
      <c r="EG231" s="46"/>
      <c r="EH231" s="46"/>
      <c r="EI231" s="2">
        <f t="shared" si="1196"/>
        <v>527.31793999999991</v>
      </c>
      <c r="EJ231" s="2"/>
      <c r="EK231" s="2">
        <f t="shared" si="1233"/>
        <v>527.31793999999991</v>
      </c>
      <c r="EL231" s="432">
        <f>147.31296-19.662</f>
        <v>127.65096</v>
      </c>
      <c r="EM231" s="432">
        <f>148.23387+231.77111+19.662</f>
        <v>399.66697999999997</v>
      </c>
      <c r="EN231" s="2"/>
      <c r="EO231" s="2"/>
      <c r="EP231" s="2">
        <f t="shared" si="1234"/>
        <v>76.940380000000005</v>
      </c>
      <c r="EQ231" s="2"/>
      <c r="ER231" s="2">
        <f t="shared" si="1235"/>
        <v>76.940380000000005</v>
      </c>
      <c r="ES231" s="2">
        <v>29.972740000000002</v>
      </c>
      <c r="ET231" s="2">
        <f>18.32133+28.64631</f>
        <v>46.967640000000003</v>
      </c>
      <c r="EU231" s="2"/>
      <c r="EV231" s="141"/>
      <c r="EW231" s="310"/>
      <c r="EX231" s="310"/>
      <c r="EY231" s="310"/>
      <c r="EZ231" s="396"/>
      <c r="FA231" s="396"/>
      <c r="FB231" s="310"/>
      <c r="FC231" s="310"/>
      <c r="FD231" s="310"/>
      <c r="FE231" s="396"/>
      <c r="FF231" s="396"/>
      <c r="FG231" s="396"/>
      <c r="FH231" s="311"/>
      <c r="FI231" s="310"/>
      <c r="FJ231" s="296" t="e">
        <f t="shared" si="1404"/>
        <v>#DIV/0!</v>
      </c>
      <c r="FK231" s="353">
        <f t="shared" si="1237"/>
        <v>812.4380000000001</v>
      </c>
      <c r="FL231" s="353">
        <f t="shared" si="1413"/>
        <v>812.4380000000001</v>
      </c>
      <c r="FM231" s="353"/>
      <c r="FN231" s="388">
        <f t="shared" si="1405"/>
        <v>1</v>
      </c>
      <c r="FO231" s="388">
        <f t="shared" si="1406"/>
        <v>0</v>
      </c>
      <c r="FP231" s="353">
        <f t="shared" si="1238"/>
        <v>604.25831999999991</v>
      </c>
      <c r="FQ231" s="353">
        <f t="shared" si="1407"/>
        <v>527.31793999999991</v>
      </c>
      <c r="FR231" s="353">
        <f t="shared" si="1408"/>
        <v>76.940380000000005</v>
      </c>
      <c r="FS231" s="388">
        <f t="shared" si="1409"/>
        <v>0.87266972178388869</v>
      </c>
      <c r="FT231" s="388">
        <f t="shared" si="1410"/>
        <v>0.12733027821611131</v>
      </c>
      <c r="FU231" s="388"/>
      <c r="FV231" s="353">
        <f t="shared" si="1411"/>
        <v>604.25831999999991</v>
      </c>
      <c r="FW231" s="353">
        <f t="shared" si="1239"/>
        <v>-76.940380000000005</v>
      </c>
      <c r="FX231" s="310"/>
      <c r="FY231" s="310"/>
      <c r="FZ231" s="310"/>
      <c r="GA231" s="396"/>
      <c r="GB231" s="396"/>
      <c r="GC231" s="310"/>
      <c r="GD231" s="310"/>
      <c r="GE231" s="310"/>
      <c r="GF231" s="396"/>
      <c r="GG231" s="396"/>
      <c r="GH231" s="396"/>
      <c r="GI231" s="311"/>
      <c r="GJ231" s="344"/>
      <c r="GK231" s="303">
        <f t="shared" si="1215"/>
        <v>0.63371943276048548</v>
      </c>
    </row>
    <row r="232" spans="2:193" s="115" customFormat="1" ht="15.6" customHeight="1" x14ac:dyDescent="0.2">
      <c r="B232" s="109"/>
      <c r="C232" s="110"/>
      <c r="D232" s="110"/>
      <c r="E232" s="111"/>
      <c r="F232" s="109"/>
      <c r="G232" s="110"/>
      <c r="H232" s="110"/>
      <c r="I232" s="492"/>
      <c r="J232" s="492"/>
      <c r="K232" s="492"/>
      <c r="L232" s="556"/>
      <c r="M232" s="111"/>
      <c r="N232" s="114" t="s">
        <v>11</v>
      </c>
      <c r="O232" s="114"/>
      <c r="P232" s="114">
        <f t="shared" si="1236"/>
        <v>0</v>
      </c>
      <c r="Q232" s="114"/>
      <c r="R232" s="114"/>
      <c r="S232" s="114"/>
      <c r="T232" s="158">
        <f t="shared" ref="T232:AH232" si="1428">SUM(T233:T243)-T234</f>
        <v>11</v>
      </c>
      <c r="U232" s="158">
        <f>U233+U234+U235+U236+U237+U238+U239+U240+U241+U242+U243</f>
        <v>1</v>
      </c>
      <c r="V232" s="57">
        <f t="shared" si="1216"/>
        <v>38012.800000000003</v>
      </c>
      <c r="W232" s="57">
        <f t="shared" ref="W232:AA232" si="1429">SUM(W233:W243)-W234</f>
        <v>0</v>
      </c>
      <c r="X232" s="57">
        <f t="shared" si="1429"/>
        <v>38012.800000000003</v>
      </c>
      <c r="Y232" s="57">
        <f t="shared" si="1429"/>
        <v>11976.7</v>
      </c>
      <c r="Z232" s="57">
        <f t="shared" si="1429"/>
        <v>26036.1</v>
      </c>
      <c r="AA232" s="57">
        <f t="shared" si="1429"/>
        <v>0</v>
      </c>
      <c r="AB232" s="564">
        <f t="shared" si="1428"/>
        <v>38012.800000000003</v>
      </c>
      <c r="AC232" s="564">
        <f t="shared" si="1428"/>
        <v>0</v>
      </c>
      <c r="AD232" s="564">
        <f t="shared" si="1428"/>
        <v>38012.800000000003</v>
      </c>
      <c r="AE232" s="564">
        <f t="shared" si="1428"/>
        <v>12417.988640000001</v>
      </c>
      <c r="AF232" s="564">
        <f t="shared" si="1428"/>
        <v>25594.81136</v>
      </c>
      <c r="AG232" s="564">
        <f t="shared" si="1428"/>
        <v>0</v>
      </c>
      <c r="AH232" s="564">
        <f t="shared" si="1428"/>
        <v>0</v>
      </c>
      <c r="AI232" s="564">
        <f t="shared" ref="AI232:AM232" si="1430">SUM(AI233:AI243)-AI234</f>
        <v>0</v>
      </c>
      <c r="AJ232" s="564">
        <f t="shared" si="1430"/>
        <v>0</v>
      </c>
      <c r="AK232" s="564">
        <f t="shared" si="1430"/>
        <v>0</v>
      </c>
      <c r="AL232" s="564">
        <f t="shared" si="1430"/>
        <v>0</v>
      </c>
      <c r="AM232" s="564">
        <f t="shared" si="1430"/>
        <v>0</v>
      </c>
      <c r="AN232" s="564">
        <f t="shared" ref="AN232:AR232" si="1431">SUM(AN233:AN243)-AN234</f>
        <v>0</v>
      </c>
      <c r="AO232" s="564">
        <f t="shared" si="1431"/>
        <v>0</v>
      </c>
      <c r="AP232" s="564">
        <f t="shared" si="1431"/>
        <v>0</v>
      </c>
      <c r="AQ232" s="564">
        <f t="shared" si="1431"/>
        <v>0</v>
      </c>
      <c r="AR232" s="564">
        <f t="shared" si="1431"/>
        <v>0</v>
      </c>
      <c r="AS232" s="566">
        <f t="shared" ref="AS232:AW232" si="1432">SUM(AS233:AS243)-AS234</f>
        <v>0</v>
      </c>
      <c r="AT232" s="564">
        <f t="shared" si="1432"/>
        <v>0</v>
      </c>
      <c r="AU232" s="564">
        <f t="shared" si="1432"/>
        <v>0</v>
      </c>
      <c r="AV232" s="564">
        <f t="shared" si="1432"/>
        <v>0</v>
      </c>
      <c r="AW232" s="564">
        <f t="shared" si="1432"/>
        <v>0</v>
      </c>
      <c r="AX232" s="565"/>
      <c r="AY232" s="564">
        <f t="shared" ref="AY232:BD232" si="1433">SUM(AY233:AY243)-AY234</f>
        <v>37571.511359999997</v>
      </c>
      <c r="AZ232" s="564">
        <f t="shared" si="1433"/>
        <v>0</v>
      </c>
      <c r="BA232" s="564">
        <f t="shared" si="1433"/>
        <v>37571.511359999997</v>
      </c>
      <c r="BB232" s="564">
        <f t="shared" ref="BB232:BC232" si="1434">SUM(BB233:BB243)-BB234</f>
        <v>11976.7</v>
      </c>
      <c r="BC232" s="564">
        <f t="shared" si="1434"/>
        <v>25594.81136</v>
      </c>
      <c r="BD232" s="564">
        <f t="shared" si="1433"/>
        <v>0</v>
      </c>
      <c r="BE232" s="564">
        <f>SUM(BE233:BE243)-BE234</f>
        <v>0</v>
      </c>
      <c r="BF232" s="564">
        <f t="shared" si="1217"/>
        <v>441.28864000000067</v>
      </c>
      <c r="BG232" s="564">
        <f t="shared" si="1218"/>
        <v>0</v>
      </c>
      <c r="BH232" s="564">
        <f t="shared" si="1219"/>
        <v>441.28864000000067</v>
      </c>
      <c r="BI232" s="564">
        <f t="shared" si="1220"/>
        <v>441.28864000000067</v>
      </c>
      <c r="BJ232" s="564">
        <f t="shared" si="1221"/>
        <v>0</v>
      </c>
      <c r="BK232" s="564">
        <f t="shared" si="1222"/>
        <v>0</v>
      </c>
      <c r="BL232" s="564" t="e">
        <f t="shared" ref="BL232:BQ232" si="1435">SUM(BL233:BL243)-BL234</f>
        <v>#REF!</v>
      </c>
      <c r="BM232" s="564">
        <f t="shared" si="1435"/>
        <v>63248.998610000002</v>
      </c>
      <c r="BN232" s="564">
        <f t="shared" si="1435"/>
        <v>51717.507610000001</v>
      </c>
      <c r="BO232" s="564">
        <f t="shared" si="1435"/>
        <v>11531.491</v>
      </c>
      <c r="BP232" s="564">
        <f t="shared" si="1435"/>
        <v>0</v>
      </c>
      <c r="BQ232" s="564">
        <f t="shared" si="1435"/>
        <v>0</v>
      </c>
      <c r="BR232" s="564">
        <f t="shared" ref="BR232:DB232" si="1436">SUM(BR233:BR243)-BR234</f>
        <v>0</v>
      </c>
      <c r="BS232" s="564">
        <f t="shared" si="1436"/>
        <v>0</v>
      </c>
      <c r="BT232" s="564">
        <f t="shared" si="1436"/>
        <v>0</v>
      </c>
      <c r="BU232" s="564">
        <f t="shared" si="1436"/>
        <v>0</v>
      </c>
      <c r="BV232" s="564">
        <f t="shared" si="1436"/>
        <v>0</v>
      </c>
      <c r="BW232" s="564">
        <f t="shared" si="1436"/>
        <v>35822.515760000002</v>
      </c>
      <c r="BX232" s="564">
        <f t="shared" si="1436"/>
        <v>0</v>
      </c>
      <c r="BY232" s="564">
        <f t="shared" si="1223"/>
        <v>35822.515760000002</v>
      </c>
      <c r="BZ232" s="564">
        <f t="shared" si="1436"/>
        <v>10919.67474</v>
      </c>
      <c r="CA232" s="564">
        <f t="shared" si="1436"/>
        <v>24902.84102</v>
      </c>
      <c r="CB232" s="564">
        <f t="shared" si="1436"/>
        <v>0</v>
      </c>
      <c r="CC232" s="564">
        <f t="shared" si="1436"/>
        <v>0</v>
      </c>
      <c r="CD232" s="564">
        <f t="shared" si="1436"/>
        <v>35822.515760000002</v>
      </c>
      <c r="CE232" s="564">
        <f t="shared" ref="CE232" si="1437">SUM(CE233:CE243)-CE234</f>
        <v>0</v>
      </c>
      <c r="CF232" s="564">
        <f t="shared" si="1224"/>
        <v>35822.515760000002</v>
      </c>
      <c r="CG232" s="564">
        <f t="shared" ref="CG232:CH232" si="1438">SUM(CG233:CG243)-CG234</f>
        <v>10919.67474</v>
      </c>
      <c r="CH232" s="564">
        <f t="shared" si="1438"/>
        <v>24902.84102</v>
      </c>
      <c r="CI232" s="564">
        <f t="shared" ref="CI232" si="1439">SUM(CI233:CI243)-CI234</f>
        <v>0</v>
      </c>
      <c r="CJ232" s="564">
        <f t="shared" si="1436"/>
        <v>0</v>
      </c>
      <c r="CK232" s="566">
        <f t="shared" si="1436"/>
        <v>5918.1669099999999</v>
      </c>
      <c r="CL232" s="564">
        <f t="shared" si="1436"/>
        <v>0</v>
      </c>
      <c r="CM232" s="564">
        <f>SUM(CM233:CM243)</f>
        <v>5918.1669099999999</v>
      </c>
      <c r="CN232" s="564">
        <f t="shared" si="1436"/>
        <v>852.66390000000001</v>
      </c>
      <c r="CO232" s="564">
        <f t="shared" si="1436"/>
        <v>4000.9630199999997</v>
      </c>
      <c r="CP232" s="564">
        <f t="shared" si="1436"/>
        <v>0</v>
      </c>
      <c r="CQ232" s="564">
        <f t="shared" si="1436"/>
        <v>0</v>
      </c>
      <c r="CR232" s="564">
        <f t="shared" si="1436"/>
        <v>41740.682670000009</v>
      </c>
      <c r="CS232" s="564">
        <f t="shared" si="1226"/>
        <v>41740.682670000002</v>
      </c>
      <c r="CT232" s="564">
        <f t="shared" si="1227"/>
        <v>0</v>
      </c>
      <c r="CU232" s="564">
        <f t="shared" si="1228"/>
        <v>41740.682670000002</v>
      </c>
      <c r="CV232" s="564">
        <f t="shared" si="1229"/>
        <v>0</v>
      </c>
      <c r="CW232" s="564">
        <f t="shared" si="1436"/>
        <v>0</v>
      </c>
      <c r="CX232" s="564">
        <f t="shared" ca="1" si="1339"/>
        <v>0</v>
      </c>
      <c r="CY232" s="564">
        <f t="shared" si="1230"/>
        <v>0</v>
      </c>
      <c r="CZ232" s="564">
        <f t="shared" si="1231"/>
        <v>0</v>
      </c>
      <c r="DA232" s="564">
        <f t="shared" si="1232"/>
        <v>0</v>
      </c>
      <c r="DB232" s="57">
        <f t="shared" si="1436"/>
        <v>0</v>
      </c>
      <c r="DC232" s="225">
        <f>DD232+DF232-BR232</f>
        <v>85785.059829999998</v>
      </c>
      <c r="DD232" s="226">
        <f t="shared" ref="DD232:DX232" si="1440">SUM(DD233:DD243)-DD234</f>
        <v>85785.059829999998</v>
      </c>
      <c r="DE232" s="226">
        <f t="shared" si="1440"/>
        <v>85785.059829999998</v>
      </c>
      <c r="DF232" s="57">
        <f t="shared" si="1440"/>
        <v>0</v>
      </c>
      <c r="DG232" s="57">
        <f t="shared" si="1440"/>
        <v>0</v>
      </c>
      <c r="DH232" s="57">
        <f t="shared" si="1440"/>
        <v>0</v>
      </c>
      <c r="DI232" s="57">
        <f t="shared" si="1440"/>
        <v>0</v>
      </c>
      <c r="DJ232" s="57">
        <f t="shared" si="1440"/>
        <v>0</v>
      </c>
      <c r="DK232" s="57">
        <f t="shared" si="1440"/>
        <v>0</v>
      </c>
      <c r="DL232" s="57">
        <f t="shared" si="1440"/>
        <v>0</v>
      </c>
      <c r="DM232" s="57">
        <f t="shared" si="1440"/>
        <v>0</v>
      </c>
      <c r="DN232" s="57">
        <f t="shared" si="1440"/>
        <v>0</v>
      </c>
      <c r="DO232" s="57">
        <f t="shared" si="1440"/>
        <v>0</v>
      </c>
      <c r="DP232" s="57">
        <f t="shared" si="1440"/>
        <v>0</v>
      </c>
      <c r="DQ232" s="57">
        <f t="shared" si="1440"/>
        <v>0</v>
      </c>
      <c r="DR232" s="57">
        <f t="shared" si="1440"/>
        <v>0</v>
      </c>
      <c r="DS232" s="57">
        <f t="shared" si="1440"/>
        <v>0</v>
      </c>
      <c r="DT232" s="57">
        <f t="shared" si="1440"/>
        <v>0</v>
      </c>
      <c r="DU232" s="57">
        <f t="shared" si="1440"/>
        <v>0</v>
      </c>
      <c r="DV232" s="57">
        <f t="shared" si="1440"/>
        <v>0</v>
      </c>
      <c r="DW232" s="57">
        <f t="shared" si="1440"/>
        <v>0</v>
      </c>
      <c r="DX232" s="57">
        <f t="shared" ca="1" si="1440"/>
        <v>0</v>
      </c>
      <c r="DY232" s="124"/>
      <c r="DZ232" s="57">
        <f>SUM(DZ233:DZ243)-DZ234</f>
        <v>35822.515760000002</v>
      </c>
      <c r="EA232" s="57">
        <f>SUM(EA233:EA243)-EA234</f>
        <v>35822.515760000002</v>
      </c>
      <c r="EB232" s="124"/>
      <c r="EC232" s="57">
        <f>SUM(EC233:EC243)-EC234</f>
        <v>35822.515760000002</v>
      </c>
      <c r="ED232" s="57">
        <f ca="1">SUM(ED233:ED243)-ED234</f>
        <v>0</v>
      </c>
      <c r="EE232" s="124"/>
      <c r="EF232" s="57">
        <f>SUM(EF233:EF243)-EF234</f>
        <v>49962.544069999989</v>
      </c>
      <c r="EG232" s="124">
        <f ca="1">DX232-EF232</f>
        <v>-49962.544069999989</v>
      </c>
      <c r="EH232" s="124"/>
      <c r="EI232" s="57">
        <f t="shared" si="1196"/>
        <v>35822.515760000002</v>
      </c>
      <c r="EJ232" s="57">
        <f t="shared" ref="EJ232:EN232" si="1441">SUM(EJ233:EJ243)-EJ234</f>
        <v>0</v>
      </c>
      <c r="EK232" s="57">
        <f t="shared" si="1233"/>
        <v>35822.515760000002</v>
      </c>
      <c r="EL232" s="57">
        <f t="shared" ref="EL232:EM232" si="1442">SUM(EL233:EL243)-EL234</f>
        <v>10919.67474</v>
      </c>
      <c r="EM232" s="57">
        <f t="shared" si="1442"/>
        <v>24902.84102</v>
      </c>
      <c r="EN232" s="57">
        <f t="shared" si="1441"/>
        <v>0</v>
      </c>
      <c r="EO232" s="57">
        <f t="shared" ref="EO232" si="1443">SUM(EO233:EO243)-EO234</f>
        <v>0</v>
      </c>
      <c r="EP232" s="57">
        <f t="shared" si="1234"/>
        <v>5918.1669099999999</v>
      </c>
      <c r="EQ232" s="57">
        <f t="shared" ref="EQ232" si="1444">SUM(EQ233:EQ243)-EQ234</f>
        <v>0</v>
      </c>
      <c r="ER232" s="57">
        <f>SUM(ER233:ER243)</f>
        <v>5918.1669099999999</v>
      </c>
      <c r="ES232" s="57">
        <f t="shared" ref="ES232:EU232" si="1445">SUM(ES233:ES243)-ES234</f>
        <v>1627.36879</v>
      </c>
      <c r="ET232" s="57">
        <f t="shared" si="1445"/>
        <v>4290.7981199999995</v>
      </c>
      <c r="EU232" s="57">
        <f t="shared" si="1445"/>
        <v>0</v>
      </c>
      <c r="EV232" s="140">
        <f t="shared" ref="EV232" si="1446">SUM(EV233:EV243)-EV234</f>
        <v>0</v>
      </c>
      <c r="EW232" s="57">
        <f t="shared" si="1289"/>
        <v>0</v>
      </c>
      <c r="EX232" s="57">
        <f>AZ232</f>
        <v>0</v>
      </c>
      <c r="EY232" s="57">
        <f t="shared" ref="EY232" si="1447">SUM(EY233:EY243)-EY234</f>
        <v>0</v>
      </c>
      <c r="EZ232" s="390"/>
      <c r="FA232" s="390"/>
      <c r="FB232" s="57">
        <f t="shared" si="1291"/>
        <v>0</v>
      </c>
      <c r="FC232" s="57">
        <f>SUM(FC233:FC243)</f>
        <v>0</v>
      </c>
      <c r="FD232" s="57">
        <f>SUM(FD233:FD243)</f>
        <v>0</v>
      </c>
      <c r="FE232" s="390"/>
      <c r="FF232" s="390"/>
      <c r="FG232" s="390"/>
      <c r="FH232" s="304" t="e">
        <f t="shared" ref="FH232" si="1448">SUM(FH233:FH243)</f>
        <v>#DIV/0!</v>
      </c>
      <c r="FI232" s="57" t="e">
        <f t="shared" si="1293"/>
        <v>#DIV/0!</v>
      </c>
      <c r="FJ232" s="295"/>
      <c r="FK232" s="57">
        <f t="shared" si="1237"/>
        <v>37571.511359999997</v>
      </c>
      <c r="FL232" s="57">
        <f t="shared" si="1413"/>
        <v>37571.511359999997</v>
      </c>
      <c r="FM232" s="57">
        <f t="shared" ref="FM232" si="1449">SUM(FM233:FM243)-FM234</f>
        <v>0</v>
      </c>
      <c r="FN232" s="390"/>
      <c r="FO232" s="390"/>
      <c r="FP232" s="57">
        <f t="shared" si="1238"/>
        <v>38054.876670000005</v>
      </c>
      <c r="FQ232" s="57">
        <f>SUM(FQ233:FQ243)</f>
        <v>32587.115760000004</v>
      </c>
      <c r="FR232" s="57">
        <f>SUM(FR233:FR243)</f>
        <v>5467.76091</v>
      </c>
      <c r="FS232" s="390"/>
      <c r="FT232" s="390"/>
      <c r="FU232" s="390"/>
      <c r="FV232" s="57">
        <f t="shared" ref="FV232" si="1450">SUM(FV233:FV243)</f>
        <v>38054.876669999998</v>
      </c>
      <c r="FW232" s="57">
        <f t="shared" si="1239"/>
        <v>-5467.7609099999936</v>
      </c>
      <c r="FX232" s="57">
        <f t="shared" ref="FX232" si="1451">FY232+FZ232+GA232</f>
        <v>0</v>
      </c>
      <c r="FY232" s="57">
        <f>BD232</f>
        <v>0</v>
      </c>
      <c r="FZ232" s="57">
        <f t="shared" ref="FZ232" si="1452">SUM(FZ233:FZ243)-FZ234</f>
        <v>0</v>
      </c>
      <c r="GA232" s="390"/>
      <c r="GB232" s="390"/>
      <c r="GC232" s="57">
        <f t="shared" si="1298"/>
        <v>0</v>
      </c>
      <c r="GD232" s="57">
        <f t="shared" si="1343"/>
        <v>0</v>
      </c>
      <c r="GE232" s="57">
        <f t="shared" si="1344"/>
        <v>0</v>
      </c>
      <c r="GF232" s="390"/>
      <c r="GG232" s="390"/>
      <c r="GH232" s="390"/>
      <c r="GI232" s="304">
        <f t="shared" si="1095"/>
        <v>0</v>
      </c>
      <c r="GJ232" s="77">
        <f t="shared" si="1299"/>
        <v>0</v>
      </c>
      <c r="GK232" s="462">
        <f t="shared" si="1215"/>
        <v>0.9423803497769172</v>
      </c>
    </row>
    <row r="233" spans="2:193" s="37" customFormat="1" ht="15.6" customHeight="1" x14ac:dyDescent="0.25">
      <c r="B233" s="29">
        <v>1</v>
      </c>
      <c r="C233" s="30"/>
      <c r="D233" s="30"/>
      <c r="E233" s="493">
        <v>194</v>
      </c>
      <c r="F233" s="29">
        <v>1</v>
      </c>
      <c r="G233" s="30"/>
      <c r="H233" s="30"/>
      <c r="I233" s="493"/>
      <c r="J233" s="494"/>
      <c r="K233" s="494"/>
      <c r="L233" s="53"/>
      <c r="M233" s="493">
        <v>169</v>
      </c>
      <c r="N233" s="494" t="s">
        <v>240</v>
      </c>
      <c r="O233" s="494" t="s">
        <v>335</v>
      </c>
      <c r="P233" s="494">
        <f t="shared" si="1236"/>
        <v>0</v>
      </c>
      <c r="Q233" s="494"/>
      <c r="R233" s="494"/>
      <c r="S233" s="494">
        <v>16</v>
      </c>
      <c r="T233" s="156">
        <v>1</v>
      </c>
      <c r="U233" s="493"/>
      <c r="V233" s="2">
        <f t="shared" si="1216"/>
        <v>3621.8</v>
      </c>
      <c r="W233" s="2"/>
      <c r="X233" s="198">
        <f t="shared" si="1031"/>
        <v>3621.8</v>
      </c>
      <c r="Y233" s="198">
        <v>3621.8</v>
      </c>
      <c r="Z233" s="42"/>
      <c r="AA233" s="2"/>
      <c r="AB233" s="567">
        <f t="shared" ref="AB233:AB243" si="1453">AC233+AD233+AG233+AH233</f>
        <v>3621.8</v>
      </c>
      <c r="AC233" s="567"/>
      <c r="AD233" s="568">
        <f t="shared" si="1032"/>
        <v>3621.8</v>
      </c>
      <c r="AE233" s="568">
        <v>3621.8</v>
      </c>
      <c r="AF233" s="569"/>
      <c r="AG233" s="567"/>
      <c r="AH233" s="573"/>
      <c r="AI233" s="567"/>
      <c r="AJ233" s="567"/>
      <c r="AK233" s="568"/>
      <c r="AL233" s="567"/>
      <c r="AM233" s="573"/>
      <c r="AN233" s="567"/>
      <c r="AO233" s="567"/>
      <c r="AP233" s="568"/>
      <c r="AQ233" s="567"/>
      <c r="AR233" s="573"/>
      <c r="AS233" s="567"/>
      <c r="AT233" s="567"/>
      <c r="AU233" s="568"/>
      <c r="AV233" s="567"/>
      <c r="AW233" s="567"/>
      <c r="AX233" s="425" t="s">
        <v>365</v>
      </c>
      <c r="AY233" s="567">
        <f t="shared" ref="AY233:AY243" si="1454">AZ233+BA233+BD233+BE233</f>
        <v>3621.8</v>
      </c>
      <c r="AZ233" s="567"/>
      <c r="BA233" s="568">
        <f t="shared" ref="BA233:BA243" si="1455">BB233+BC233</f>
        <v>3621.8</v>
      </c>
      <c r="BB233" s="568">
        <v>3621.8</v>
      </c>
      <c r="BC233" s="569"/>
      <c r="BD233" s="567"/>
      <c r="BE233" s="567"/>
      <c r="BF233" s="567">
        <f t="shared" si="1217"/>
        <v>0</v>
      </c>
      <c r="BG233" s="567">
        <f t="shared" si="1218"/>
        <v>0</v>
      </c>
      <c r="BH233" s="567">
        <f t="shared" si="1219"/>
        <v>0</v>
      </c>
      <c r="BI233" s="567">
        <f t="shared" si="1220"/>
        <v>0</v>
      </c>
      <c r="BJ233" s="567">
        <f t="shared" si="1221"/>
        <v>0</v>
      </c>
      <c r="BK233" s="567">
        <f t="shared" si="1222"/>
        <v>0</v>
      </c>
      <c r="BL233" s="567" t="e">
        <f>#REF!-BE233</f>
        <v>#REF!</v>
      </c>
      <c r="BM233" s="567">
        <f t="shared" ref="BM233:BM243" si="1456">BN233+BO233+BP233+BQ233</f>
        <v>5315.3220000000001</v>
      </c>
      <c r="BN233" s="567"/>
      <c r="BO233" s="568">
        <f>1572+2376.869+1366.453</f>
        <v>5315.3220000000001</v>
      </c>
      <c r="BP233" s="567"/>
      <c r="BQ233" s="567"/>
      <c r="BR233" s="567">
        <f t="shared" ref="BR233:BR243" si="1457">BS233+BT233+BU233+BV233</f>
        <v>0</v>
      </c>
      <c r="BS233" s="567"/>
      <c r="BT233" s="567"/>
      <c r="BU233" s="567"/>
      <c r="BV233" s="567"/>
      <c r="BW233" s="567">
        <f t="shared" ref="BW233:BW243" si="1458">BX233+BY233+CB233+CC233</f>
        <v>3621.8</v>
      </c>
      <c r="BX233" s="567"/>
      <c r="BY233" s="568">
        <f t="shared" si="1223"/>
        <v>3621.8</v>
      </c>
      <c r="BZ233" s="571">
        <v>3621.8</v>
      </c>
      <c r="CA233" s="571"/>
      <c r="CB233" s="567"/>
      <c r="CC233" s="567"/>
      <c r="CD233" s="567">
        <f t="shared" ref="CD233:CD243" si="1459">CE233+CF233+CI233+CJ233</f>
        <v>3621.8</v>
      </c>
      <c r="CE233" s="567"/>
      <c r="CF233" s="568">
        <f t="shared" si="1224"/>
        <v>3621.8</v>
      </c>
      <c r="CG233" s="571">
        <v>3621.8</v>
      </c>
      <c r="CH233" s="571"/>
      <c r="CI233" s="567"/>
      <c r="CJ233" s="567"/>
      <c r="CK233" s="567">
        <f t="shared" ref="CK233:CK243" si="1460">CL233+CM233+CP233+CQ233</f>
        <v>367.9</v>
      </c>
      <c r="CL233" s="567"/>
      <c r="CM233" s="567">
        <v>367.9</v>
      </c>
      <c r="CN233" s="567"/>
      <c r="CO233" s="567"/>
      <c r="CP233" s="567"/>
      <c r="CQ233" s="567"/>
      <c r="CR233" s="573">
        <f t="shared" ref="CR233:CR243" si="1461">CS233</f>
        <v>3989.7000000000003</v>
      </c>
      <c r="CS233" s="567">
        <f t="shared" si="1226"/>
        <v>3989.7000000000003</v>
      </c>
      <c r="CT233" s="567">
        <f t="shared" si="1227"/>
        <v>0</v>
      </c>
      <c r="CU233" s="567">
        <f t="shared" si="1228"/>
        <v>3989.7000000000003</v>
      </c>
      <c r="CV233" s="567">
        <f t="shared" si="1229"/>
        <v>0</v>
      </c>
      <c r="CW233" s="567">
        <f t="shared" ref="CW233:CW243" si="1462">CJ233+CQ233</f>
        <v>0</v>
      </c>
      <c r="CX233" s="567">
        <f t="shared" ca="1" si="1339"/>
        <v>0</v>
      </c>
      <c r="CY233" s="567">
        <f t="shared" si="1230"/>
        <v>0</v>
      </c>
      <c r="CZ233" s="567">
        <f t="shared" si="1231"/>
        <v>0</v>
      </c>
      <c r="DA233" s="567">
        <f t="shared" si="1232"/>
        <v>0</v>
      </c>
      <c r="DB233" s="2">
        <f t="shared" ref="DB233:DB243" si="1463">CC233-CJ233</f>
        <v>0</v>
      </c>
      <c r="DC233" s="76"/>
      <c r="DD233" s="253">
        <f>BO233</f>
        <v>5315.3220000000001</v>
      </c>
      <c r="DE233" s="253">
        <f>DD233</f>
        <v>5315.3220000000001</v>
      </c>
      <c r="DF233" s="2">
        <f t="shared" ref="DF233:DF243" si="1464">DG233+DH233+DI233+DJ233</f>
        <v>0</v>
      </c>
      <c r="DG233" s="2"/>
      <c r="DH233" s="2"/>
      <c r="DI233" s="2"/>
      <c r="DJ233" s="2"/>
      <c r="DK233" s="2">
        <f t="shared" ref="DK233:DK243" si="1465">DL233+DM233+DN233+DO233</f>
        <v>0</v>
      </c>
      <c r="DL233" s="2"/>
      <c r="DM233" s="2"/>
      <c r="DN233" s="2"/>
      <c r="DO233" s="2"/>
      <c r="DP233" s="2">
        <f t="shared" ref="DP233:DP243" si="1466">DQ233+DR233+DS233+DT233</f>
        <v>0</v>
      </c>
      <c r="DQ233" s="2">
        <f t="shared" ref="DQ233:DT243" si="1467">DG233-DL233</f>
        <v>0</v>
      </c>
      <c r="DR233" s="2">
        <f t="shared" si="1467"/>
        <v>0</v>
      </c>
      <c r="DS233" s="2">
        <f t="shared" si="1467"/>
        <v>0</v>
      </c>
      <c r="DT233" s="2">
        <f t="shared" si="1467"/>
        <v>0</v>
      </c>
      <c r="DU233" s="2"/>
      <c r="DV233" s="2"/>
      <c r="DW233" s="2">
        <f>DU233-DV233</f>
        <v>0</v>
      </c>
      <c r="DX233" s="2">
        <f t="shared" ref="DX233:DX243" ca="1" si="1468">CX233+DP233+DW233</f>
        <v>0</v>
      </c>
      <c r="DY233" s="46"/>
      <c r="DZ233" s="2">
        <f t="shared" ref="DZ233:DZ243" si="1469">BW233+DF233+DU233</f>
        <v>3621.8</v>
      </c>
      <c r="EA233" s="2">
        <f t="shared" ref="EA233:EA243" si="1470">CD233+DK233+DV233</f>
        <v>3621.8</v>
      </c>
      <c r="EB233" s="46"/>
      <c r="EC233" s="2">
        <f t="shared" ref="EC233:EC234" si="1471">EA233</f>
        <v>3621.8</v>
      </c>
      <c r="ED233" s="2">
        <f t="shared" ref="ED233:ED234" ca="1" si="1472">DX233</f>
        <v>0</v>
      </c>
      <c r="EE233" s="46"/>
      <c r="EF233" s="2">
        <f>DE233-EC233</f>
        <v>1693.5219999999999</v>
      </c>
      <c r="EG233" s="46"/>
      <c r="EH233" s="46"/>
      <c r="EI233" s="2">
        <f t="shared" si="1196"/>
        <v>3621.8</v>
      </c>
      <c r="EJ233" s="2"/>
      <c r="EK233" s="198">
        <f t="shared" si="1233"/>
        <v>3621.8</v>
      </c>
      <c r="EL233" s="446">
        <v>3621.8</v>
      </c>
      <c r="EM233" s="446"/>
      <c r="EN233" s="2"/>
      <c r="EO233" s="2"/>
      <c r="EP233" s="2">
        <f t="shared" si="1234"/>
        <v>367.9</v>
      </c>
      <c r="EQ233" s="2"/>
      <c r="ER233" s="2">
        <v>367.9</v>
      </c>
      <c r="ES233" s="2">
        <v>367.9</v>
      </c>
      <c r="ET233" s="2"/>
      <c r="EU233" s="2"/>
      <c r="EV233" s="141"/>
      <c r="EW233" s="310"/>
      <c r="EX233" s="310"/>
      <c r="EY233" s="310"/>
      <c r="EZ233" s="396"/>
      <c r="FA233" s="396"/>
      <c r="FB233" s="310"/>
      <c r="FC233" s="310"/>
      <c r="FD233" s="310"/>
      <c r="FE233" s="396"/>
      <c r="FF233" s="396"/>
      <c r="FG233" s="396"/>
      <c r="FH233" s="311"/>
      <c r="FI233" s="310"/>
      <c r="FJ233" s="296" t="e">
        <f t="shared" ref="FJ233:FJ243" si="1473">FH233/FE233</f>
        <v>#DIV/0!</v>
      </c>
      <c r="FK233" s="353">
        <f t="shared" si="1237"/>
        <v>3621.8</v>
      </c>
      <c r="FL233" s="353">
        <f t="shared" si="1413"/>
        <v>3621.8</v>
      </c>
      <c r="FM233" s="353"/>
      <c r="FN233" s="388">
        <f t="shared" ref="FN233:FN243" si="1474">FL233/FK233</f>
        <v>1</v>
      </c>
      <c r="FO233" s="388">
        <f t="shared" ref="FO233:FO243" si="1475">FM233/FK233</f>
        <v>0</v>
      </c>
      <c r="FP233" s="353">
        <f t="shared" si="1238"/>
        <v>3989.7000000000003</v>
      </c>
      <c r="FQ233" s="353">
        <f t="shared" ref="FQ233:FQ243" si="1476">EK233</f>
        <v>3621.8</v>
      </c>
      <c r="FR233" s="353">
        <f t="shared" ref="FR233:FR243" si="1477">ER233</f>
        <v>367.9</v>
      </c>
      <c r="FS233" s="388">
        <f t="shared" ref="FS233:FS243" si="1478">FQ233/FP233</f>
        <v>0.90778755294884328</v>
      </c>
      <c r="FT233" s="388">
        <f t="shared" ref="FT233:FT243" si="1479">FR233/FP233</f>
        <v>9.2212447051156721E-2</v>
      </c>
      <c r="FU233" s="388"/>
      <c r="FV233" s="353">
        <f t="shared" ref="FV233:FV243" si="1480">FP233*FN233</f>
        <v>3989.7000000000003</v>
      </c>
      <c r="FW233" s="353">
        <f t="shared" si="1239"/>
        <v>-367.90000000000009</v>
      </c>
      <c r="FX233" s="310"/>
      <c r="FY233" s="310"/>
      <c r="FZ233" s="310"/>
      <c r="GA233" s="396"/>
      <c r="GB233" s="396"/>
      <c r="GC233" s="310"/>
      <c r="GD233" s="310"/>
      <c r="GE233" s="310"/>
      <c r="GF233" s="396"/>
      <c r="GG233" s="396"/>
      <c r="GH233" s="396"/>
      <c r="GI233" s="311"/>
      <c r="GJ233" s="344"/>
      <c r="GK233" s="303">
        <f t="shared" si="1215"/>
        <v>1</v>
      </c>
    </row>
    <row r="234" spans="2:193" s="37" customFormat="1" ht="15.75" hidden="1" customHeight="1" x14ac:dyDescent="0.25">
      <c r="B234" s="29"/>
      <c r="C234" s="30"/>
      <c r="D234" s="30"/>
      <c r="E234" s="493"/>
      <c r="F234" s="29"/>
      <c r="G234" s="30"/>
      <c r="H234" s="30"/>
      <c r="I234" s="493"/>
      <c r="J234" s="494"/>
      <c r="K234" s="494"/>
      <c r="L234" s="53"/>
      <c r="M234" s="493"/>
      <c r="N234" s="18" t="s">
        <v>246</v>
      </c>
      <c r="O234" s="128"/>
      <c r="P234" s="128">
        <f t="shared" si="1236"/>
        <v>0</v>
      </c>
      <c r="Q234" s="128"/>
      <c r="R234" s="128"/>
      <c r="S234" s="128"/>
      <c r="T234" s="128"/>
      <c r="U234" s="128"/>
      <c r="V234" s="2">
        <f t="shared" si="1216"/>
        <v>0</v>
      </c>
      <c r="W234" s="2"/>
      <c r="X234" s="233">
        <f t="shared" ref="X234:X259" si="1481">Y234+Z234</f>
        <v>0</v>
      </c>
      <c r="Y234" s="233"/>
      <c r="Z234" s="43"/>
      <c r="AA234" s="2"/>
      <c r="AB234" s="567">
        <f t="shared" si="1453"/>
        <v>0</v>
      </c>
      <c r="AC234" s="567"/>
      <c r="AD234" s="575">
        <f t="shared" ref="AD234:AD259" si="1482">AE234+AF234</f>
        <v>0</v>
      </c>
      <c r="AE234" s="575"/>
      <c r="AF234" s="576"/>
      <c r="AG234" s="567"/>
      <c r="AH234" s="573"/>
      <c r="AI234" s="567"/>
      <c r="AJ234" s="567"/>
      <c r="AK234" s="575"/>
      <c r="AL234" s="567"/>
      <c r="AM234" s="573"/>
      <c r="AN234" s="567"/>
      <c r="AO234" s="567"/>
      <c r="AP234" s="575"/>
      <c r="AQ234" s="567"/>
      <c r="AR234" s="573"/>
      <c r="AS234" s="567"/>
      <c r="AT234" s="567"/>
      <c r="AU234" s="575"/>
      <c r="AV234" s="567"/>
      <c r="AW234" s="567"/>
      <c r="AX234" s="409"/>
      <c r="AY234" s="567">
        <f t="shared" si="1454"/>
        <v>0</v>
      </c>
      <c r="AZ234" s="567"/>
      <c r="BA234" s="567">
        <f t="shared" si="1455"/>
        <v>0</v>
      </c>
      <c r="BB234" s="567"/>
      <c r="BC234" s="567"/>
      <c r="BD234" s="567"/>
      <c r="BE234" s="567"/>
      <c r="BF234" s="567">
        <f t="shared" si="1217"/>
        <v>0</v>
      </c>
      <c r="BG234" s="567">
        <f t="shared" si="1218"/>
        <v>0</v>
      </c>
      <c r="BH234" s="567">
        <f t="shared" si="1219"/>
        <v>0</v>
      </c>
      <c r="BI234" s="567">
        <f t="shared" si="1220"/>
        <v>0</v>
      </c>
      <c r="BJ234" s="567">
        <f t="shared" si="1221"/>
        <v>0</v>
      </c>
      <c r="BK234" s="567">
        <f t="shared" si="1222"/>
        <v>0</v>
      </c>
      <c r="BL234" s="567" t="e">
        <f>#REF!-BE234</f>
        <v>#REF!</v>
      </c>
      <c r="BM234" s="567">
        <f t="shared" si="1456"/>
        <v>0</v>
      </c>
      <c r="BN234" s="567"/>
      <c r="BO234" s="567"/>
      <c r="BP234" s="567"/>
      <c r="BQ234" s="567"/>
      <c r="BR234" s="567">
        <f t="shared" si="1457"/>
        <v>0</v>
      </c>
      <c r="BS234" s="567"/>
      <c r="BT234" s="567"/>
      <c r="BU234" s="567"/>
      <c r="BV234" s="567"/>
      <c r="BW234" s="567">
        <f t="shared" si="1458"/>
        <v>0</v>
      </c>
      <c r="BX234" s="567"/>
      <c r="BY234" s="567">
        <f t="shared" si="1223"/>
        <v>0</v>
      </c>
      <c r="BZ234" s="574"/>
      <c r="CA234" s="574"/>
      <c r="CB234" s="567"/>
      <c r="CC234" s="567"/>
      <c r="CD234" s="567">
        <f t="shared" si="1459"/>
        <v>0</v>
      </c>
      <c r="CE234" s="567"/>
      <c r="CF234" s="567">
        <f t="shared" si="1224"/>
        <v>0</v>
      </c>
      <c r="CG234" s="574"/>
      <c r="CH234" s="574"/>
      <c r="CI234" s="567"/>
      <c r="CJ234" s="567"/>
      <c r="CK234" s="567">
        <f t="shared" si="1460"/>
        <v>0</v>
      </c>
      <c r="CL234" s="567"/>
      <c r="CM234" s="567">
        <f t="shared" si="1225"/>
        <v>0</v>
      </c>
      <c r="CN234" s="567"/>
      <c r="CO234" s="567"/>
      <c r="CP234" s="567"/>
      <c r="CQ234" s="567"/>
      <c r="CR234" s="573">
        <f t="shared" si="1461"/>
        <v>0</v>
      </c>
      <c r="CS234" s="567">
        <f t="shared" si="1226"/>
        <v>0</v>
      </c>
      <c r="CT234" s="567">
        <f t="shared" si="1227"/>
        <v>0</v>
      </c>
      <c r="CU234" s="567">
        <f t="shared" si="1228"/>
        <v>0</v>
      </c>
      <c r="CV234" s="567">
        <f t="shared" si="1229"/>
        <v>0</v>
      </c>
      <c r="CW234" s="567">
        <f t="shared" si="1462"/>
        <v>0</v>
      </c>
      <c r="CX234" s="567">
        <f t="shared" ca="1" si="1339"/>
        <v>0</v>
      </c>
      <c r="CY234" s="567">
        <f t="shared" si="1230"/>
        <v>0</v>
      </c>
      <c r="CZ234" s="567">
        <f t="shared" si="1231"/>
        <v>0</v>
      </c>
      <c r="DA234" s="567">
        <f t="shared" si="1232"/>
        <v>0</v>
      </c>
      <c r="DB234" s="2">
        <f t="shared" si="1463"/>
        <v>0</v>
      </c>
      <c r="DC234" s="76"/>
      <c r="DD234" s="253"/>
      <c r="DE234" s="253"/>
      <c r="DF234" s="2">
        <f t="shared" si="1464"/>
        <v>0</v>
      </c>
      <c r="DG234" s="2"/>
      <c r="DH234" s="2"/>
      <c r="DI234" s="2"/>
      <c r="DJ234" s="2"/>
      <c r="DK234" s="2">
        <f t="shared" si="1465"/>
        <v>0</v>
      </c>
      <c r="DL234" s="2"/>
      <c r="DM234" s="2"/>
      <c r="DN234" s="2"/>
      <c r="DO234" s="2"/>
      <c r="DP234" s="2">
        <f t="shared" si="1466"/>
        <v>0</v>
      </c>
      <c r="DQ234" s="2">
        <f t="shared" si="1467"/>
        <v>0</v>
      </c>
      <c r="DR234" s="2">
        <f t="shared" si="1467"/>
        <v>0</v>
      </c>
      <c r="DS234" s="2">
        <f t="shared" si="1467"/>
        <v>0</v>
      </c>
      <c r="DT234" s="2">
        <f t="shared" si="1467"/>
        <v>0</v>
      </c>
      <c r="DU234" s="2"/>
      <c r="DV234" s="2"/>
      <c r="DW234" s="2"/>
      <c r="DX234" s="2">
        <f t="shared" ca="1" si="1468"/>
        <v>0</v>
      </c>
      <c r="DY234" s="46"/>
      <c r="DZ234" s="2">
        <f t="shared" si="1469"/>
        <v>0</v>
      </c>
      <c r="EA234" s="2">
        <f t="shared" si="1470"/>
        <v>0</v>
      </c>
      <c r="EB234" s="46"/>
      <c r="EC234" s="2">
        <f t="shared" si="1471"/>
        <v>0</v>
      </c>
      <c r="ED234" s="2">
        <f t="shared" ca="1" si="1472"/>
        <v>0</v>
      </c>
      <c r="EE234" s="46"/>
      <c r="EF234" s="2"/>
      <c r="EG234" s="46"/>
      <c r="EH234" s="46"/>
      <c r="EI234" s="2">
        <f t="shared" si="1196"/>
        <v>0</v>
      </c>
      <c r="EJ234" s="2"/>
      <c r="EK234" s="2">
        <f t="shared" si="1233"/>
        <v>0</v>
      </c>
      <c r="EL234" s="432"/>
      <c r="EM234" s="432"/>
      <c r="EN234" s="2"/>
      <c r="EO234" s="2"/>
      <c r="EP234" s="2">
        <f t="shared" si="1234"/>
        <v>0</v>
      </c>
      <c r="EQ234" s="2"/>
      <c r="ER234" s="2">
        <f t="shared" si="1235"/>
        <v>0</v>
      </c>
      <c r="ES234" s="2"/>
      <c r="ET234" s="2"/>
      <c r="EU234" s="2"/>
      <c r="EV234" s="141"/>
      <c r="EW234" s="310"/>
      <c r="EX234" s="310"/>
      <c r="EY234" s="310"/>
      <c r="EZ234" s="396"/>
      <c r="FA234" s="396"/>
      <c r="FB234" s="310"/>
      <c r="FC234" s="310"/>
      <c r="FD234" s="310"/>
      <c r="FE234" s="396"/>
      <c r="FF234" s="396"/>
      <c r="FG234" s="396"/>
      <c r="FH234" s="311"/>
      <c r="FI234" s="310"/>
      <c r="FJ234" s="296" t="e">
        <f t="shared" si="1473"/>
        <v>#DIV/0!</v>
      </c>
      <c r="FK234" s="353"/>
      <c r="FL234" s="353"/>
      <c r="FM234" s="353"/>
      <c r="FN234" s="388"/>
      <c r="FO234" s="388"/>
      <c r="FP234" s="353"/>
      <c r="FQ234" s="353"/>
      <c r="FR234" s="353"/>
      <c r="FS234" s="388"/>
      <c r="FT234" s="388"/>
      <c r="FU234" s="388"/>
      <c r="FV234" s="353"/>
      <c r="FW234" s="353">
        <f t="shared" si="1239"/>
        <v>0</v>
      </c>
      <c r="FX234" s="310"/>
      <c r="FY234" s="310"/>
      <c r="FZ234" s="310"/>
      <c r="GA234" s="396"/>
      <c r="GB234" s="396"/>
      <c r="GC234" s="310"/>
      <c r="GD234" s="310"/>
      <c r="GE234" s="310"/>
      <c r="GF234" s="396"/>
      <c r="GG234" s="396"/>
      <c r="GH234" s="396"/>
      <c r="GI234" s="311"/>
      <c r="GJ234" s="344"/>
      <c r="GK234" s="303" t="e">
        <f t="shared" si="1215"/>
        <v>#DIV/0!</v>
      </c>
    </row>
    <row r="235" spans="2:193" s="37" customFormat="1" ht="15.6" customHeight="1" x14ac:dyDescent="0.25">
      <c r="B235" s="29"/>
      <c r="C235" s="30"/>
      <c r="D235" s="30">
        <v>1</v>
      </c>
      <c r="E235" s="493">
        <v>195</v>
      </c>
      <c r="F235" s="29"/>
      <c r="G235" s="30"/>
      <c r="H235" s="30">
        <v>1</v>
      </c>
      <c r="I235" s="493"/>
      <c r="J235" s="494"/>
      <c r="K235" s="494"/>
      <c r="L235" s="53"/>
      <c r="M235" s="493">
        <v>170</v>
      </c>
      <c r="N235" s="494" t="s">
        <v>72</v>
      </c>
      <c r="O235" s="494"/>
      <c r="P235" s="494">
        <f t="shared" si="1236"/>
        <v>0</v>
      </c>
      <c r="Q235" s="494" t="s">
        <v>701</v>
      </c>
      <c r="R235" s="494" t="s">
        <v>699</v>
      </c>
      <c r="S235" s="494" t="s">
        <v>504</v>
      </c>
      <c r="T235" s="156">
        <v>2</v>
      </c>
      <c r="U235" s="493"/>
      <c r="V235" s="2">
        <f t="shared" si="1216"/>
        <v>3006.2</v>
      </c>
      <c r="W235" s="2"/>
      <c r="X235" s="198">
        <f t="shared" si="1481"/>
        <v>3006.2</v>
      </c>
      <c r="Y235" s="198">
        <v>2107.5</v>
      </c>
      <c r="Z235" s="42">
        <v>898.7</v>
      </c>
      <c r="AA235" s="2"/>
      <c r="AB235" s="567">
        <f t="shared" si="1453"/>
        <v>3006.2</v>
      </c>
      <c r="AC235" s="567"/>
      <c r="AD235" s="568">
        <f t="shared" si="1482"/>
        <v>3006.2</v>
      </c>
      <c r="AE235" s="568">
        <v>2107.5</v>
      </c>
      <c r="AF235" s="569">
        <v>898.7</v>
      </c>
      <c r="AG235" s="567"/>
      <c r="AH235" s="573"/>
      <c r="AI235" s="567"/>
      <c r="AJ235" s="567"/>
      <c r="AK235" s="568"/>
      <c r="AL235" s="567"/>
      <c r="AM235" s="573"/>
      <c r="AN235" s="567"/>
      <c r="AO235" s="567"/>
      <c r="AP235" s="568"/>
      <c r="AQ235" s="567"/>
      <c r="AR235" s="573"/>
      <c r="AS235" s="567"/>
      <c r="AT235" s="567"/>
      <c r="AU235" s="568"/>
      <c r="AV235" s="567"/>
      <c r="AW235" s="567"/>
      <c r="AX235" s="409" t="s">
        <v>381</v>
      </c>
      <c r="AY235" s="567">
        <f t="shared" si="1454"/>
        <v>3006.2</v>
      </c>
      <c r="AZ235" s="567"/>
      <c r="BA235" s="568">
        <f t="shared" si="1455"/>
        <v>3006.2</v>
      </c>
      <c r="BB235" s="568">
        <v>2107.5</v>
      </c>
      <c r="BC235" s="569">
        <v>898.7</v>
      </c>
      <c r="BD235" s="567"/>
      <c r="BE235" s="567"/>
      <c r="BF235" s="567">
        <f t="shared" si="1217"/>
        <v>0</v>
      </c>
      <c r="BG235" s="567">
        <f t="shared" si="1218"/>
        <v>0</v>
      </c>
      <c r="BH235" s="567">
        <f t="shared" si="1219"/>
        <v>0</v>
      </c>
      <c r="BI235" s="567">
        <f t="shared" si="1220"/>
        <v>0</v>
      </c>
      <c r="BJ235" s="567">
        <f t="shared" si="1221"/>
        <v>0</v>
      </c>
      <c r="BK235" s="567">
        <f t="shared" si="1222"/>
        <v>0</v>
      </c>
      <c r="BL235" s="567" t="e">
        <f>#REF!-BE235</f>
        <v>#REF!</v>
      </c>
      <c r="BM235" s="567">
        <f t="shared" si="1456"/>
        <v>0</v>
      </c>
      <c r="BN235" s="567"/>
      <c r="BO235" s="568"/>
      <c r="BP235" s="567"/>
      <c r="BQ235" s="567"/>
      <c r="BR235" s="567">
        <f t="shared" si="1457"/>
        <v>0</v>
      </c>
      <c r="BS235" s="567"/>
      <c r="BT235" s="568"/>
      <c r="BU235" s="567"/>
      <c r="BV235" s="567"/>
      <c r="BW235" s="567">
        <f t="shared" si="1458"/>
        <v>2811.4219200000002</v>
      </c>
      <c r="BX235" s="567"/>
      <c r="BY235" s="568">
        <f t="shared" si="1223"/>
        <v>2811.4219200000002</v>
      </c>
      <c r="BZ235" s="571">
        <v>2096.9625000000001</v>
      </c>
      <c r="CA235" s="571">
        <v>714.45942000000002</v>
      </c>
      <c r="CB235" s="567"/>
      <c r="CC235" s="567"/>
      <c r="CD235" s="567">
        <f t="shared" si="1459"/>
        <v>2811.4219200000002</v>
      </c>
      <c r="CE235" s="567"/>
      <c r="CF235" s="568">
        <f t="shared" si="1224"/>
        <v>2811.4219200000002</v>
      </c>
      <c r="CG235" s="571">
        <v>2096.9625000000001</v>
      </c>
      <c r="CH235" s="571">
        <v>714.45942000000002</v>
      </c>
      <c r="CI235" s="567"/>
      <c r="CJ235" s="567"/>
      <c r="CK235" s="567">
        <f t="shared" si="1460"/>
        <v>789.73257999999998</v>
      </c>
      <c r="CL235" s="567"/>
      <c r="CM235" s="567">
        <f t="shared" si="1225"/>
        <v>789.73257999999998</v>
      </c>
      <c r="CN235" s="567">
        <v>589.04</v>
      </c>
      <c r="CO235" s="567">
        <v>200.69257999999999</v>
      </c>
      <c r="CP235" s="567"/>
      <c r="CQ235" s="567"/>
      <c r="CR235" s="573">
        <f t="shared" si="1461"/>
        <v>3601.1545000000001</v>
      </c>
      <c r="CS235" s="567">
        <f t="shared" si="1226"/>
        <v>3601.1545000000001</v>
      </c>
      <c r="CT235" s="567">
        <f t="shared" si="1227"/>
        <v>0</v>
      </c>
      <c r="CU235" s="567">
        <f t="shared" si="1228"/>
        <v>3601.1545000000001</v>
      </c>
      <c r="CV235" s="567">
        <f t="shared" si="1229"/>
        <v>0</v>
      </c>
      <c r="CW235" s="567">
        <f t="shared" si="1462"/>
        <v>0</v>
      </c>
      <c r="CX235" s="567">
        <f t="shared" ca="1" si="1339"/>
        <v>0</v>
      </c>
      <c r="CY235" s="567">
        <f t="shared" si="1230"/>
        <v>0</v>
      </c>
      <c r="CZ235" s="567">
        <f t="shared" si="1231"/>
        <v>0</v>
      </c>
      <c r="DA235" s="567">
        <f t="shared" si="1232"/>
        <v>0</v>
      </c>
      <c r="DB235" s="2">
        <f t="shared" si="1463"/>
        <v>0</v>
      </c>
      <c r="DC235" s="76"/>
      <c r="DD235" s="253"/>
      <c r="DE235" s="253"/>
      <c r="DF235" s="2">
        <f t="shared" si="1464"/>
        <v>0</v>
      </c>
      <c r="DG235" s="2"/>
      <c r="DH235" s="198"/>
      <c r="DI235" s="2"/>
      <c r="DJ235" s="2"/>
      <c r="DK235" s="2">
        <f t="shared" si="1465"/>
        <v>0</v>
      </c>
      <c r="DL235" s="2"/>
      <c r="DM235" s="198"/>
      <c r="DN235" s="2"/>
      <c r="DO235" s="2"/>
      <c r="DP235" s="2">
        <f t="shared" si="1466"/>
        <v>0</v>
      </c>
      <c r="DQ235" s="2">
        <f t="shared" si="1467"/>
        <v>0</v>
      </c>
      <c r="DR235" s="2">
        <f t="shared" si="1467"/>
        <v>0</v>
      </c>
      <c r="DS235" s="2">
        <f t="shared" si="1467"/>
        <v>0</v>
      </c>
      <c r="DT235" s="2">
        <f t="shared" si="1467"/>
        <v>0</v>
      </c>
      <c r="DU235" s="2"/>
      <c r="DV235" s="2"/>
      <c r="DW235" s="2"/>
      <c r="DX235" s="2">
        <f t="shared" ca="1" si="1468"/>
        <v>0</v>
      </c>
      <c r="DY235" s="46"/>
      <c r="DZ235" s="2">
        <f t="shared" si="1469"/>
        <v>2811.4219200000002</v>
      </c>
      <c r="EA235" s="2">
        <f t="shared" si="1470"/>
        <v>2811.4219200000002</v>
      </c>
      <c r="EB235" s="46"/>
      <c r="EC235" s="2"/>
      <c r="ED235" s="2"/>
      <c r="EE235" s="46"/>
      <c r="EF235" s="2"/>
      <c r="EG235" s="46"/>
      <c r="EH235" s="46"/>
      <c r="EI235" s="2">
        <f t="shared" si="1196"/>
        <v>2811.4219200000002</v>
      </c>
      <c r="EJ235" s="2"/>
      <c r="EK235" s="198">
        <f t="shared" si="1233"/>
        <v>2811.4219200000002</v>
      </c>
      <c r="EL235" s="446">
        <v>2096.9625000000001</v>
      </c>
      <c r="EM235" s="446">
        <v>714.45942000000002</v>
      </c>
      <c r="EN235" s="2"/>
      <c r="EO235" s="2"/>
      <c r="EP235" s="2">
        <f t="shared" si="1234"/>
        <v>789.73257999999998</v>
      </c>
      <c r="EQ235" s="2"/>
      <c r="ER235" s="2">
        <f t="shared" si="1235"/>
        <v>789.73257999999998</v>
      </c>
      <c r="ES235" s="2">
        <v>589.04</v>
      </c>
      <c r="ET235" s="2">
        <v>200.69257999999999</v>
      </c>
      <c r="EU235" s="2"/>
      <c r="EV235" s="141"/>
      <c r="EW235" s="310"/>
      <c r="EX235" s="310"/>
      <c r="EY235" s="310"/>
      <c r="EZ235" s="396"/>
      <c r="FA235" s="396"/>
      <c r="FB235" s="310"/>
      <c r="FC235" s="310"/>
      <c r="FD235" s="310"/>
      <c r="FE235" s="396"/>
      <c r="FF235" s="396"/>
      <c r="FG235" s="396"/>
      <c r="FH235" s="311"/>
      <c r="FI235" s="310"/>
      <c r="FJ235" s="296" t="e">
        <f t="shared" si="1473"/>
        <v>#DIV/0!</v>
      </c>
      <c r="FK235" s="353">
        <f t="shared" si="1237"/>
        <v>3006.2</v>
      </c>
      <c r="FL235" s="353">
        <f>BA235</f>
        <v>3006.2</v>
      </c>
      <c r="FM235" s="353"/>
      <c r="FN235" s="388">
        <f t="shared" si="1474"/>
        <v>1</v>
      </c>
      <c r="FO235" s="388">
        <f t="shared" si="1475"/>
        <v>0</v>
      </c>
      <c r="FP235" s="353">
        <f t="shared" si="1238"/>
        <v>3601.1545000000001</v>
      </c>
      <c r="FQ235" s="353">
        <f t="shared" si="1476"/>
        <v>2811.4219200000002</v>
      </c>
      <c r="FR235" s="353">
        <f t="shared" si="1477"/>
        <v>789.73257999999998</v>
      </c>
      <c r="FS235" s="388">
        <f t="shared" si="1478"/>
        <v>0.78070016712695889</v>
      </c>
      <c r="FT235" s="388">
        <f t="shared" si="1479"/>
        <v>0.21929983287304111</v>
      </c>
      <c r="FU235" s="388"/>
      <c r="FV235" s="353">
        <f t="shared" si="1480"/>
        <v>3601.1545000000001</v>
      </c>
      <c r="FW235" s="353">
        <f t="shared" si="1239"/>
        <v>-789.73257999999987</v>
      </c>
      <c r="FX235" s="310"/>
      <c r="FY235" s="310"/>
      <c r="FZ235" s="310"/>
      <c r="GA235" s="396"/>
      <c r="GB235" s="396"/>
      <c r="GC235" s="310"/>
      <c r="GD235" s="310"/>
      <c r="GE235" s="310"/>
      <c r="GF235" s="396"/>
      <c r="GG235" s="396"/>
      <c r="GH235" s="396"/>
      <c r="GI235" s="311"/>
      <c r="GJ235" s="344"/>
      <c r="GK235" s="303">
        <f t="shared" si="1215"/>
        <v>0.93520787705408837</v>
      </c>
    </row>
    <row r="236" spans="2:193" s="37" customFormat="1" ht="15.6" customHeight="1" x14ac:dyDescent="0.25">
      <c r="B236" s="29"/>
      <c r="C236" s="30"/>
      <c r="D236" s="30">
        <v>1</v>
      </c>
      <c r="E236" s="493">
        <v>196</v>
      </c>
      <c r="F236" s="29"/>
      <c r="G236" s="30"/>
      <c r="H236" s="30">
        <v>1</v>
      </c>
      <c r="I236" s="493"/>
      <c r="J236" s="494"/>
      <c r="K236" s="494"/>
      <c r="L236" s="53"/>
      <c r="M236" s="493">
        <v>171</v>
      </c>
      <c r="N236" s="494" t="s">
        <v>172</v>
      </c>
      <c r="O236" s="494"/>
      <c r="P236" s="494">
        <f t="shared" si="1236"/>
        <v>0</v>
      </c>
      <c r="Q236" s="494" t="s">
        <v>701</v>
      </c>
      <c r="R236" s="494" t="s">
        <v>699</v>
      </c>
      <c r="S236" s="494" t="s">
        <v>559</v>
      </c>
      <c r="T236" s="156">
        <v>2</v>
      </c>
      <c r="U236" s="493"/>
      <c r="V236" s="2">
        <f t="shared" si="1216"/>
        <v>4276.1000000000004</v>
      </c>
      <c r="W236" s="2"/>
      <c r="X236" s="198">
        <f t="shared" si="1481"/>
        <v>4276.1000000000004</v>
      </c>
      <c r="Y236" s="198">
        <v>1970.2</v>
      </c>
      <c r="Z236" s="42">
        <v>2305.9</v>
      </c>
      <c r="AA236" s="2"/>
      <c r="AB236" s="567">
        <f t="shared" si="1453"/>
        <v>4276.1000000000004</v>
      </c>
      <c r="AC236" s="567"/>
      <c r="AD236" s="568">
        <f t="shared" si="1482"/>
        <v>4276.1000000000004</v>
      </c>
      <c r="AE236" s="568">
        <v>1970.2</v>
      </c>
      <c r="AF236" s="569">
        <v>2305.9</v>
      </c>
      <c r="AG236" s="567"/>
      <c r="AH236" s="573"/>
      <c r="AI236" s="567"/>
      <c r="AJ236" s="567"/>
      <c r="AK236" s="568"/>
      <c r="AL236" s="567"/>
      <c r="AM236" s="573"/>
      <c r="AN236" s="567"/>
      <c r="AO236" s="567"/>
      <c r="AP236" s="568"/>
      <c r="AQ236" s="567"/>
      <c r="AR236" s="573"/>
      <c r="AS236" s="567"/>
      <c r="AT236" s="567"/>
      <c r="AU236" s="568"/>
      <c r="AV236" s="567"/>
      <c r="AW236" s="567"/>
      <c r="AX236" s="409" t="s">
        <v>428</v>
      </c>
      <c r="AY236" s="567">
        <f t="shared" si="1454"/>
        <v>4276.1000000000004</v>
      </c>
      <c r="AZ236" s="567"/>
      <c r="BA236" s="568">
        <f t="shared" si="1455"/>
        <v>4276.1000000000004</v>
      </c>
      <c r="BB236" s="568">
        <f>1740.252+229.948</f>
        <v>1970.2</v>
      </c>
      <c r="BC236" s="569">
        <v>2305.9</v>
      </c>
      <c r="BD236" s="567"/>
      <c r="BE236" s="567"/>
      <c r="BF236" s="567">
        <f t="shared" si="1217"/>
        <v>0</v>
      </c>
      <c r="BG236" s="567">
        <f t="shared" si="1218"/>
        <v>0</v>
      </c>
      <c r="BH236" s="567">
        <f t="shared" si="1219"/>
        <v>0</v>
      </c>
      <c r="BI236" s="567">
        <f t="shared" si="1220"/>
        <v>0</v>
      </c>
      <c r="BJ236" s="567">
        <f t="shared" si="1221"/>
        <v>0</v>
      </c>
      <c r="BK236" s="567">
        <f t="shared" si="1222"/>
        <v>0</v>
      </c>
      <c r="BL236" s="567" t="e">
        <f>#REF!-BE236</f>
        <v>#REF!</v>
      </c>
      <c r="BM236" s="567">
        <f t="shared" si="1456"/>
        <v>1085.5999999999999</v>
      </c>
      <c r="BN236" s="567"/>
      <c r="BO236" s="568">
        <f>472+613.6</f>
        <v>1085.5999999999999</v>
      </c>
      <c r="BP236" s="567"/>
      <c r="BQ236" s="567"/>
      <c r="BR236" s="567">
        <f t="shared" si="1457"/>
        <v>0</v>
      </c>
      <c r="BS236" s="567"/>
      <c r="BT236" s="568"/>
      <c r="BU236" s="567"/>
      <c r="BV236" s="567"/>
      <c r="BW236" s="567">
        <f t="shared" si="1458"/>
        <v>3663.5316899999998</v>
      </c>
      <c r="BX236" s="567"/>
      <c r="BY236" s="568">
        <f t="shared" si="1223"/>
        <v>3663.5316899999998</v>
      </c>
      <c r="BZ236" s="571">
        <f>648.48678+706.91595+32.72034</f>
        <v>1388.1230699999999</v>
      </c>
      <c r="CA236" s="571">
        <f>1929.0966+25.23979+321.07223</f>
        <v>2275.4086200000002</v>
      </c>
      <c r="CB236" s="567"/>
      <c r="CC236" s="567"/>
      <c r="CD236" s="567">
        <f t="shared" si="1459"/>
        <v>3663.5316899999998</v>
      </c>
      <c r="CE236" s="567"/>
      <c r="CF236" s="568">
        <f t="shared" si="1224"/>
        <v>3663.5316899999998</v>
      </c>
      <c r="CG236" s="571">
        <f>648.48678+706.91595+32.72034</f>
        <v>1388.1230699999999</v>
      </c>
      <c r="CH236" s="571">
        <f>1929.0966+25.23979+321.07223</f>
        <v>2275.4086200000002</v>
      </c>
      <c r="CI236" s="567"/>
      <c r="CJ236" s="567"/>
      <c r="CK236" s="567">
        <f t="shared" si="1460"/>
        <v>548.25561000000005</v>
      </c>
      <c r="CL236" s="567"/>
      <c r="CM236" s="567">
        <v>548.25561000000005</v>
      </c>
      <c r="CN236" s="567">
        <v>96.900450000000006</v>
      </c>
      <c r="CO236" s="567">
        <v>288.96039000000002</v>
      </c>
      <c r="CP236" s="567"/>
      <c r="CQ236" s="567"/>
      <c r="CR236" s="573">
        <f t="shared" si="1461"/>
        <v>4211.7873</v>
      </c>
      <c r="CS236" s="567">
        <f t="shared" si="1226"/>
        <v>4211.7873</v>
      </c>
      <c r="CT236" s="567">
        <f t="shared" si="1227"/>
        <v>0</v>
      </c>
      <c r="CU236" s="567">
        <f t="shared" si="1228"/>
        <v>4211.7873</v>
      </c>
      <c r="CV236" s="567">
        <f t="shared" si="1229"/>
        <v>0</v>
      </c>
      <c r="CW236" s="567">
        <f t="shared" si="1462"/>
        <v>0</v>
      </c>
      <c r="CX236" s="567">
        <f t="shared" ca="1" si="1339"/>
        <v>0</v>
      </c>
      <c r="CY236" s="567">
        <f t="shared" si="1230"/>
        <v>0</v>
      </c>
      <c r="CZ236" s="567">
        <f t="shared" si="1231"/>
        <v>0</v>
      </c>
      <c r="DA236" s="567">
        <f t="shared" si="1232"/>
        <v>0</v>
      </c>
      <c r="DB236" s="2">
        <f t="shared" si="1463"/>
        <v>0</v>
      </c>
      <c r="DC236" s="76"/>
      <c r="DD236" s="253"/>
      <c r="DE236" s="253"/>
      <c r="DF236" s="2">
        <f t="shared" si="1464"/>
        <v>0</v>
      </c>
      <c r="DG236" s="2"/>
      <c r="DH236" s="198"/>
      <c r="DI236" s="2"/>
      <c r="DJ236" s="2"/>
      <c r="DK236" s="2">
        <f t="shared" si="1465"/>
        <v>0</v>
      </c>
      <c r="DL236" s="2"/>
      <c r="DM236" s="198"/>
      <c r="DN236" s="2"/>
      <c r="DO236" s="2"/>
      <c r="DP236" s="2">
        <f t="shared" si="1466"/>
        <v>0</v>
      </c>
      <c r="DQ236" s="2">
        <f t="shared" si="1467"/>
        <v>0</v>
      </c>
      <c r="DR236" s="2">
        <f t="shared" si="1467"/>
        <v>0</v>
      </c>
      <c r="DS236" s="2">
        <f t="shared" si="1467"/>
        <v>0</v>
      </c>
      <c r="DT236" s="2">
        <f t="shared" si="1467"/>
        <v>0</v>
      </c>
      <c r="DU236" s="2"/>
      <c r="DV236" s="2"/>
      <c r="DW236" s="2"/>
      <c r="DX236" s="2">
        <f t="shared" ca="1" si="1468"/>
        <v>0</v>
      </c>
      <c r="DY236" s="46"/>
      <c r="DZ236" s="2">
        <f t="shared" si="1469"/>
        <v>3663.5316899999998</v>
      </c>
      <c r="EA236" s="2">
        <f t="shared" si="1470"/>
        <v>3663.5316899999998</v>
      </c>
      <c r="EB236" s="46"/>
      <c r="EC236" s="2"/>
      <c r="ED236" s="2"/>
      <c r="EE236" s="46"/>
      <c r="EF236" s="2"/>
      <c r="EG236" s="46"/>
      <c r="EH236" s="46"/>
      <c r="EI236" s="2">
        <f t="shared" si="1196"/>
        <v>3663.5316899999998</v>
      </c>
      <c r="EJ236" s="2"/>
      <c r="EK236" s="198">
        <f t="shared" si="1233"/>
        <v>3663.5316899999998</v>
      </c>
      <c r="EL236" s="446">
        <f>648.48678+706.91595+32.72034</f>
        <v>1388.1230699999999</v>
      </c>
      <c r="EM236" s="446">
        <f>1929.0966+25.23979+321.07223</f>
        <v>2275.4086200000002</v>
      </c>
      <c r="EN236" s="2"/>
      <c r="EO236" s="2"/>
      <c r="EP236" s="2">
        <f t="shared" si="1234"/>
        <v>548.25561000000005</v>
      </c>
      <c r="EQ236" s="2"/>
      <c r="ER236" s="2">
        <v>548.25561000000005</v>
      </c>
      <c r="ES236" s="2">
        <f>96.90045+105.63126+4.88925</f>
        <v>207.42096000000001</v>
      </c>
      <c r="ET236" s="2">
        <f>288.96039+3.78068+48.09358</f>
        <v>340.83465000000001</v>
      </c>
      <c r="EU236" s="2"/>
      <c r="EV236" s="141"/>
      <c r="EW236" s="310"/>
      <c r="EX236" s="310"/>
      <c r="EY236" s="310"/>
      <c r="EZ236" s="396"/>
      <c r="FA236" s="396"/>
      <c r="FB236" s="310"/>
      <c r="FC236" s="310"/>
      <c r="FD236" s="310"/>
      <c r="FE236" s="396"/>
      <c r="FF236" s="396"/>
      <c r="FG236" s="396"/>
      <c r="FH236" s="311"/>
      <c r="FI236" s="310"/>
      <c r="FJ236" s="296" t="e">
        <f t="shared" si="1473"/>
        <v>#DIV/0!</v>
      </c>
      <c r="FK236" s="353">
        <f t="shared" si="1237"/>
        <v>4276.1000000000004</v>
      </c>
      <c r="FL236" s="353">
        <f>BA236</f>
        <v>4276.1000000000004</v>
      </c>
      <c r="FM236" s="353"/>
      <c r="FN236" s="388">
        <f t="shared" si="1474"/>
        <v>1</v>
      </c>
      <c r="FO236" s="388">
        <f t="shared" si="1475"/>
        <v>0</v>
      </c>
      <c r="FP236" s="353">
        <f t="shared" si="1238"/>
        <v>4211.7873</v>
      </c>
      <c r="FQ236" s="353">
        <f t="shared" si="1476"/>
        <v>3663.5316899999998</v>
      </c>
      <c r="FR236" s="353">
        <f t="shared" si="1477"/>
        <v>548.25561000000005</v>
      </c>
      <c r="FS236" s="388">
        <f t="shared" si="1478"/>
        <v>0.8698282769407657</v>
      </c>
      <c r="FT236" s="388">
        <f t="shared" si="1479"/>
        <v>0.13017172305923427</v>
      </c>
      <c r="FU236" s="388"/>
      <c r="FV236" s="353">
        <f t="shared" si="1480"/>
        <v>4211.7873</v>
      </c>
      <c r="FW236" s="353">
        <f t="shared" si="1239"/>
        <v>-548.25561000000016</v>
      </c>
      <c r="FX236" s="310"/>
      <c r="FY236" s="310"/>
      <c r="FZ236" s="310"/>
      <c r="GA236" s="396"/>
      <c r="GB236" s="396"/>
      <c r="GC236" s="310"/>
      <c r="GD236" s="310"/>
      <c r="GE236" s="310"/>
      <c r="GF236" s="396"/>
      <c r="GG236" s="396"/>
      <c r="GH236" s="396"/>
      <c r="GI236" s="311"/>
      <c r="GJ236" s="344"/>
      <c r="GK236" s="303">
        <f t="shared" si="1215"/>
        <v>0.85674602792263965</v>
      </c>
    </row>
    <row r="237" spans="2:193" s="37" customFormat="1" ht="15.75" hidden="1" customHeight="1" x14ac:dyDescent="0.25">
      <c r="B237" s="29"/>
      <c r="C237" s="30"/>
      <c r="D237" s="30">
        <v>1</v>
      </c>
      <c r="E237" s="493">
        <v>197</v>
      </c>
      <c r="F237" s="29"/>
      <c r="G237" s="30"/>
      <c r="H237" s="30"/>
      <c r="I237" s="493"/>
      <c r="J237" s="494"/>
      <c r="K237" s="494"/>
      <c r="L237" s="53"/>
      <c r="M237" s="493">
        <v>185</v>
      </c>
      <c r="N237" s="494" t="s">
        <v>242</v>
      </c>
      <c r="O237" s="494"/>
      <c r="P237" s="494">
        <f t="shared" si="1236"/>
        <v>0</v>
      </c>
      <c r="Q237" s="494"/>
      <c r="R237" s="494"/>
      <c r="S237" s="494"/>
      <c r="T237" s="156"/>
      <c r="U237" s="493"/>
      <c r="V237" s="2">
        <f t="shared" si="1216"/>
        <v>0</v>
      </c>
      <c r="W237" s="2"/>
      <c r="X237" s="198">
        <f t="shared" si="1481"/>
        <v>0</v>
      </c>
      <c r="Y237" s="198"/>
      <c r="Z237" s="42"/>
      <c r="AA237" s="2"/>
      <c r="AB237" s="567">
        <f t="shared" si="1453"/>
        <v>0</v>
      </c>
      <c r="AC237" s="567"/>
      <c r="AD237" s="568">
        <f t="shared" si="1482"/>
        <v>0</v>
      </c>
      <c r="AE237" s="568"/>
      <c r="AF237" s="569"/>
      <c r="AG237" s="567"/>
      <c r="AH237" s="573"/>
      <c r="AI237" s="567"/>
      <c r="AJ237" s="567"/>
      <c r="AK237" s="568"/>
      <c r="AL237" s="567"/>
      <c r="AM237" s="573"/>
      <c r="AN237" s="567"/>
      <c r="AO237" s="567"/>
      <c r="AP237" s="568"/>
      <c r="AQ237" s="567"/>
      <c r="AR237" s="573"/>
      <c r="AS237" s="567"/>
      <c r="AT237" s="567"/>
      <c r="AU237" s="568"/>
      <c r="AV237" s="567"/>
      <c r="AW237" s="567"/>
      <c r="AX237" s="409"/>
      <c r="AY237" s="567">
        <f t="shared" si="1454"/>
        <v>0</v>
      </c>
      <c r="AZ237" s="567"/>
      <c r="BA237" s="568">
        <f t="shared" si="1455"/>
        <v>0</v>
      </c>
      <c r="BB237" s="568"/>
      <c r="BC237" s="569"/>
      <c r="BD237" s="567"/>
      <c r="BE237" s="567"/>
      <c r="BF237" s="567">
        <f t="shared" si="1217"/>
        <v>0</v>
      </c>
      <c r="BG237" s="567">
        <f t="shared" si="1218"/>
        <v>0</v>
      </c>
      <c r="BH237" s="567">
        <f t="shared" si="1219"/>
        <v>0</v>
      </c>
      <c r="BI237" s="567">
        <f t="shared" si="1220"/>
        <v>0</v>
      </c>
      <c r="BJ237" s="567">
        <f t="shared" si="1221"/>
        <v>0</v>
      </c>
      <c r="BK237" s="567">
        <f t="shared" si="1222"/>
        <v>0</v>
      </c>
      <c r="BL237" s="567" t="e">
        <f>#REF!-BE237</f>
        <v>#REF!</v>
      </c>
      <c r="BM237" s="567">
        <f t="shared" si="1456"/>
        <v>0</v>
      </c>
      <c r="BN237" s="567"/>
      <c r="BO237" s="568"/>
      <c r="BP237" s="567"/>
      <c r="BQ237" s="567"/>
      <c r="BR237" s="567">
        <f t="shared" si="1457"/>
        <v>0</v>
      </c>
      <c r="BS237" s="567"/>
      <c r="BT237" s="567"/>
      <c r="BU237" s="567"/>
      <c r="BV237" s="567"/>
      <c r="BW237" s="567">
        <f t="shared" si="1458"/>
        <v>0</v>
      </c>
      <c r="BX237" s="567"/>
      <c r="BY237" s="577">
        <f t="shared" si="1223"/>
        <v>0</v>
      </c>
      <c r="BZ237" s="601"/>
      <c r="CA237" s="601"/>
      <c r="CB237" s="567"/>
      <c r="CC237" s="567"/>
      <c r="CD237" s="567">
        <f t="shared" si="1459"/>
        <v>0</v>
      </c>
      <c r="CE237" s="567"/>
      <c r="CF237" s="577">
        <f t="shared" si="1224"/>
        <v>0</v>
      </c>
      <c r="CG237" s="601"/>
      <c r="CH237" s="601"/>
      <c r="CI237" s="567"/>
      <c r="CJ237" s="567"/>
      <c r="CK237" s="567">
        <f t="shared" si="1460"/>
        <v>0</v>
      </c>
      <c r="CL237" s="567"/>
      <c r="CM237" s="567">
        <f t="shared" si="1225"/>
        <v>0</v>
      </c>
      <c r="CN237" s="567"/>
      <c r="CO237" s="567"/>
      <c r="CP237" s="567"/>
      <c r="CQ237" s="567"/>
      <c r="CR237" s="573">
        <f t="shared" si="1461"/>
        <v>0</v>
      </c>
      <c r="CS237" s="567">
        <f t="shared" si="1226"/>
        <v>0</v>
      </c>
      <c r="CT237" s="567">
        <f t="shared" si="1227"/>
        <v>0</v>
      </c>
      <c r="CU237" s="567">
        <f t="shared" si="1228"/>
        <v>0</v>
      </c>
      <c r="CV237" s="567">
        <f t="shared" si="1229"/>
        <v>0</v>
      </c>
      <c r="CW237" s="567">
        <f t="shared" si="1462"/>
        <v>0</v>
      </c>
      <c r="CX237" s="567">
        <f t="shared" ca="1" si="1339"/>
        <v>0</v>
      </c>
      <c r="CY237" s="567">
        <f t="shared" si="1230"/>
        <v>0</v>
      </c>
      <c r="CZ237" s="567">
        <f t="shared" si="1231"/>
        <v>0</v>
      </c>
      <c r="DA237" s="567">
        <f t="shared" si="1232"/>
        <v>0</v>
      </c>
      <c r="DB237" s="2">
        <f t="shared" si="1463"/>
        <v>0</v>
      </c>
      <c r="DC237" s="76"/>
      <c r="DD237" s="253"/>
      <c r="DE237" s="253"/>
      <c r="DF237" s="2">
        <f t="shared" si="1464"/>
        <v>0</v>
      </c>
      <c r="DG237" s="2"/>
      <c r="DH237" s="2"/>
      <c r="DI237" s="2"/>
      <c r="DJ237" s="2"/>
      <c r="DK237" s="2">
        <f t="shared" si="1465"/>
        <v>0</v>
      </c>
      <c r="DL237" s="2"/>
      <c r="DM237" s="2"/>
      <c r="DN237" s="2"/>
      <c r="DO237" s="2"/>
      <c r="DP237" s="2">
        <f t="shared" si="1466"/>
        <v>0</v>
      </c>
      <c r="DQ237" s="2">
        <f t="shared" si="1467"/>
        <v>0</v>
      </c>
      <c r="DR237" s="2">
        <f t="shared" si="1467"/>
        <v>0</v>
      </c>
      <c r="DS237" s="2">
        <f t="shared" si="1467"/>
        <v>0</v>
      </c>
      <c r="DT237" s="2">
        <f t="shared" si="1467"/>
        <v>0</v>
      </c>
      <c r="DU237" s="2"/>
      <c r="DV237" s="2"/>
      <c r="DW237" s="2"/>
      <c r="DX237" s="2">
        <f t="shared" ca="1" si="1468"/>
        <v>0</v>
      </c>
      <c r="DY237" s="46"/>
      <c r="DZ237" s="2">
        <f t="shared" si="1469"/>
        <v>0</v>
      </c>
      <c r="EA237" s="2">
        <f t="shared" si="1470"/>
        <v>0</v>
      </c>
      <c r="EB237" s="46"/>
      <c r="EC237" s="2"/>
      <c r="ED237" s="2"/>
      <c r="EE237" s="46"/>
      <c r="EF237" s="2"/>
      <c r="EG237" s="46"/>
      <c r="EH237" s="46"/>
      <c r="EI237" s="2">
        <f t="shared" si="1196"/>
        <v>0</v>
      </c>
      <c r="EJ237" s="2"/>
      <c r="EK237" s="236">
        <f t="shared" si="1233"/>
        <v>0</v>
      </c>
      <c r="EL237" s="499"/>
      <c r="EM237" s="499"/>
      <c r="EN237" s="2"/>
      <c r="EO237" s="2"/>
      <c r="EP237" s="2">
        <f t="shared" si="1234"/>
        <v>0</v>
      </c>
      <c r="EQ237" s="2"/>
      <c r="ER237" s="2">
        <f t="shared" si="1235"/>
        <v>0</v>
      </c>
      <c r="ES237" s="2"/>
      <c r="ET237" s="2"/>
      <c r="EU237" s="2"/>
      <c r="EV237" s="141"/>
      <c r="EW237" s="310"/>
      <c r="EX237" s="310"/>
      <c r="EY237" s="310"/>
      <c r="EZ237" s="396"/>
      <c r="FA237" s="396"/>
      <c r="FB237" s="310"/>
      <c r="FC237" s="310"/>
      <c r="FD237" s="310"/>
      <c r="FE237" s="396"/>
      <c r="FF237" s="396"/>
      <c r="FG237" s="396"/>
      <c r="FH237" s="311"/>
      <c r="FI237" s="310"/>
      <c r="FJ237" s="296" t="e">
        <f t="shared" si="1473"/>
        <v>#DIV/0!</v>
      </c>
      <c r="FK237" s="353"/>
      <c r="FL237" s="353"/>
      <c r="FM237" s="353"/>
      <c r="FN237" s="388"/>
      <c r="FO237" s="388"/>
      <c r="FP237" s="353"/>
      <c r="FQ237" s="353"/>
      <c r="FR237" s="353"/>
      <c r="FS237" s="388"/>
      <c r="FT237" s="388"/>
      <c r="FU237" s="388"/>
      <c r="FV237" s="353"/>
      <c r="FW237" s="353">
        <f t="shared" si="1239"/>
        <v>0</v>
      </c>
      <c r="FX237" s="310"/>
      <c r="FY237" s="310"/>
      <c r="FZ237" s="310"/>
      <c r="GA237" s="396"/>
      <c r="GB237" s="396"/>
      <c r="GC237" s="310"/>
      <c r="GD237" s="310"/>
      <c r="GE237" s="310"/>
      <c r="GF237" s="396"/>
      <c r="GG237" s="396"/>
      <c r="GH237" s="396"/>
      <c r="GI237" s="311"/>
      <c r="GJ237" s="344"/>
      <c r="GK237" s="303" t="e">
        <f t="shared" si="1215"/>
        <v>#DIV/0!</v>
      </c>
    </row>
    <row r="238" spans="2:193" s="37" customFormat="1" ht="15.75" hidden="1" customHeight="1" x14ac:dyDescent="0.25">
      <c r="B238" s="29"/>
      <c r="C238" s="30"/>
      <c r="D238" s="30">
        <v>1</v>
      </c>
      <c r="E238" s="493">
        <v>198</v>
      </c>
      <c r="F238" s="29"/>
      <c r="G238" s="30"/>
      <c r="H238" s="30"/>
      <c r="I238" s="493"/>
      <c r="J238" s="494"/>
      <c r="K238" s="494"/>
      <c r="L238" s="53"/>
      <c r="M238" s="493">
        <v>186</v>
      </c>
      <c r="N238" s="494" t="s">
        <v>241</v>
      </c>
      <c r="O238" s="494"/>
      <c r="P238" s="494">
        <f t="shared" si="1236"/>
        <v>0</v>
      </c>
      <c r="Q238" s="494"/>
      <c r="R238" s="494"/>
      <c r="S238" s="494"/>
      <c r="T238" s="156"/>
      <c r="U238" s="493"/>
      <c r="V238" s="2">
        <f t="shared" si="1216"/>
        <v>0</v>
      </c>
      <c r="W238" s="2"/>
      <c r="X238" s="198">
        <f t="shared" si="1481"/>
        <v>0</v>
      </c>
      <c r="Y238" s="198"/>
      <c r="Z238" s="42"/>
      <c r="AA238" s="2"/>
      <c r="AB238" s="567">
        <f t="shared" si="1453"/>
        <v>0</v>
      </c>
      <c r="AC238" s="567"/>
      <c r="AD238" s="568">
        <f t="shared" si="1482"/>
        <v>0</v>
      </c>
      <c r="AE238" s="568"/>
      <c r="AF238" s="569"/>
      <c r="AG238" s="567"/>
      <c r="AH238" s="573"/>
      <c r="AI238" s="567"/>
      <c r="AJ238" s="567"/>
      <c r="AK238" s="568"/>
      <c r="AL238" s="567"/>
      <c r="AM238" s="573"/>
      <c r="AN238" s="567"/>
      <c r="AO238" s="567"/>
      <c r="AP238" s="568"/>
      <c r="AQ238" s="567"/>
      <c r="AR238" s="573"/>
      <c r="AS238" s="567"/>
      <c r="AT238" s="567"/>
      <c r="AU238" s="568"/>
      <c r="AV238" s="567"/>
      <c r="AW238" s="567"/>
      <c r="AX238" s="409"/>
      <c r="AY238" s="567">
        <f t="shared" si="1454"/>
        <v>0</v>
      </c>
      <c r="AZ238" s="567"/>
      <c r="BA238" s="568">
        <f t="shared" si="1455"/>
        <v>0</v>
      </c>
      <c r="BB238" s="568"/>
      <c r="BC238" s="569"/>
      <c r="BD238" s="567"/>
      <c r="BE238" s="567"/>
      <c r="BF238" s="567">
        <f t="shared" si="1217"/>
        <v>0</v>
      </c>
      <c r="BG238" s="567">
        <f t="shared" si="1218"/>
        <v>0</v>
      </c>
      <c r="BH238" s="567">
        <f t="shared" si="1219"/>
        <v>0</v>
      </c>
      <c r="BI238" s="567">
        <f t="shared" si="1220"/>
        <v>0</v>
      </c>
      <c r="BJ238" s="567">
        <f t="shared" si="1221"/>
        <v>0</v>
      </c>
      <c r="BK238" s="567">
        <f t="shared" si="1222"/>
        <v>0</v>
      </c>
      <c r="BL238" s="567" t="e">
        <f>#REF!-BE238</f>
        <v>#REF!</v>
      </c>
      <c r="BM238" s="567">
        <f t="shared" si="1456"/>
        <v>0</v>
      </c>
      <c r="BN238" s="567"/>
      <c r="BO238" s="568"/>
      <c r="BP238" s="567"/>
      <c r="BQ238" s="567"/>
      <c r="BR238" s="567">
        <f t="shared" si="1457"/>
        <v>0</v>
      </c>
      <c r="BS238" s="567"/>
      <c r="BT238" s="567"/>
      <c r="BU238" s="567"/>
      <c r="BV238" s="567"/>
      <c r="BW238" s="567">
        <f t="shared" si="1458"/>
        <v>0</v>
      </c>
      <c r="BX238" s="567"/>
      <c r="BY238" s="577">
        <f t="shared" si="1223"/>
        <v>0</v>
      </c>
      <c r="BZ238" s="601"/>
      <c r="CA238" s="601"/>
      <c r="CB238" s="567"/>
      <c r="CC238" s="567"/>
      <c r="CD238" s="567">
        <f t="shared" si="1459"/>
        <v>0</v>
      </c>
      <c r="CE238" s="567"/>
      <c r="CF238" s="577">
        <f t="shared" si="1224"/>
        <v>0</v>
      </c>
      <c r="CG238" s="601"/>
      <c r="CH238" s="601"/>
      <c r="CI238" s="567"/>
      <c r="CJ238" s="567"/>
      <c r="CK238" s="567">
        <f t="shared" si="1460"/>
        <v>0</v>
      </c>
      <c r="CL238" s="567"/>
      <c r="CM238" s="567">
        <f t="shared" si="1225"/>
        <v>0</v>
      </c>
      <c r="CN238" s="567"/>
      <c r="CO238" s="567"/>
      <c r="CP238" s="567"/>
      <c r="CQ238" s="567"/>
      <c r="CR238" s="573">
        <f t="shared" si="1461"/>
        <v>0</v>
      </c>
      <c r="CS238" s="567">
        <f t="shared" si="1226"/>
        <v>0</v>
      </c>
      <c r="CT238" s="567">
        <f t="shared" si="1227"/>
        <v>0</v>
      </c>
      <c r="CU238" s="567">
        <f t="shared" si="1228"/>
        <v>0</v>
      </c>
      <c r="CV238" s="567">
        <f t="shared" si="1229"/>
        <v>0</v>
      </c>
      <c r="CW238" s="567">
        <f t="shared" si="1462"/>
        <v>0</v>
      </c>
      <c r="CX238" s="567">
        <f t="shared" ca="1" si="1339"/>
        <v>0</v>
      </c>
      <c r="CY238" s="567">
        <f t="shared" si="1230"/>
        <v>0</v>
      </c>
      <c r="CZ238" s="567">
        <f t="shared" si="1231"/>
        <v>0</v>
      </c>
      <c r="DA238" s="567">
        <f t="shared" si="1232"/>
        <v>0</v>
      </c>
      <c r="DB238" s="2">
        <f t="shared" si="1463"/>
        <v>0</v>
      </c>
      <c r="DC238" s="76"/>
      <c r="DD238" s="253"/>
      <c r="DE238" s="253"/>
      <c r="DF238" s="2">
        <f t="shared" si="1464"/>
        <v>0</v>
      </c>
      <c r="DG238" s="2"/>
      <c r="DH238" s="2"/>
      <c r="DI238" s="2"/>
      <c r="DJ238" s="2"/>
      <c r="DK238" s="2">
        <f t="shared" si="1465"/>
        <v>0</v>
      </c>
      <c r="DL238" s="2"/>
      <c r="DM238" s="2"/>
      <c r="DN238" s="2"/>
      <c r="DO238" s="2"/>
      <c r="DP238" s="2">
        <f t="shared" si="1466"/>
        <v>0</v>
      </c>
      <c r="DQ238" s="2">
        <f t="shared" si="1467"/>
        <v>0</v>
      </c>
      <c r="DR238" s="2">
        <f t="shared" si="1467"/>
        <v>0</v>
      </c>
      <c r="DS238" s="2">
        <f t="shared" si="1467"/>
        <v>0</v>
      </c>
      <c r="DT238" s="2">
        <f t="shared" si="1467"/>
        <v>0</v>
      </c>
      <c r="DU238" s="2"/>
      <c r="DV238" s="2"/>
      <c r="DW238" s="2"/>
      <c r="DX238" s="2">
        <f t="shared" ca="1" si="1468"/>
        <v>0</v>
      </c>
      <c r="DY238" s="46"/>
      <c r="DZ238" s="2">
        <f t="shared" si="1469"/>
        <v>0</v>
      </c>
      <c r="EA238" s="2">
        <f t="shared" si="1470"/>
        <v>0</v>
      </c>
      <c r="EB238" s="46"/>
      <c r="EC238" s="2"/>
      <c r="ED238" s="2"/>
      <c r="EE238" s="46"/>
      <c r="EF238" s="2"/>
      <c r="EG238" s="46"/>
      <c r="EH238" s="46"/>
      <c r="EI238" s="2">
        <f t="shared" si="1196"/>
        <v>0</v>
      </c>
      <c r="EJ238" s="2"/>
      <c r="EK238" s="236">
        <f t="shared" si="1233"/>
        <v>0</v>
      </c>
      <c r="EL238" s="499"/>
      <c r="EM238" s="499"/>
      <c r="EN238" s="2"/>
      <c r="EO238" s="2"/>
      <c r="EP238" s="2">
        <f t="shared" si="1234"/>
        <v>0</v>
      </c>
      <c r="EQ238" s="2"/>
      <c r="ER238" s="2">
        <f t="shared" si="1235"/>
        <v>0</v>
      </c>
      <c r="ES238" s="2"/>
      <c r="ET238" s="2"/>
      <c r="EU238" s="2"/>
      <c r="EV238" s="141"/>
      <c r="EW238" s="310"/>
      <c r="EX238" s="310"/>
      <c r="EY238" s="310"/>
      <c r="EZ238" s="396"/>
      <c r="FA238" s="396"/>
      <c r="FB238" s="310"/>
      <c r="FC238" s="310"/>
      <c r="FD238" s="310"/>
      <c r="FE238" s="396"/>
      <c r="FF238" s="396"/>
      <c r="FG238" s="396"/>
      <c r="FH238" s="311"/>
      <c r="FI238" s="310"/>
      <c r="FJ238" s="296" t="e">
        <f t="shared" si="1473"/>
        <v>#DIV/0!</v>
      </c>
      <c r="FK238" s="353"/>
      <c r="FL238" s="353"/>
      <c r="FM238" s="353"/>
      <c r="FN238" s="388"/>
      <c r="FO238" s="388"/>
      <c r="FP238" s="353"/>
      <c r="FQ238" s="353"/>
      <c r="FR238" s="353"/>
      <c r="FS238" s="388"/>
      <c r="FT238" s="388"/>
      <c r="FU238" s="388"/>
      <c r="FV238" s="353"/>
      <c r="FW238" s="353">
        <f t="shared" si="1239"/>
        <v>0</v>
      </c>
      <c r="FX238" s="310"/>
      <c r="FY238" s="310"/>
      <c r="FZ238" s="310"/>
      <c r="GA238" s="396"/>
      <c r="GB238" s="396"/>
      <c r="GC238" s="310"/>
      <c r="GD238" s="310"/>
      <c r="GE238" s="310"/>
      <c r="GF238" s="396"/>
      <c r="GG238" s="396"/>
      <c r="GH238" s="396"/>
      <c r="GI238" s="311"/>
      <c r="GJ238" s="344"/>
      <c r="GK238" s="303" t="e">
        <f t="shared" si="1215"/>
        <v>#DIV/0!</v>
      </c>
    </row>
    <row r="239" spans="2:193" s="37" customFormat="1" ht="15.75" customHeight="1" x14ac:dyDescent="0.25">
      <c r="B239" s="29"/>
      <c r="C239" s="30"/>
      <c r="D239" s="30">
        <v>1</v>
      </c>
      <c r="E239" s="493">
        <v>199</v>
      </c>
      <c r="F239" s="29"/>
      <c r="G239" s="30"/>
      <c r="H239" s="30"/>
      <c r="I239" s="493"/>
      <c r="J239" s="494"/>
      <c r="K239" s="494"/>
      <c r="L239" s="53"/>
      <c r="M239" s="493">
        <v>172</v>
      </c>
      <c r="N239" s="494" t="s">
        <v>173</v>
      </c>
      <c r="O239" s="494"/>
      <c r="P239" s="494">
        <f t="shared" si="1236"/>
        <v>0</v>
      </c>
      <c r="Q239" s="494" t="s">
        <v>701</v>
      </c>
      <c r="R239" s="494" t="s">
        <v>699</v>
      </c>
      <c r="S239" s="494" t="s">
        <v>506</v>
      </c>
      <c r="T239" s="156">
        <v>1</v>
      </c>
      <c r="U239" s="493">
        <v>1</v>
      </c>
      <c r="V239" s="2">
        <f t="shared" si="1216"/>
        <v>3235.4</v>
      </c>
      <c r="W239" s="2"/>
      <c r="X239" s="198">
        <f t="shared" si="1481"/>
        <v>3235.4</v>
      </c>
      <c r="Y239" s="198"/>
      <c r="Z239" s="42">
        <v>3235.4</v>
      </c>
      <c r="AA239" s="2"/>
      <c r="AB239" s="567">
        <f t="shared" si="1453"/>
        <v>3235.4</v>
      </c>
      <c r="AC239" s="567"/>
      <c r="AD239" s="568">
        <f t="shared" si="1482"/>
        <v>3235.4</v>
      </c>
      <c r="AE239" s="568"/>
      <c r="AF239" s="569">
        <v>3235.4</v>
      </c>
      <c r="AG239" s="567"/>
      <c r="AH239" s="573"/>
      <c r="AI239" s="567"/>
      <c r="AJ239" s="567"/>
      <c r="AK239" s="568"/>
      <c r="AL239" s="567"/>
      <c r="AM239" s="573"/>
      <c r="AN239" s="567"/>
      <c r="AO239" s="567"/>
      <c r="AP239" s="568"/>
      <c r="AQ239" s="567"/>
      <c r="AR239" s="573"/>
      <c r="AS239" s="567"/>
      <c r="AT239" s="567"/>
      <c r="AU239" s="568"/>
      <c r="AV239" s="567"/>
      <c r="AW239" s="567"/>
      <c r="AX239" s="409" t="s">
        <v>685</v>
      </c>
      <c r="AY239" s="567">
        <f t="shared" si="1454"/>
        <v>3235.4</v>
      </c>
      <c r="AZ239" s="567"/>
      <c r="BA239" s="568">
        <f t="shared" si="1455"/>
        <v>3235.4</v>
      </c>
      <c r="BB239" s="568"/>
      <c r="BC239" s="569">
        <v>3235.4</v>
      </c>
      <c r="BD239" s="567"/>
      <c r="BE239" s="567"/>
      <c r="BF239" s="567">
        <f t="shared" si="1217"/>
        <v>0</v>
      </c>
      <c r="BG239" s="567">
        <f t="shared" si="1218"/>
        <v>0</v>
      </c>
      <c r="BH239" s="567">
        <f t="shared" si="1219"/>
        <v>0</v>
      </c>
      <c r="BI239" s="567">
        <f t="shared" si="1220"/>
        <v>0</v>
      </c>
      <c r="BJ239" s="567">
        <f t="shared" si="1221"/>
        <v>0</v>
      </c>
      <c r="BK239" s="567">
        <f t="shared" si="1222"/>
        <v>0</v>
      </c>
      <c r="BL239" s="567" t="e">
        <f>#REF!-BE239</f>
        <v>#REF!</v>
      </c>
      <c r="BM239" s="567">
        <f t="shared" si="1456"/>
        <v>0</v>
      </c>
      <c r="BN239" s="567"/>
      <c r="BO239" s="568"/>
      <c r="BP239" s="567"/>
      <c r="BQ239" s="567"/>
      <c r="BR239" s="567">
        <f t="shared" si="1457"/>
        <v>0</v>
      </c>
      <c r="BS239" s="567"/>
      <c r="BT239" s="567"/>
      <c r="BU239" s="567"/>
      <c r="BV239" s="567"/>
      <c r="BW239" s="567">
        <f t="shared" si="1458"/>
        <v>3235.4</v>
      </c>
      <c r="BX239" s="567"/>
      <c r="BY239" s="577">
        <f t="shared" si="1223"/>
        <v>3235.4</v>
      </c>
      <c r="BZ239" s="601"/>
      <c r="CA239" s="601">
        <f>753.09604+1811.64903+670.65493</f>
        <v>3235.4</v>
      </c>
      <c r="CB239" s="567"/>
      <c r="CC239" s="567"/>
      <c r="CD239" s="567">
        <f t="shared" si="1459"/>
        <v>3235.4</v>
      </c>
      <c r="CE239" s="567"/>
      <c r="CF239" s="577">
        <f t="shared" si="1224"/>
        <v>3235.4</v>
      </c>
      <c r="CG239" s="601"/>
      <c r="CH239" s="601">
        <f>753.09604+1811.64903+670.65493</f>
        <v>3235.4</v>
      </c>
      <c r="CI239" s="567"/>
      <c r="CJ239" s="567"/>
      <c r="CK239" s="567">
        <f t="shared" si="1460"/>
        <v>450.40600000000001</v>
      </c>
      <c r="CL239" s="567"/>
      <c r="CM239" s="567">
        <f t="shared" si="1225"/>
        <v>450.40600000000001</v>
      </c>
      <c r="CN239" s="567"/>
      <c r="CO239" s="567">
        <f>104.83989+252.203+93.36311</f>
        <v>450.40600000000001</v>
      </c>
      <c r="CP239" s="567"/>
      <c r="CQ239" s="567"/>
      <c r="CR239" s="573">
        <f t="shared" si="1461"/>
        <v>3685.806</v>
      </c>
      <c r="CS239" s="567">
        <f t="shared" si="1226"/>
        <v>3685.806</v>
      </c>
      <c r="CT239" s="567">
        <f t="shared" si="1227"/>
        <v>0</v>
      </c>
      <c r="CU239" s="567">
        <f t="shared" si="1228"/>
        <v>3685.806</v>
      </c>
      <c r="CV239" s="567">
        <f t="shared" si="1229"/>
        <v>0</v>
      </c>
      <c r="CW239" s="567">
        <f t="shared" si="1462"/>
        <v>0</v>
      </c>
      <c r="CX239" s="567">
        <f t="shared" ca="1" si="1339"/>
        <v>0</v>
      </c>
      <c r="CY239" s="567">
        <f t="shared" si="1230"/>
        <v>0</v>
      </c>
      <c r="CZ239" s="567">
        <f t="shared" si="1231"/>
        <v>0</v>
      </c>
      <c r="DA239" s="567">
        <f t="shared" si="1232"/>
        <v>0</v>
      </c>
      <c r="DB239" s="2">
        <f t="shared" si="1463"/>
        <v>0</v>
      </c>
      <c r="DC239" s="76"/>
      <c r="DD239" s="253"/>
      <c r="DE239" s="253"/>
      <c r="DF239" s="2">
        <f t="shared" si="1464"/>
        <v>0</v>
      </c>
      <c r="DG239" s="2"/>
      <c r="DH239" s="2"/>
      <c r="DI239" s="2"/>
      <c r="DJ239" s="2"/>
      <c r="DK239" s="2">
        <f t="shared" si="1465"/>
        <v>0</v>
      </c>
      <c r="DL239" s="2"/>
      <c r="DM239" s="2"/>
      <c r="DN239" s="2"/>
      <c r="DO239" s="2"/>
      <c r="DP239" s="2">
        <f t="shared" si="1466"/>
        <v>0</v>
      </c>
      <c r="DQ239" s="2">
        <f t="shared" si="1467"/>
        <v>0</v>
      </c>
      <c r="DR239" s="2">
        <f t="shared" si="1467"/>
        <v>0</v>
      </c>
      <c r="DS239" s="2">
        <f t="shared" si="1467"/>
        <v>0</v>
      </c>
      <c r="DT239" s="2">
        <f t="shared" si="1467"/>
        <v>0</v>
      </c>
      <c r="DU239" s="2"/>
      <c r="DV239" s="2"/>
      <c r="DW239" s="2"/>
      <c r="DX239" s="2">
        <f t="shared" ca="1" si="1468"/>
        <v>0</v>
      </c>
      <c r="DY239" s="46"/>
      <c r="DZ239" s="2">
        <f t="shared" si="1469"/>
        <v>3235.4</v>
      </c>
      <c r="EA239" s="2">
        <f t="shared" si="1470"/>
        <v>3235.4</v>
      </c>
      <c r="EB239" s="46"/>
      <c r="EC239" s="2"/>
      <c r="ED239" s="2"/>
      <c r="EE239" s="46"/>
      <c r="EF239" s="2"/>
      <c r="EG239" s="46"/>
      <c r="EH239" s="46"/>
      <c r="EI239" s="2">
        <f t="shared" si="1196"/>
        <v>3235.4</v>
      </c>
      <c r="EJ239" s="2"/>
      <c r="EK239" s="236">
        <f t="shared" si="1233"/>
        <v>3235.4</v>
      </c>
      <c r="EL239" s="499"/>
      <c r="EM239" s="499">
        <f>753.09604+1811.64903+670.65493</f>
        <v>3235.4</v>
      </c>
      <c r="EN239" s="2"/>
      <c r="EO239" s="2"/>
      <c r="EP239" s="2">
        <f t="shared" si="1234"/>
        <v>450.40600000000001</v>
      </c>
      <c r="EQ239" s="2"/>
      <c r="ER239" s="2">
        <f t="shared" si="1235"/>
        <v>450.40600000000001</v>
      </c>
      <c r="ES239" s="2"/>
      <c r="ET239" s="2">
        <f>104.83989+252.203+93.36311</f>
        <v>450.40600000000001</v>
      </c>
      <c r="EU239" s="2"/>
      <c r="EV239" s="141"/>
      <c r="EW239" s="310"/>
      <c r="EX239" s="310"/>
      <c r="EY239" s="310"/>
      <c r="EZ239" s="396"/>
      <c r="FA239" s="396"/>
      <c r="FB239" s="310"/>
      <c r="FC239" s="310"/>
      <c r="FD239" s="310"/>
      <c r="FE239" s="396"/>
      <c r="FF239" s="396"/>
      <c r="FG239" s="396"/>
      <c r="FH239" s="311"/>
      <c r="FI239" s="310"/>
      <c r="FJ239" s="296" t="e">
        <f t="shared" si="1473"/>
        <v>#DIV/0!</v>
      </c>
      <c r="FK239" s="353"/>
      <c r="FL239" s="353"/>
      <c r="FM239" s="353"/>
      <c r="FN239" s="388"/>
      <c r="FO239" s="388"/>
      <c r="FP239" s="353"/>
      <c r="FQ239" s="353"/>
      <c r="FR239" s="353"/>
      <c r="FS239" s="388"/>
      <c r="FT239" s="388"/>
      <c r="FU239" s="388"/>
      <c r="FV239" s="353"/>
      <c r="FW239" s="353">
        <f t="shared" si="1239"/>
        <v>0</v>
      </c>
      <c r="FX239" s="310"/>
      <c r="FY239" s="310"/>
      <c r="FZ239" s="310"/>
      <c r="GA239" s="396"/>
      <c r="GB239" s="396"/>
      <c r="GC239" s="310"/>
      <c r="GD239" s="310"/>
      <c r="GE239" s="310"/>
      <c r="GF239" s="396"/>
      <c r="GG239" s="396"/>
      <c r="GH239" s="396"/>
      <c r="GI239" s="311"/>
      <c r="GJ239" s="344"/>
      <c r="GK239" s="303">
        <f t="shared" si="1215"/>
        <v>1</v>
      </c>
    </row>
    <row r="240" spans="2:193" s="37" customFormat="1" ht="15.6" hidden="1" customHeight="1" x14ac:dyDescent="0.25">
      <c r="B240" s="29"/>
      <c r="C240" s="30"/>
      <c r="D240" s="30">
        <v>1</v>
      </c>
      <c r="E240" s="493">
        <v>200</v>
      </c>
      <c r="F240" s="29"/>
      <c r="G240" s="30"/>
      <c r="H240" s="30"/>
      <c r="I240" s="493"/>
      <c r="J240" s="494"/>
      <c r="K240" s="494"/>
      <c r="L240" s="53"/>
      <c r="M240" s="493">
        <v>188</v>
      </c>
      <c r="N240" s="494" t="s">
        <v>150</v>
      </c>
      <c r="O240" s="494"/>
      <c r="P240" s="494">
        <f t="shared" si="1236"/>
        <v>0</v>
      </c>
      <c r="Q240" s="494"/>
      <c r="R240" s="494"/>
      <c r="S240" s="494"/>
      <c r="T240" s="156"/>
      <c r="U240" s="493"/>
      <c r="V240" s="2">
        <f t="shared" si="1216"/>
        <v>0</v>
      </c>
      <c r="W240" s="2"/>
      <c r="X240" s="198">
        <f t="shared" si="1481"/>
        <v>0</v>
      </c>
      <c r="Y240" s="198"/>
      <c r="Z240" s="42"/>
      <c r="AA240" s="2"/>
      <c r="AB240" s="567">
        <f t="shared" si="1453"/>
        <v>0</v>
      </c>
      <c r="AC240" s="567"/>
      <c r="AD240" s="568">
        <f t="shared" si="1482"/>
        <v>0</v>
      </c>
      <c r="AE240" s="568"/>
      <c r="AF240" s="569"/>
      <c r="AG240" s="567"/>
      <c r="AH240" s="573"/>
      <c r="AI240" s="567"/>
      <c r="AJ240" s="567"/>
      <c r="AK240" s="568"/>
      <c r="AL240" s="567"/>
      <c r="AM240" s="573"/>
      <c r="AN240" s="567"/>
      <c r="AO240" s="567"/>
      <c r="AP240" s="568"/>
      <c r="AQ240" s="567"/>
      <c r="AR240" s="573"/>
      <c r="AS240" s="567"/>
      <c r="AT240" s="567"/>
      <c r="AU240" s="568"/>
      <c r="AV240" s="567"/>
      <c r="AW240" s="567"/>
      <c r="AX240" s="409"/>
      <c r="AY240" s="567">
        <f t="shared" si="1454"/>
        <v>0</v>
      </c>
      <c r="AZ240" s="567"/>
      <c r="BA240" s="568">
        <f t="shared" si="1455"/>
        <v>0</v>
      </c>
      <c r="BB240" s="568"/>
      <c r="BC240" s="569"/>
      <c r="BD240" s="567"/>
      <c r="BE240" s="567"/>
      <c r="BF240" s="567">
        <f t="shared" si="1217"/>
        <v>0</v>
      </c>
      <c r="BG240" s="567">
        <f t="shared" si="1218"/>
        <v>0</v>
      </c>
      <c r="BH240" s="567">
        <f t="shared" si="1219"/>
        <v>0</v>
      </c>
      <c r="BI240" s="567">
        <f t="shared" si="1220"/>
        <v>0</v>
      </c>
      <c r="BJ240" s="567">
        <f t="shared" si="1221"/>
        <v>0</v>
      </c>
      <c r="BK240" s="567">
        <f t="shared" si="1222"/>
        <v>0</v>
      </c>
      <c r="BL240" s="567" t="e">
        <f>#REF!-BE240</f>
        <v>#REF!</v>
      </c>
      <c r="BM240" s="567">
        <f t="shared" si="1456"/>
        <v>0</v>
      </c>
      <c r="BN240" s="567"/>
      <c r="BO240" s="568"/>
      <c r="BP240" s="567"/>
      <c r="BQ240" s="567"/>
      <c r="BR240" s="567">
        <f t="shared" si="1457"/>
        <v>0</v>
      </c>
      <c r="BS240" s="567"/>
      <c r="BT240" s="568"/>
      <c r="BU240" s="567"/>
      <c r="BV240" s="567"/>
      <c r="BW240" s="567">
        <f t="shared" si="1458"/>
        <v>0</v>
      </c>
      <c r="BX240" s="567"/>
      <c r="BY240" s="577">
        <f t="shared" si="1223"/>
        <v>0</v>
      </c>
      <c r="BZ240" s="601"/>
      <c r="CA240" s="601"/>
      <c r="CB240" s="567"/>
      <c r="CC240" s="567"/>
      <c r="CD240" s="567">
        <f t="shared" si="1459"/>
        <v>0</v>
      </c>
      <c r="CE240" s="567"/>
      <c r="CF240" s="577">
        <f t="shared" si="1224"/>
        <v>0</v>
      </c>
      <c r="CG240" s="601"/>
      <c r="CH240" s="601"/>
      <c r="CI240" s="567"/>
      <c r="CJ240" s="567"/>
      <c r="CK240" s="567">
        <f t="shared" si="1460"/>
        <v>0</v>
      </c>
      <c r="CL240" s="567"/>
      <c r="CM240" s="567">
        <f t="shared" si="1225"/>
        <v>0</v>
      </c>
      <c r="CN240" s="567"/>
      <c r="CO240" s="567"/>
      <c r="CP240" s="567"/>
      <c r="CQ240" s="567"/>
      <c r="CR240" s="573">
        <f t="shared" si="1461"/>
        <v>0</v>
      </c>
      <c r="CS240" s="567">
        <f t="shared" si="1226"/>
        <v>0</v>
      </c>
      <c r="CT240" s="567">
        <f t="shared" si="1227"/>
        <v>0</v>
      </c>
      <c r="CU240" s="567">
        <f t="shared" si="1228"/>
        <v>0</v>
      </c>
      <c r="CV240" s="567">
        <f t="shared" si="1229"/>
        <v>0</v>
      </c>
      <c r="CW240" s="567">
        <f t="shared" si="1462"/>
        <v>0</v>
      </c>
      <c r="CX240" s="567">
        <f t="shared" ca="1" si="1339"/>
        <v>0</v>
      </c>
      <c r="CY240" s="567">
        <f t="shared" si="1230"/>
        <v>0</v>
      </c>
      <c r="CZ240" s="567">
        <f t="shared" si="1231"/>
        <v>0</v>
      </c>
      <c r="DA240" s="567">
        <f t="shared" si="1232"/>
        <v>0</v>
      </c>
      <c r="DB240" s="2">
        <f t="shared" si="1463"/>
        <v>0</v>
      </c>
      <c r="DC240" s="76"/>
      <c r="DD240" s="253"/>
      <c r="DE240" s="253"/>
      <c r="DF240" s="2">
        <f t="shared" si="1464"/>
        <v>0</v>
      </c>
      <c r="DG240" s="2"/>
      <c r="DH240" s="198"/>
      <c r="DI240" s="2"/>
      <c r="DJ240" s="2"/>
      <c r="DK240" s="2">
        <f t="shared" si="1465"/>
        <v>0</v>
      </c>
      <c r="DL240" s="2"/>
      <c r="DM240" s="198"/>
      <c r="DN240" s="2"/>
      <c r="DO240" s="2"/>
      <c r="DP240" s="2">
        <f t="shared" si="1466"/>
        <v>0</v>
      </c>
      <c r="DQ240" s="2">
        <f t="shared" si="1467"/>
        <v>0</v>
      </c>
      <c r="DR240" s="2">
        <f t="shared" si="1467"/>
        <v>0</v>
      </c>
      <c r="DS240" s="2">
        <f t="shared" si="1467"/>
        <v>0</v>
      </c>
      <c r="DT240" s="2">
        <f t="shared" si="1467"/>
        <v>0</v>
      </c>
      <c r="DU240" s="2"/>
      <c r="DV240" s="2"/>
      <c r="DW240" s="2"/>
      <c r="DX240" s="2">
        <f t="shared" ca="1" si="1468"/>
        <v>0</v>
      </c>
      <c r="DY240" s="46"/>
      <c r="DZ240" s="2">
        <f t="shared" si="1469"/>
        <v>0</v>
      </c>
      <c r="EA240" s="2">
        <f t="shared" si="1470"/>
        <v>0</v>
      </c>
      <c r="EB240" s="46"/>
      <c r="EC240" s="2"/>
      <c r="ED240" s="2"/>
      <c r="EE240" s="46"/>
      <c r="EF240" s="2"/>
      <c r="EG240" s="46"/>
      <c r="EH240" s="46"/>
      <c r="EI240" s="2">
        <f t="shared" si="1196"/>
        <v>0</v>
      </c>
      <c r="EJ240" s="2"/>
      <c r="EK240" s="236">
        <f t="shared" si="1233"/>
        <v>0</v>
      </c>
      <c r="EL240" s="499"/>
      <c r="EM240" s="499"/>
      <c r="EN240" s="2"/>
      <c r="EO240" s="2"/>
      <c r="EP240" s="2">
        <f t="shared" si="1234"/>
        <v>0</v>
      </c>
      <c r="EQ240" s="2"/>
      <c r="ER240" s="2">
        <f t="shared" si="1235"/>
        <v>0</v>
      </c>
      <c r="ES240" s="2"/>
      <c r="ET240" s="2"/>
      <c r="EU240" s="2"/>
      <c r="EV240" s="141"/>
      <c r="EW240" s="310"/>
      <c r="EX240" s="310"/>
      <c r="EY240" s="310"/>
      <c r="EZ240" s="396"/>
      <c r="FA240" s="396"/>
      <c r="FB240" s="310"/>
      <c r="FC240" s="310"/>
      <c r="FD240" s="310"/>
      <c r="FE240" s="396"/>
      <c r="FF240" s="396"/>
      <c r="FG240" s="396"/>
      <c r="FH240" s="311"/>
      <c r="FI240" s="310"/>
      <c r="FJ240" s="296" t="e">
        <f t="shared" si="1473"/>
        <v>#DIV/0!</v>
      </c>
      <c r="FK240" s="353"/>
      <c r="FL240" s="353"/>
      <c r="FM240" s="353"/>
      <c r="FN240" s="388"/>
      <c r="FO240" s="388"/>
      <c r="FP240" s="353"/>
      <c r="FQ240" s="353"/>
      <c r="FR240" s="353"/>
      <c r="FS240" s="388"/>
      <c r="FT240" s="388"/>
      <c r="FU240" s="388"/>
      <c r="FV240" s="353"/>
      <c r="FW240" s="353">
        <f t="shared" si="1239"/>
        <v>0</v>
      </c>
      <c r="FX240" s="310"/>
      <c r="FY240" s="310"/>
      <c r="FZ240" s="310"/>
      <c r="GA240" s="396"/>
      <c r="GB240" s="396"/>
      <c r="GC240" s="310"/>
      <c r="GD240" s="310"/>
      <c r="GE240" s="310"/>
      <c r="GF240" s="396"/>
      <c r="GG240" s="396"/>
      <c r="GH240" s="396"/>
      <c r="GI240" s="311"/>
      <c r="GJ240" s="344"/>
      <c r="GK240" s="303" t="e">
        <f t="shared" si="1215"/>
        <v>#DIV/0!</v>
      </c>
    </row>
    <row r="241" spans="2:193" s="37" customFormat="1" ht="15.6" customHeight="1" x14ac:dyDescent="0.25">
      <c r="B241" s="29"/>
      <c r="C241" s="30">
        <v>1</v>
      </c>
      <c r="D241" s="30"/>
      <c r="E241" s="493">
        <v>201</v>
      </c>
      <c r="F241" s="29"/>
      <c r="G241" s="30">
        <v>1</v>
      </c>
      <c r="H241" s="30"/>
      <c r="I241" s="493"/>
      <c r="J241" s="494"/>
      <c r="K241" s="494"/>
      <c r="L241" s="53"/>
      <c r="M241" s="493">
        <v>173</v>
      </c>
      <c r="N241" s="494" t="s">
        <v>66</v>
      </c>
      <c r="O241" s="494" t="s">
        <v>335</v>
      </c>
      <c r="P241" s="494">
        <f t="shared" si="1236"/>
        <v>0</v>
      </c>
      <c r="Q241" s="494"/>
      <c r="R241" s="494"/>
      <c r="S241" s="494" t="s">
        <v>500</v>
      </c>
      <c r="T241" s="156">
        <v>2</v>
      </c>
      <c r="U241" s="156"/>
      <c r="V241" s="2">
        <f t="shared" si="1216"/>
        <v>17704.7</v>
      </c>
      <c r="W241" s="2"/>
      <c r="X241" s="198">
        <f t="shared" si="1481"/>
        <v>17704.7</v>
      </c>
      <c r="Y241" s="198">
        <v>3097.5</v>
      </c>
      <c r="Z241" s="42">
        <v>14607.2</v>
      </c>
      <c r="AA241" s="2"/>
      <c r="AB241" s="567">
        <f t="shared" si="1453"/>
        <v>17704.7</v>
      </c>
      <c r="AC241" s="567"/>
      <c r="AD241" s="568">
        <f t="shared" si="1482"/>
        <v>17704.7</v>
      </c>
      <c r="AE241" s="568">
        <v>3097.5</v>
      </c>
      <c r="AF241" s="569">
        <v>14607.2</v>
      </c>
      <c r="AG241" s="567"/>
      <c r="AH241" s="570"/>
      <c r="AI241" s="567"/>
      <c r="AJ241" s="567"/>
      <c r="AK241" s="568"/>
      <c r="AL241" s="567"/>
      <c r="AM241" s="570"/>
      <c r="AN241" s="567"/>
      <c r="AO241" s="567"/>
      <c r="AP241" s="568"/>
      <c r="AQ241" s="567"/>
      <c r="AR241" s="570"/>
      <c r="AS241" s="567"/>
      <c r="AT241" s="567"/>
      <c r="AU241" s="568"/>
      <c r="AV241" s="567"/>
      <c r="AW241" s="570"/>
      <c r="AX241" s="409" t="s">
        <v>720</v>
      </c>
      <c r="AY241" s="567">
        <f t="shared" si="1454"/>
        <v>17704.7</v>
      </c>
      <c r="AZ241" s="567"/>
      <c r="BA241" s="568">
        <f t="shared" si="1455"/>
        <v>17704.7</v>
      </c>
      <c r="BB241" s="568">
        <v>3097.5</v>
      </c>
      <c r="BC241" s="569">
        <v>14607.2</v>
      </c>
      <c r="BD241" s="567"/>
      <c r="BE241" s="567"/>
      <c r="BF241" s="567">
        <f t="shared" si="1217"/>
        <v>0</v>
      </c>
      <c r="BG241" s="567">
        <f t="shared" si="1218"/>
        <v>0</v>
      </c>
      <c r="BH241" s="567">
        <f t="shared" si="1219"/>
        <v>0</v>
      </c>
      <c r="BI241" s="567">
        <f t="shared" si="1220"/>
        <v>0</v>
      </c>
      <c r="BJ241" s="567">
        <f t="shared" si="1221"/>
        <v>0</v>
      </c>
      <c r="BK241" s="567">
        <f t="shared" si="1222"/>
        <v>0</v>
      </c>
      <c r="BL241" s="567" t="e">
        <f>#REF!-BE241</f>
        <v>#REF!</v>
      </c>
      <c r="BM241" s="567">
        <f t="shared" si="1456"/>
        <v>54824.257610000001</v>
      </c>
      <c r="BN241" s="567">
        <f>6123.21653+22760.382+22833.90908</f>
        <v>51717.507610000001</v>
      </c>
      <c r="BO241" s="568">
        <f>1380+1726.75</f>
        <v>3106.75</v>
      </c>
      <c r="BP241" s="567"/>
      <c r="BQ241" s="567"/>
      <c r="BR241" s="567">
        <f t="shared" si="1457"/>
        <v>0</v>
      </c>
      <c r="BS241" s="567"/>
      <c r="BT241" s="567"/>
      <c r="BU241" s="567"/>
      <c r="BV241" s="567"/>
      <c r="BW241" s="567">
        <f t="shared" si="1458"/>
        <v>17399.554620000003</v>
      </c>
      <c r="BX241" s="567"/>
      <c r="BY241" s="568">
        <f t="shared" si="1223"/>
        <v>17399.554620000003</v>
      </c>
      <c r="BZ241" s="571">
        <v>2792.3546200000001</v>
      </c>
      <c r="CA241" s="571">
        <v>14607.2</v>
      </c>
      <c r="CB241" s="567"/>
      <c r="CC241" s="567"/>
      <c r="CD241" s="567">
        <f t="shared" si="1459"/>
        <v>17399.554620000003</v>
      </c>
      <c r="CE241" s="567"/>
      <c r="CF241" s="568">
        <f t="shared" si="1224"/>
        <v>17399.554620000003</v>
      </c>
      <c r="CG241" s="571">
        <v>2792.3546200000001</v>
      </c>
      <c r="CH241" s="571">
        <v>14607.2</v>
      </c>
      <c r="CI241" s="567"/>
      <c r="CJ241" s="567"/>
      <c r="CK241" s="567">
        <f t="shared" si="1460"/>
        <v>2977.3883799999999</v>
      </c>
      <c r="CL241" s="567"/>
      <c r="CM241" s="567">
        <v>2977.3883799999999</v>
      </c>
      <c r="CN241" s="567"/>
      <c r="CO241" s="567">
        <v>2681.1039999999998</v>
      </c>
      <c r="CP241" s="567"/>
      <c r="CQ241" s="567"/>
      <c r="CR241" s="573">
        <f t="shared" si="1461"/>
        <v>20376.943000000003</v>
      </c>
      <c r="CS241" s="567">
        <f t="shared" si="1226"/>
        <v>20376.943000000003</v>
      </c>
      <c r="CT241" s="567">
        <f t="shared" si="1227"/>
        <v>0</v>
      </c>
      <c r="CU241" s="567">
        <f t="shared" si="1228"/>
        <v>20376.943000000003</v>
      </c>
      <c r="CV241" s="567">
        <f t="shared" si="1229"/>
        <v>0</v>
      </c>
      <c r="CW241" s="567">
        <f t="shared" si="1462"/>
        <v>0</v>
      </c>
      <c r="CX241" s="567">
        <f t="shared" ca="1" si="1339"/>
        <v>0</v>
      </c>
      <c r="CY241" s="567">
        <f t="shared" si="1230"/>
        <v>0</v>
      </c>
      <c r="CZ241" s="567">
        <f t="shared" si="1231"/>
        <v>0</v>
      </c>
      <c r="DA241" s="567">
        <f t="shared" si="1232"/>
        <v>0</v>
      </c>
      <c r="DB241" s="2">
        <f t="shared" si="1463"/>
        <v>0</v>
      </c>
      <c r="DC241" s="76"/>
      <c r="DD241" s="545">
        <f>BM241</f>
        <v>54824.257610000001</v>
      </c>
      <c r="DE241" s="545">
        <f>DD241</f>
        <v>54824.257610000001</v>
      </c>
      <c r="DF241" s="2">
        <f t="shared" si="1464"/>
        <v>0</v>
      </c>
      <c r="DG241" s="2"/>
      <c r="DH241" s="2"/>
      <c r="DI241" s="2"/>
      <c r="DJ241" s="2"/>
      <c r="DK241" s="2">
        <f t="shared" si="1465"/>
        <v>0</v>
      </c>
      <c r="DL241" s="2"/>
      <c r="DM241" s="2"/>
      <c r="DN241" s="2"/>
      <c r="DO241" s="2"/>
      <c r="DP241" s="2">
        <f t="shared" si="1466"/>
        <v>0</v>
      </c>
      <c r="DQ241" s="2">
        <f t="shared" si="1467"/>
        <v>0</v>
      </c>
      <c r="DR241" s="2">
        <f t="shared" si="1467"/>
        <v>0</v>
      </c>
      <c r="DS241" s="2">
        <f t="shared" si="1467"/>
        <v>0</v>
      </c>
      <c r="DT241" s="2">
        <f t="shared" si="1467"/>
        <v>0</v>
      </c>
      <c r="DU241" s="2"/>
      <c r="DV241" s="2"/>
      <c r="DW241" s="2"/>
      <c r="DX241" s="2">
        <f t="shared" ca="1" si="1468"/>
        <v>0</v>
      </c>
      <c r="DY241" s="46"/>
      <c r="DZ241" s="2">
        <f t="shared" si="1469"/>
        <v>17399.554620000003</v>
      </c>
      <c r="EA241" s="2">
        <f t="shared" si="1470"/>
        <v>17399.554620000003</v>
      </c>
      <c r="EB241" s="46"/>
      <c r="EC241" s="546">
        <f>EA241</f>
        <v>17399.554620000003</v>
      </c>
      <c r="ED241" s="546">
        <f ca="1">DX241</f>
        <v>0</v>
      </c>
      <c r="EE241" s="46"/>
      <c r="EF241" s="2">
        <f>DE241-EC241</f>
        <v>37424.702989999998</v>
      </c>
      <c r="EG241" s="46"/>
      <c r="EH241" s="46"/>
      <c r="EI241" s="2">
        <f>EJ241+EK241+EN241</f>
        <v>17399.554620000003</v>
      </c>
      <c r="EJ241" s="2"/>
      <c r="EK241" s="198">
        <f t="shared" si="1233"/>
        <v>17399.554620000003</v>
      </c>
      <c r="EL241" s="446">
        <v>2792.3546200000001</v>
      </c>
      <c r="EM241" s="446">
        <v>14607.2</v>
      </c>
      <c r="EN241" s="2"/>
      <c r="EO241" s="2"/>
      <c r="EP241" s="2">
        <f t="shared" si="1234"/>
        <v>2977.3883799999999</v>
      </c>
      <c r="EQ241" s="2"/>
      <c r="ER241" s="2">
        <v>2977.3883799999999</v>
      </c>
      <c r="ES241" s="2">
        <v>296.28438</v>
      </c>
      <c r="ET241" s="2">
        <v>2681.1039999999998</v>
      </c>
      <c r="EU241" s="2"/>
      <c r="EV241" s="141"/>
      <c r="EW241" s="310">
        <f t="shared" ref="EW241" si="1483">EX241+EY241</f>
        <v>0</v>
      </c>
      <c r="EX241" s="310">
        <f>AZ241</f>
        <v>0</v>
      </c>
      <c r="EY241" s="310"/>
      <c r="EZ241" s="396" t="e">
        <f t="shared" ref="EZ241" si="1484">EX241/EW241</f>
        <v>#DIV/0!</v>
      </c>
      <c r="FA241" s="396" t="e">
        <f t="shared" ref="FA241" si="1485">EY241/EW241</f>
        <v>#DIV/0!</v>
      </c>
      <c r="FB241" s="310">
        <f t="shared" si="1291"/>
        <v>0</v>
      </c>
      <c r="FC241" s="310">
        <f t="shared" ref="FC241" si="1486">EJ241</f>
        <v>0</v>
      </c>
      <c r="FD241" s="310">
        <f t="shared" ref="FD241" si="1487">EQ241</f>
        <v>0</v>
      </c>
      <c r="FE241" s="396" t="e">
        <f t="shared" ref="FE241" si="1488">FC241/FB241</f>
        <v>#DIV/0!</v>
      </c>
      <c r="FF241" s="396" t="e">
        <f t="shared" ref="FF241" si="1489">FD241/FB241</f>
        <v>#DIV/0!</v>
      </c>
      <c r="FG241" s="396"/>
      <c r="FH241" s="311" t="e">
        <f>FB241*EZ241</f>
        <v>#DIV/0!</v>
      </c>
      <c r="FI241" s="310" t="e">
        <f>FC241-FH241</f>
        <v>#DIV/0!</v>
      </c>
      <c r="FJ241" s="296" t="e">
        <f t="shared" si="1473"/>
        <v>#DIV/0!</v>
      </c>
      <c r="FK241" s="353">
        <f t="shared" si="1237"/>
        <v>17704.7</v>
      </c>
      <c r="FL241" s="353">
        <f>BA241</f>
        <v>17704.7</v>
      </c>
      <c r="FM241" s="353"/>
      <c r="FN241" s="388">
        <f t="shared" si="1474"/>
        <v>1</v>
      </c>
      <c r="FO241" s="388">
        <f t="shared" si="1475"/>
        <v>0</v>
      </c>
      <c r="FP241" s="353">
        <f t="shared" si="1238"/>
        <v>20376.943000000003</v>
      </c>
      <c r="FQ241" s="353">
        <f t="shared" si="1476"/>
        <v>17399.554620000003</v>
      </c>
      <c r="FR241" s="353">
        <f t="shared" si="1477"/>
        <v>2977.3883799999999</v>
      </c>
      <c r="FS241" s="388">
        <f t="shared" si="1478"/>
        <v>0.85388444282344023</v>
      </c>
      <c r="FT241" s="388">
        <f t="shared" si="1479"/>
        <v>0.14611555717655977</v>
      </c>
      <c r="FU241" s="388"/>
      <c r="FV241" s="353">
        <f t="shared" si="1480"/>
        <v>20376.943000000003</v>
      </c>
      <c r="FW241" s="353">
        <f t="shared" si="1239"/>
        <v>-2977.3883800000003</v>
      </c>
      <c r="FX241" s="310">
        <f t="shared" ref="FX241" si="1490">FY241+FZ241</f>
        <v>0</v>
      </c>
      <c r="FY241" s="310">
        <f>BD241</f>
        <v>0</v>
      </c>
      <c r="FZ241" s="310"/>
      <c r="GA241" s="396" t="e">
        <f t="shared" ref="GA241" si="1491">FY241/FX241</f>
        <v>#DIV/0!</v>
      </c>
      <c r="GB241" s="396" t="e">
        <f t="shared" ref="GB241" si="1492">FZ241/FX241</f>
        <v>#DIV/0!</v>
      </c>
      <c r="GC241" s="310">
        <f t="shared" si="1298"/>
        <v>0</v>
      </c>
      <c r="GD241" s="310">
        <f t="shared" si="1343"/>
        <v>0</v>
      </c>
      <c r="GE241" s="310">
        <f t="shared" si="1344"/>
        <v>0</v>
      </c>
      <c r="GF241" s="396" t="e">
        <f t="shared" ref="GF241" si="1493">GD241/GC241</f>
        <v>#DIV/0!</v>
      </c>
      <c r="GG241" s="396" t="e">
        <f t="shared" ref="GG241" si="1494">GE241/GC241</f>
        <v>#DIV/0!</v>
      </c>
      <c r="GH241" s="396"/>
      <c r="GI241" s="311" t="e">
        <f t="shared" ref="GI241:GI257" si="1495">GC241*GA241</f>
        <v>#DIV/0!</v>
      </c>
      <c r="GJ241" s="344" t="e">
        <f t="shared" si="1299"/>
        <v>#DIV/0!</v>
      </c>
      <c r="GK241" s="303">
        <f t="shared" si="1215"/>
        <v>0.98276472462114595</v>
      </c>
    </row>
    <row r="242" spans="2:193" s="37" customFormat="1" ht="15.6" customHeight="1" x14ac:dyDescent="0.25">
      <c r="B242" s="29"/>
      <c r="C242" s="30"/>
      <c r="D242" s="30">
        <v>1</v>
      </c>
      <c r="E242" s="493">
        <v>202</v>
      </c>
      <c r="F242" s="29"/>
      <c r="G242" s="30"/>
      <c r="H242" s="30"/>
      <c r="I242" s="493"/>
      <c r="J242" s="494"/>
      <c r="K242" s="494"/>
      <c r="L242" s="53"/>
      <c r="M242" s="493">
        <v>174</v>
      </c>
      <c r="N242" s="478" t="s">
        <v>157</v>
      </c>
      <c r="O242" s="478" t="s">
        <v>335</v>
      </c>
      <c r="P242" s="478">
        <f t="shared" si="1236"/>
        <v>0</v>
      </c>
      <c r="Q242" s="478" t="s">
        <v>701</v>
      </c>
      <c r="R242" s="478" t="s">
        <v>699</v>
      </c>
      <c r="S242" s="443" t="s">
        <v>588</v>
      </c>
      <c r="T242" s="156">
        <v>2</v>
      </c>
      <c r="U242" s="493"/>
      <c r="V242" s="2">
        <f t="shared" si="1216"/>
        <v>3744.3</v>
      </c>
      <c r="W242" s="2"/>
      <c r="X242" s="198">
        <f t="shared" si="1481"/>
        <v>3744.3</v>
      </c>
      <c r="Y242" s="198">
        <v>1179.7</v>
      </c>
      <c r="Z242" s="42">
        <v>2564.6</v>
      </c>
      <c r="AA242" s="2"/>
      <c r="AB242" s="567">
        <f t="shared" si="1453"/>
        <v>3744.3</v>
      </c>
      <c r="AC242" s="567"/>
      <c r="AD242" s="568">
        <f t="shared" si="1482"/>
        <v>3744.3</v>
      </c>
      <c r="AE242" s="568">
        <v>1179.7</v>
      </c>
      <c r="AF242" s="569">
        <v>2564.6</v>
      </c>
      <c r="AG242" s="567"/>
      <c r="AH242" s="573"/>
      <c r="AI242" s="567"/>
      <c r="AJ242" s="567"/>
      <c r="AK242" s="568"/>
      <c r="AL242" s="567"/>
      <c r="AM242" s="573"/>
      <c r="AN242" s="567"/>
      <c r="AO242" s="567"/>
      <c r="AP242" s="568"/>
      <c r="AQ242" s="567"/>
      <c r="AR242" s="573"/>
      <c r="AS242" s="567"/>
      <c r="AT242" s="567"/>
      <c r="AU242" s="568"/>
      <c r="AV242" s="567"/>
      <c r="AW242" s="567"/>
      <c r="AX242" s="409" t="s">
        <v>446</v>
      </c>
      <c r="AY242" s="567">
        <f t="shared" si="1454"/>
        <v>3744.3</v>
      </c>
      <c r="AZ242" s="567"/>
      <c r="BA242" s="568">
        <f t="shared" si="1455"/>
        <v>3744.3</v>
      </c>
      <c r="BB242" s="568">
        <v>1179.7</v>
      </c>
      <c r="BC242" s="569">
        <v>2564.6</v>
      </c>
      <c r="BD242" s="567"/>
      <c r="BE242" s="567"/>
      <c r="BF242" s="567">
        <f t="shared" si="1217"/>
        <v>0</v>
      </c>
      <c r="BG242" s="567">
        <f t="shared" si="1218"/>
        <v>0</v>
      </c>
      <c r="BH242" s="567">
        <f t="shared" si="1219"/>
        <v>0</v>
      </c>
      <c r="BI242" s="567">
        <f t="shared" si="1220"/>
        <v>0</v>
      </c>
      <c r="BJ242" s="567">
        <f t="shared" si="1221"/>
        <v>0</v>
      </c>
      <c r="BK242" s="567">
        <f t="shared" si="1222"/>
        <v>0</v>
      </c>
      <c r="BL242" s="567" t="e">
        <f>#REF!-BE242</f>
        <v>#REF!</v>
      </c>
      <c r="BM242" s="567">
        <f t="shared" si="1456"/>
        <v>1207.5</v>
      </c>
      <c r="BN242" s="567"/>
      <c r="BO242" s="568">
        <f>525+682.5</f>
        <v>1207.5</v>
      </c>
      <c r="BP242" s="567"/>
      <c r="BQ242" s="567"/>
      <c r="BR242" s="567">
        <f t="shared" si="1457"/>
        <v>0</v>
      </c>
      <c r="BS242" s="567"/>
      <c r="BT242" s="567"/>
      <c r="BU242" s="567"/>
      <c r="BV242" s="567"/>
      <c r="BW242" s="567">
        <f t="shared" si="1458"/>
        <v>3345.7613699999997</v>
      </c>
      <c r="BX242" s="567"/>
      <c r="BY242" s="568">
        <f t="shared" si="1223"/>
        <v>3345.7613699999997</v>
      </c>
      <c r="BZ242" s="571">
        <v>1020.4345499999999</v>
      </c>
      <c r="CA242" s="571">
        <f>1527.90844+797.41838</f>
        <v>2325.3268199999998</v>
      </c>
      <c r="CB242" s="567"/>
      <c r="CC242" s="567"/>
      <c r="CD242" s="567">
        <f t="shared" si="1459"/>
        <v>3345.7613699999997</v>
      </c>
      <c r="CE242" s="567"/>
      <c r="CF242" s="568">
        <f t="shared" si="1224"/>
        <v>3345.7613699999997</v>
      </c>
      <c r="CG242" s="571">
        <v>1020.4345499999999</v>
      </c>
      <c r="CH242" s="571">
        <f>1527.90844+797.41838</f>
        <v>2325.3268199999998</v>
      </c>
      <c r="CI242" s="567"/>
      <c r="CJ242" s="567"/>
      <c r="CK242" s="567">
        <f t="shared" si="1460"/>
        <v>546.52350000000001</v>
      </c>
      <c r="CL242" s="567"/>
      <c r="CM242" s="574">
        <f t="shared" si="1225"/>
        <v>546.52350000000001</v>
      </c>
      <c r="CN242" s="567">
        <v>166.72345000000001</v>
      </c>
      <c r="CO242" s="567">
        <f>249.55619+130.24386</f>
        <v>379.80005</v>
      </c>
      <c r="CP242" s="567"/>
      <c r="CQ242" s="567"/>
      <c r="CR242" s="573">
        <f t="shared" si="1461"/>
        <v>3892.2848699999995</v>
      </c>
      <c r="CS242" s="567">
        <f t="shared" si="1226"/>
        <v>3892.2848699999995</v>
      </c>
      <c r="CT242" s="567">
        <f t="shared" si="1227"/>
        <v>0</v>
      </c>
      <c r="CU242" s="567">
        <f t="shared" si="1228"/>
        <v>3892.2848699999995</v>
      </c>
      <c r="CV242" s="567">
        <f t="shared" si="1229"/>
        <v>0</v>
      </c>
      <c r="CW242" s="567">
        <f t="shared" si="1462"/>
        <v>0</v>
      </c>
      <c r="CX242" s="567">
        <f t="shared" ca="1" si="1339"/>
        <v>0</v>
      </c>
      <c r="CY242" s="567">
        <f t="shared" si="1230"/>
        <v>0</v>
      </c>
      <c r="CZ242" s="567">
        <f t="shared" si="1231"/>
        <v>0</v>
      </c>
      <c r="DA242" s="567">
        <f t="shared" si="1232"/>
        <v>0</v>
      </c>
      <c r="DB242" s="2">
        <f t="shared" si="1463"/>
        <v>0</v>
      </c>
      <c r="DC242" s="76"/>
      <c r="DD242" s="253">
        <f>BM235+BM236+BM237+BM238+BM239+BM240+BM242+BM243+BX283+BX284</f>
        <v>25645.480219999998</v>
      </c>
      <c r="DE242" s="253">
        <f>DD242-BR232</f>
        <v>25645.480219999998</v>
      </c>
      <c r="DF242" s="2">
        <f t="shared" si="1464"/>
        <v>0</v>
      </c>
      <c r="DG242" s="2"/>
      <c r="DH242" s="2"/>
      <c r="DI242" s="2"/>
      <c r="DJ242" s="2"/>
      <c r="DK242" s="2">
        <f t="shared" si="1465"/>
        <v>0</v>
      </c>
      <c r="DL242" s="2"/>
      <c r="DM242" s="2"/>
      <c r="DN242" s="2"/>
      <c r="DO242" s="2"/>
      <c r="DP242" s="2">
        <f t="shared" si="1466"/>
        <v>0</v>
      </c>
      <c r="DQ242" s="2">
        <f t="shared" si="1467"/>
        <v>0</v>
      </c>
      <c r="DR242" s="2">
        <f t="shared" si="1467"/>
        <v>0</v>
      </c>
      <c r="DS242" s="2">
        <f t="shared" si="1467"/>
        <v>0</v>
      </c>
      <c r="DT242" s="2">
        <f t="shared" si="1467"/>
        <v>0</v>
      </c>
      <c r="DU242" s="2"/>
      <c r="DV242" s="2"/>
      <c r="DW242" s="2"/>
      <c r="DX242" s="2">
        <f t="shared" ca="1" si="1468"/>
        <v>0</v>
      </c>
      <c r="DY242" s="46"/>
      <c r="DZ242" s="2">
        <f t="shared" si="1469"/>
        <v>3345.7613699999997</v>
      </c>
      <c r="EA242" s="2">
        <f t="shared" si="1470"/>
        <v>3345.7613699999997</v>
      </c>
      <c r="EB242" s="46"/>
      <c r="EC242" s="2">
        <f>EA235+EA236+EA237+EA238+EA239+EA240+EA242+EA243</f>
        <v>14801.16114</v>
      </c>
      <c r="ED242" s="2">
        <f ca="1">DX235+DX236+DX237+DX238+DX239+DX240+DX242+DX243</f>
        <v>0</v>
      </c>
      <c r="EE242" s="46"/>
      <c r="EF242" s="2">
        <f>DE242-EC242</f>
        <v>10844.319079999997</v>
      </c>
      <c r="EG242" s="46"/>
      <c r="EH242" s="46"/>
      <c r="EI242" s="2">
        <f t="shared" ref="EI242:EI260" si="1496">EJ242+EK242+EN242</f>
        <v>3345.7613699999997</v>
      </c>
      <c r="EJ242" s="2"/>
      <c r="EK242" s="198">
        <f t="shared" si="1233"/>
        <v>3345.7613699999997</v>
      </c>
      <c r="EL242" s="446">
        <v>1020.4345499999999</v>
      </c>
      <c r="EM242" s="446">
        <f>1527.90844+797.41838</f>
        <v>2325.3268199999998</v>
      </c>
      <c r="EN242" s="2"/>
      <c r="EO242" s="2"/>
      <c r="EP242" s="2">
        <f t="shared" si="1234"/>
        <v>546.52350000000001</v>
      </c>
      <c r="EQ242" s="2"/>
      <c r="ER242" s="432">
        <f t="shared" si="1235"/>
        <v>546.52350000000001</v>
      </c>
      <c r="ES242" s="2">
        <v>166.72345000000001</v>
      </c>
      <c r="ET242" s="2">
        <f>249.55619+130.24386</f>
        <v>379.80005</v>
      </c>
      <c r="EU242" s="2"/>
      <c r="EV242" s="141"/>
      <c r="EW242" s="310"/>
      <c r="EX242" s="310"/>
      <c r="EY242" s="310"/>
      <c r="EZ242" s="396"/>
      <c r="FA242" s="396"/>
      <c r="FB242" s="310"/>
      <c r="FC242" s="310"/>
      <c r="FD242" s="310"/>
      <c r="FE242" s="396"/>
      <c r="FF242" s="396"/>
      <c r="FG242" s="396"/>
      <c r="FH242" s="311"/>
      <c r="FI242" s="310"/>
      <c r="FJ242" s="296" t="e">
        <f t="shared" si="1473"/>
        <v>#DIV/0!</v>
      </c>
      <c r="FK242" s="353">
        <f t="shared" si="1237"/>
        <v>3744.3</v>
      </c>
      <c r="FL242" s="353">
        <f>BA242</f>
        <v>3744.3</v>
      </c>
      <c r="FM242" s="353"/>
      <c r="FN242" s="388">
        <f t="shared" si="1474"/>
        <v>1</v>
      </c>
      <c r="FO242" s="388">
        <f t="shared" si="1475"/>
        <v>0</v>
      </c>
      <c r="FP242" s="353">
        <f t="shared" si="1238"/>
        <v>3892.2848699999995</v>
      </c>
      <c r="FQ242" s="353">
        <f t="shared" si="1476"/>
        <v>3345.7613699999997</v>
      </c>
      <c r="FR242" s="353">
        <f t="shared" si="1477"/>
        <v>546.52350000000001</v>
      </c>
      <c r="FS242" s="388">
        <f t="shared" si="1478"/>
        <v>0.85958800081351705</v>
      </c>
      <c r="FT242" s="388">
        <f t="shared" si="1479"/>
        <v>0.14041199918648301</v>
      </c>
      <c r="FU242" s="388"/>
      <c r="FV242" s="353">
        <f t="shared" si="1480"/>
        <v>3892.2848699999995</v>
      </c>
      <c r="FW242" s="353">
        <f t="shared" si="1239"/>
        <v>-546.52349999999979</v>
      </c>
      <c r="FX242" s="310"/>
      <c r="FY242" s="310"/>
      <c r="FZ242" s="310"/>
      <c r="GA242" s="396"/>
      <c r="GB242" s="396"/>
      <c r="GC242" s="310"/>
      <c r="GD242" s="310"/>
      <c r="GE242" s="310"/>
      <c r="GF242" s="396"/>
      <c r="GG242" s="396"/>
      <c r="GH242" s="396"/>
      <c r="GI242" s="311"/>
      <c r="GJ242" s="344"/>
      <c r="GK242" s="303">
        <f t="shared" si="1215"/>
        <v>0.89356124509254053</v>
      </c>
    </row>
    <row r="243" spans="2:193" s="37" customFormat="1" ht="15.75" customHeight="1" x14ac:dyDescent="0.25">
      <c r="B243" s="29"/>
      <c r="C243" s="30"/>
      <c r="D243" s="30">
        <v>1</v>
      </c>
      <c r="E243" s="493">
        <v>203</v>
      </c>
      <c r="F243" s="29"/>
      <c r="G243" s="30"/>
      <c r="H243" s="30">
        <v>1</v>
      </c>
      <c r="I243" s="493"/>
      <c r="J243" s="494"/>
      <c r="K243" s="494"/>
      <c r="L243" s="53"/>
      <c r="M243" s="493">
        <v>175</v>
      </c>
      <c r="N243" s="478" t="s">
        <v>151</v>
      </c>
      <c r="O243" s="478"/>
      <c r="P243" s="470">
        <f t="shared" si="1236"/>
        <v>0</v>
      </c>
      <c r="Q243" s="478" t="s">
        <v>701</v>
      </c>
      <c r="R243" s="470" t="s">
        <v>699</v>
      </c>
      <c r="S243" s="448" t="s">
        <v>606</v>
      </c>
      <c r="T243" s="156">
        <v>1</v>
      </c>
      <c r="U243" s="156"/>
      <c r="V243" s="2">
        <f t="shared" si="1216"/>
        <v>2424.3000000000002</v>
      </c>
      <c r="W243" s="2"/>
      <c r="X243" s="198">
        <f t="shared" si="1481"/>
        <v>2424.3000000000002</v>
      </c>
      <c r="Y243" s="198"/>
      <c r="Z243" s="42">
        <v>2424.3000000000002</v>
      </c>
      <c r="AA243" s="2"/>
      <c r="AB243" s="567">
        <f t="shared" si="1453"/>
        <v>2424.3000000000002</v>
      </c>
      <c r="AC243" s="567"/>
      <c r="AD243" s="568">
        <f t="shared" si="1482"/>
        <v>2424.3000000000002</v>
      </c>
      <c r="AE243" s="568">
        <v>441.28863999999999</v>
      </c>
      <c r="AF243" s="569">
        <f>2424.3-441.28864</f>
        <v>1983.0113600000002</v>
      </c>
      <c r="AG243" s="567"/>
      <c r="AH243" s="573"/>
      <c r="AI243" s="567"/>
      <c r="AJ243" s="567"/>
      <c r="AK243" s="568"/>
      <c r="AL243" s="567"/>
      <c r="AM243" s="573"/>
      <c r="AN243" s="567"/>
      <c r="AO243" s="567"/>
      <c r="AP243" s="568"/>
      <c r="AQ243" s="567"/>
      <c r="AR243" s="573"/>
      <c r="AS243" s="567"/>
      <c r="AT243" s="567"/>
      <c r="AU243" s="568"/>
      <c r="AV243" s="567"/>
      <c r="AW243" s="567"/>
      <c r="AX243" s="409" t="s">
        <v>462</v>
      </c>
      <c r="AY243" s="567">
        <f t="shared" si="1454"/>
        <v>1983.01136</v>
      </c>
      <c r="AZ243" s="567"/>
      <c r="BA243" s="568">
        <f t="shared" si="1455"/>
        <v>1983.01136</v>
      </c>
      <c r="BB243" s="568"/>
      <c r="BC243" s="569">
        <v>1983.01136</v>
      </c>
      <c r="BD243" s="567"/>
      <c r="BE243" s="567"/>
      <c r="BF243" s="567">
        <f t="shared" si="1217"/>
        <v>441.28863999999999</v>
      </c>
      <c r="BG243" s="567">
        <f t="shared" si="1218"/>
        <v>0</v>
      </c>
      <c r="BH243" s="567">
        <f t="shared" si="1219"/>
        <v>441.28863999999999</v>
      </c>
      <c r="BI243" s="567">
        <f t="shared" si="1220"/>
        <v>441.28863999999999</v>
      </c>
      <c r="BJ243" s="567">
        <f t="shared" si="1221"/>
        <v>0</v>
      </c>
      <c r="BK243" s="567">
        <f t="shared" si="1222"/>
        <v>0</v>
      </c>
      <c r="BL243" s="567" t="e">
        <f>#REF!-BE243</f>
        <v>#REF!</v>
      </c>
      <c r="BM243" s="567">
        <f t="shared" si="1456"/>
        <v>816.31899999999996</v>
      </c>
      <c r="BN243" s="567"/>
      <c r="BO243" s="568">
        <v>816.31899999999996</v>
      </c>
      <c r="BP243" s="567"/>
      <c r="BQ243" s="567"/>
      <c r="BR243" s="567">
        <f t="shared" si="1457"/>
        <v>0</v>
      </c>
      <c r="BS243" s="567"/>
      <c r="BT243" s="568"/>
      <c r="BU243" s="567"/>
      <c r="BV243" s="567"/>
      <c r="BW243" s="567">
        <f t="shared" si="1458"/>
        <v>1745.0461600000001</v>
      </c>
      <c r="BX243" s="567"/>
      <c r="BY243" s="568">
        <f t="shared" si="1223"/>
        <v>1745.0461600000001</v>
      </c>
      <c r="BZ243" s="571"/>
      <c r="CA243" s="571">
        <v>1745.0461600000001</v>
      </c>
      <c r="CB243" s="567"/>
      <c r="CC243" s="567"/>
      <c r="CD243" s="567">
        <f t="shared" si="1459"/>
        <v>1745.0461600000001</v>
      </c>
      <c r="CE243" s="567"/>
      <c r="CF243" s="568">
        <f t="shared" si="1224"/>
        <v>1745.0461600000001</v>
      </c>
      <c r="CG243" s="571"/>
      <c r="CH243" s="571">
        <v>1745.0461600000001</v>
      </c>
      <c r="CI243" s="567"/>
      <c r="CJ243" s="567"/>
      <c r="CK243" s="567">
        <f t="shared" si="1460"/>
        <v>237.96083999999999</v>
      </c>
      <c r="CL243" s="567"/>
      <c r="CM243" s="567">
        <v>237.96083999999999</v>
      </c>
      <c r="CN243" s="567"/>
      <c r="CO243" s="567"/>
      <c r="CP243" s="567"/>
      <c r="CQ243" s="567"/>
      <c r="CR243" s="573">
        <f t="shared" si="1461"/>
        <v>1983.0070000000001</v>
      </c>
      <c r="CS243" s="567">
        <f t="shared" si="1226"/>
        <v>1983.0070000000001</v>
      </c>
      <c r="CT243" s="567">
        <f t="shared" si="1227"/>
        <v>0</v>
      </c>
      <c r="CU243" s="567">
        <f t="shared" si="1228"/>
        <v>1983.0070000000001</v>
      </c>
      <c r="CV243" s="567">
        <f t="shared" si="1229"/>
        <v>0</v>
      </c>
      <c r="CW243" s="567">
        <f t="shared" si="1462"/>
        <v>0</v>
      </c>
      <c r="CX243" s="567">
        <f t="shared" ca="1" si="1339"/>
        <v>0</v>
      </c>
      <c r="CY243" s="567">
        <f t="shared" si="1230"/>
        <v>0</v>
      </c>
      <c r="CZ243" s="567">
        <f t="shared" si="1231"/>
        <v>0</v>
      </c>
      <c r="DA243" s="567">
        <f t="shared" si="1232"/>
        <v>0</v>
      </c>
      <c r="DB243" s="2">
        <f t="shared" si="1463"/>
        <v>0</v>
      </c>
      <c r="DC243" s="76"/>
      <c r="DD243" s="253"/>
      <c r="DE243" s="253"/>
      <c r="DF243" s="2">
        <f t="shared" si="1464"/>
        <v>0</v>
      </c>
      <c r="DG243" s="2"/>
      <c r="DH243" s="198"/>
      <c r="DI243" s="2"/>
      <c r="DJ243" s="2"/>
      <c r="DK243" s="2">
        <f t="shared" si="1465"/>
        <v>0</v>
      </c>
      <c r="DL243" s="2"/>
      <c r="DM243" s="198"/>
      <c r="DN243" s="2"/>
      <c r="DO243" s="2"/>
      <c r="DP243" s="2">
        <f t="shared" si="1466"/>
        <v>0</v>
      </c>
      <c r="DQ243" s="2">
        <f t="shared" si="1467"/>
        <v>0</v>
      </c>
      <c r="DR243" s="2">
        <f t="shared" si="1467"/>
        <v>0</v>
      </c>
      <c r="DS243" s="2">
        <f t="shared" si="1467"/>
        <v>0</v>
      </c>
      <c r="DT243" s="2">
        <f t="shared" si="1467"/>
        <v>0</v>
      </c>
      <c r="DU243" s="2"/>
      <c r="DV243" s="2"/>
      <c r="DW243" s="2"/>
      <c r="DX243" s="2">
        <f t="shared" ca="1" si="1468"/>
        <v>0</v>
      </c>
      <c r="DY243" s="46"/>
      <c r="DZ243" s="2">
        <f t="shared" si="1469"/>
        <v>1745.0461600000001</v>
      </c>
      <c r="EA243" s="2">
        <f t="shared" si="1470"/>
        <v>1745.0461600000001</v>
      </c>
      <c r="EB243" s="46"/>
      <c r="EC243" s="2"/>
      <c r="ED243" s="2"/>
      <c r="EE243" s="46"/>
      <c r="EF243" s="2"/>
      <c r="EG243" s="46"/>
      <c r="EH243" s="46"/>
      <c r="EI243" s="2">
        <f t="shared" si="1496"/>
        <v>1745.0461600000001</v>
      </c>
      <c r="EJ243" s="2"/>
      <c r="EK243" s="198">
        <f t="shared" si="1233"/>
        <v>1745.0461600000001</v>
      </c>
      <c r="EL243" s="446"/>
      <c r="EM243" s="446">
        <v>1745.0461600000001</v>
      </c>
      <c r="EN243" s="2"/>
      <c r="EO243" s="2"/>
      <c r="EP243" s="2">
        <f t="shared" si="1234"/>
        <v>237.96083999999999</v>
      </c>
      <c r="EQ243" s="2"/>
      <c r="ER243" s="2">
        <v>237.96083999999999</v>
      </c>
      <c r="ES243" s="2"/>
      <c r="ET243" s="2">
        <v>237.96083999999999</v>
      </c>
      <c r="EU243" s="2"/>
      <c r="EV243" s="141"/>
      <c r="EW243" s="310"/>
      <c r="EX243" s="310"/>
      <c r="EY243" s="310"/>
      <c r="EZ243" s="396"/>
      <c r="FA243" s="396"/>
      <c r="FB243" s="310"/>
      <c r="FC243" s="310"/>
      <c r="FD243" s="310"/>
      <c r="FE243" s="396"/>
      <c r="FF243" s="396"/>
      <c r="FG243" s="396"/>
      <c r="FH243" s="311"/>
      <c r="FI243" s="310"/>
      <c r="FJ243" s="296" t="e">
        <f t="shared" si="1473"/>
        <v>#DIV/0!</v>
      </c>
      <c r="FK243" s="353">
        <f t="shared" si="1237"/>
        <v>1983.01136</v>
      </c>
      <c r="FL243" s="353">
        <f>BA243</f>
        <v>1983.01136</v>
      </c>
      <c r="FM243" s="353"/>
      <c r="FN243" s="388">
        <f t="shared" si="1474"/>
        <v>1</v>
      </c>
      <c r="FO243" s="388">
        <f t="shared" si="1475"/>
        <v>0</v>
      </c>
      <c r="FP243" s="353">
        <f t="shared" si="1238"/>
        <v>1983.0070000000001</v>
      </c>
      <c r="FQ243" s="353">
        <f t="shared" si="1476"/>
        <v>1745.0461600000001</v>
      </c>
      <c r="FR243" s="353">
        <f t="shared" si="1477"/>
        <v>237.96083999999999</v>
      </c>
      <c r="FS243" s="388">
        <f t="shared" si="1478"/>
        <v>0.88</v>
      </c>
      <c r="FT243" s="388">
        <f t="shared" si="1479"/>
        <v>0.12</v>
      </c>
      <c r="FU243" s="388"/>
      <c r="FV243" s="353">
        <f t="shared" si="1480"/>
        <v>1983.0070000000001</v>
      </c>
      <c r="FW243" s="353">
        <f t="shared" si="1239"/>
        <v>-237.96083999999996</v>
      </c>
      <c r="FX243" s="310"/>
      <c r="FY243" s="310"/>
      <c r="FZ243" s="310"/>
      <c r="GA243" s="396"/>
      <c r="GB243" s="396"/>
      <c r="GC243" s="310"/>
      <c r="GD243" s="310"/>
      <c r="GE243" s="310"/>
      <c r="GF243" s="396"/>
      <c r="GG243" s="396"/>
      <c r="GH243" s="396"/>
      <c r="GI243" s="311"/>
      <c r="GJ243" s="344"/>
      <c r="GK243" s="303">
        <f t="shared" si="1215"/>
        <v>0.71981444540692152</v>
      </c>
    </row>
    <row r="244" spans="2:193" s="115" customFormat="1" ht="15.75" customHeight="1" x14ac:dyDescent="0.2">
      <c r="B244" s="109"/>
      <c r="C244" s="110"/>
      <c r="D244" s="110"/>
      <c r="E244" s="111"/>
      <c r="F244" s="109"/>
      <c r="G244" s="110"/>
      <c r="H244" s="110"/>
      <c r="I244" s="492"/>
      <c r="J244" s="492"/>
      <c r="K244" s="492"/>
      <c r="L244" s="556"/>
      <c r="M244" s="111"/>
      <c r="N244" s="114" t="s">
        <v>4</v>
      </c>
      <c r="O244" s="114"/>
      <c r="P244" s="114">
        <f t="shared" si="1236"/>
        <v>0</v>
      </c>
      <c r="Q244" s="114"/>
      <c r="R244" s="114"/>
      <c r="S244" s="114"/>
      <c r="T244" s="158">
        <f t="shared" ref="T244:AH244" si="1497">SUM(T245:T259)-T246</f>
        <v>29</v>
      </c>
      <c r="U244" s="158">
        <f>U247+U248+U249+U250+U251+U252+U253+U254+U255+U256+U257+U258+U259</f>
        <v>5</v>
      </c>
      <c r="V244" s="57">
        <f t="shared" si="1216"/>
        <v>83958.722999999998</v>
      </c>
      <c r="W244" s="57">
        <f t="shared" ref="W244:AA244" si="1498">SUM(W245:W259)-W246</f>
        <v>1275</v>
      </c>
      <c r="X244" s="57">
        <f t="shared" si="1498"/>
        <v>43088.500000000007</v>
      </c>
      <c r="Y244" s="57">
        <f t="shared" si="1498"/>
        <v>13576</v>
      </c>
      <c r="Z244" s="57">
        <f t="shared" si="1498"/>
        <v>29512.5</v>
      </c>
      <c r="AA244" s="57">
        <f t="shared" si="1498"/>
        <v>39595.222999999998</v>
      </c>
      <c r="AB244" s="564">
        <f t="shared" si="1497"/>
        <v>83958.722999999998</v>
      </c>
      <c r="AC244" s="564">
        <f t="shared" si="1497"/>
        <v>1275</v>
      </c>
      <c r="AD244" s="564">
        <f t="shared" si="1497"/>
        <v>43088.500000000007</v>
      </c>
      <c r="AE244" s="564">
        <f t="shared" si="1497"/>
        <v>13576</v>
      </c>
      <c r="AF244" s="564">
        <f t="shared" si="1497"/>
        <v>29512.5</v>
      </c>
      <c r="AG244" s="564">
        <f t="shared" si="1497"/>
        <v>39595.222999999998</v>
      </c>
      <c r="AH244" s="564">
        <f t="shared" si="1497"/>
        <v>0</v>
      </c>
      <c r="AI244" s="564">
        <f t="shared" ref="AI244:AM244" si="1499">SUM(AI245:AI259)-AI246</f>
        <v>0</v>
      </c>
      <c r="AJ244" s="564">
        <f t="shared" si="1499"/>
        <v>0</v>
      </c>
      <c r="AK244" s="564">
        <f t="shared" si="1499"/>
        <v>0</v>
      </c>
      <c r="AL244" s="564">
        <f t="shared" si="1499"/>
        <v>0</v>
      </c>
      <c r="AM244" s="564">
        <f t="shared" si="1499"/>
        <v>0</v>
      </c>
      <c r="AN244" s="564">
        <f t="shared" ref="AN244:AR244" si="1500">SUM(AN245:AN259)-AN246</f>
        <v>0</v>
      </c>
      <c r="AO244" s="564">
        <f t="shared" si="1500"/>
        <v>0</v>
      </c>
      <c r="AP244" s="564">
        <f t="shared" si="1500"/>
        <v>0</v>
      </c>
      <c r="AQ244" s="564">
        <f t="shared" si="1500"/>
        <v>0</v>
      </c>
      <c r="AR244" s="564">
        <f t="shared" si="1500"/>
        <v>0</v>
      </c>
      <c r="AS244" s="566">
        <f t="shared" ref="AS244:AW244" si="1501">SUM(AS245:AS259)-AS246</f>
        <v>0</v>
      </c>
      <c r="AT244" s="564">
        <f t="shared" si="1501"/>
        <v>0</v>
      </c>
      <c r="AU244" s="564">
        <f t="shared" si="1501"/>
        <v>0</v>
      </c>
      <c r="AV244" s="564">
        <f t="shared" si="1501"/>
        <v>0</v>
      </c>
      <c r="AW244" s="564">
        <f t="shared" si="1501"/>
        <v>0</v>
      </c>
      <c r="AX244" s="565"/>
      <c r="AY244" s="564">
        <f t="shared" ref="AY244:BD244" si="1502">SUM(AY245:AY259)-AY246</f>
        <v>83751.61887000002</v>
      </c>
      <c r="AZ244" s="564">
        <f t="shared" si="1502"/>
        <v>1274.99982</v>
      </c>
      <c r="BA244" s="564">
        <f t="shared" si="1502"/>
        <v>42961.795860000006</v>
      </c>
      <c r="BB244" s="564">
        <f t="shared" ref="BB244:BC244" si="1503">SUM(BB245:BB259)-BB246</f>
        <v>13449.295860000002</v>
      </c>
      <c r="BC244" s="564">
        <f t="shared" si="1503"/>
        <v>29512.5</v>
      </c>
      <c r="BD244" s="564">
        <f t="shared" si="1502"/>
        <v>39514.823189999996</v>
      </c>
      <c r="BE244" s="564">
        <f>SUM(BE245:BE259)-BE246</f>
        <v>0</v>
      </c>
      <c r="BF244" s="564">
        <f t="shared" si="1217"/>
        <v>207.10413000000062</v>
      </c>
      <c r="BG244" s="564">
        <f t="shared" si="1218"/>
        <v>1.8000000000029104E-4</v>
      </c>
      <c r="BH244" s="564">
        <f t="shared" si="1219"/>
        <v>126.70413999999801</v>
      </c>
      <c r="BI244" s="564">
        <f t="shared" si="1220"/>
        <v>126.70413999999801</v>
      </c>
      <c r="BJ244" s="564">
        <f t="shared" si="1221"/>
        <v>0</v>
      </c>
      <c r="BK244" s="564">
        <f t="shared" si="1222"/>
        <v>80.399810000002617</v>
      </c>
      <c r="BL244" s="564" t="e">
        <f t="shared" ref="BL244:BQ244" si="1504">SUM(BL245:BL259)-BL246</f>
        <v>#REF!</v>
      </c>
      <c r="BM244" s="564">
        <f t="shared" si="1504"/>
        <v>49600.939999999988</v>
      </c>
      <c r="BN244" s="564">
        <f t="shared" si="1504"/>
        <v>27000</v>
      </c>
      <c r="BO244" s="564">
        <f t="shared" si="1504"/>
        <v>13008.800000000001</v>
      </c>
      <c r="BP244" s="564">
        <f t="shared" si="1504"/>
        <v>9592.14</v>
      </c>
      <c r="BQ244" s="564">
        <f t="shared" si="1504"/>
        <v>0</v>
      </c>
      <c r="BR244" s="564">
        <f t="shared" ref="BR244:DB244" si="1505">SUM(BR245:BR259)-BR246</f>
        <v>0</v>
      </c>
      <c r="BS244" s="564">
        <f t="shared" si="1505"/>
        <v>0</v>
      </c>
      <c r="BT244" s="564">
        <f t="shared" si="1505"/>
        <v>0</v>
      </c>
      <c r="BU244" s="564">
        <f t="shared" si="1505"/>
        <v>0</v>
      </c>
      <c r="BV244" s="564">
        <f t="shared" si="1505"/>
        <v>0</v>
      </c>
      <c r="BW244" s="564">
        <f t="shared" si="1505"/>
        <v>78963.390909999987</v>
      </c>
      <c r="BX244" s="564">
        <f t="shared" si="1505"/>
        <v>1274.99982</v>
      </c>
      <c r="BY244" s="564">
        <f t="shared" si="1223"/>
        <v>40811.80762</v>
      </c>
      <c r="BZ244" s="564">
        <f t="shared" si="1505"/>
        <v>11724.81667</v>
      </c>
      <c r="CA244" s="564">
        <f t="shared" si="1505"/>
        <v>29086.990949999999</v>
      </c>
      <c r="CB244" s="564">
        <f t="shared" si="1505"/>
        <v>36876.583469999998</v>
      </c>
      <c r="CC244" s="564">
        <f t="shared" si="1505"/>
        <v>0</v>
      </c>
      <c r="CD244" s="564">
        <f t="shared" si="1505"/>
        <v>78963.390909999987</v>
      </c>
      <c r="CE244" s="564">
        <f t="shared" ref="CE244" si="1506">SUM(CE245:CE259)-CE246</f>
        <v>1274.99982</v>
      </c>
      <c r="CF244" s="564">
        <f t="shared" si="1224"/>
        <v>40811.80762</v>
      </c>
      <c r="CG244" s="564">
        <f t="shared" ref="CG244:CH244" si="1507">SUM(CG245:CG259)-CG246</f>
        <v>11724.81667</v>
      </c>
      <c r="CH244" s="564">
        <f t="shared" si="1507"/>
        <v>29086.990949999999</v>
      </c>
      <c r="CI244" s="564">
        <f t="shared" ref="CI244" si="1508">SUM(CI245:CI259)-CI246</f>
        <v>36876.583469999998</v>
      </c>
      <c r="CJ244" s="564">
        <f t="shared" si="1505"/>
        <v>0</v>
      </c>
      <c r="CK244" s="566">
        <f t="shared" si="1505"/>
        <v>14795.797619999999</v>
      </c>
      <c r="CL244" s="564">
        <f t="shared" si="1505"/>
        <v>95.967730000000003</v>
      </c>
      <c r="CM244" s="564">
        <f>SUM(CM245:CM259)</f>
        <v>10206.18456</v>
      </c>
      <c r="CN244" s="564">
        <f t="shared" si="1505"/>
        <v>3301.5182200000004</v>
      </c>
      <c r="CO244" s="564">
        <f t="shared" si="1505"/>
        <v>873.4403299999999</v>
      </c>
      <c r="CP244" s="564">
        <f t="shared" si="1505"/>
        <v>4493.6453299999994</v>
      </c>
      <c r="CQ244" s="564">
        <f t="shared" si="1505"/>
        <v>0</v>
      </c>
      <c r="CR244" s="564">
        <f t="shared" si="1505"/>
        <v>93759.188530000014</v>
      </c>
      <c r="CS244" s="564">
        <f t="shared" si="1226"/>
        <v>93759.188529999999</v>
      </c>
      <c r="CT244" s="564">
        <f t="shared" si="1227"/>
        <v>1370.9675500000001</v>
      </c>
      <c r="CU244" s="564">
        <f t="shared" si="1228"/>
        <v>51017.992180000001</v>
      </c>
      <c r="CV244" s="564">
        <f t="shared" si="1229"/>
        <v>41370.228799999997</v>
      </c>
      <c r="CW244" s="564">
        <f t="shared" si="1505"/>
        <v>0</v>
      </c>
      <c r="CX244" s="564">
        <f t="shared" ca="1" si="1339"/>
        <v>0</v>
      </c>
      <c r="CY244" s="564">
        <f t="shared" si="1230"/>
        <v>0</v>
      </c>
      <c r="CZ244" s="564">
        <f t="shared" si="1231"/>
        <v>0</v>
      </c>
      <c r="DA244" s="564">
        <f t="shared" si="1232"/>
        <v>0</v>
      </c>
      <c r="DB244" s="57">
        <f t="shared" si="1505"/>
        <v>0</v>
      </c>
      <c r="DC244" s="225">
        <f>DD244+DF244-BR244</f>
        <v>49600.939999999988</v>
      </c>
      <c r="DD244" s="226">
        <f t="shared" ref="DD244:DX244" si="1509">SUM(DD245:DD259)-DD246</f>
        <v>49600.939999999988</v>
      </c>
      <c r="DE244" s="226">
        <f t="shared" si="1509"/>
        <v>49600.939999999988</v>
      </c>
      <c r="DF244" s="57">
        <f t="shared" si="1509"/>
        <v>0</v>
      </c>
      <c r="DG244" s="57">
        <f t="shared" si="1509"/>
        <v>0</v>
      </c>
      <c r="DH244" s="57">
        <f t="shared" si="1509"/>
        <v>0</v>
      </c>
      <c r="DI244" s="57">
        <f t="shared" si="1509"/>
        <v>0</v>
      </c>
      <c r="DJ244" s="57">
        <f t="shared" si="1509"/>
        <v>0</v>
      </c>
      <c r="DK244" s="57">
        <f t="shared" si="1509"/>
        <v>0</v>
      </c>
      <c r="DL244" s="57">
        <f t="shared" si="1509"/>
        <v>0</v>
      </c>
      <c r="DM244" s="57">
        <f t="shared" si="1509"/>
        <v>0</v>
      </c>
      <c r="DN244" s="57">
        <f t="shared" si="1509"/>
        <v>0</v>
      </c>
      <c r="DO244" s="57">
        <f t="shared" si="1509"/>
        <v>0</v>
      </c>
      <c r="DP244" s="57">
        <f t="shared" si="1509"/>
        <v>0</v>
      </c>
      <c r="DQ244" s="57">
        <f t="shared" si="1509"/>
        <v>0</v>
      </c>
      <c r="DR244" s="57">
        <f t="shared" si="1509"/>
        <v>0</v>
      </c>
      <c r="DS244" s="57">
        <f t="shared" si="1509"/>
        <v>0</v>
      </c>
      <c r="DT244" s="57">
        <f t="shared" si="1509"/>
        <v>0</v>
      </c>
      <c r="DU244" s="57">
        <f t="shared" si="1509"/>
        <v>0</v>
      </c>
      <c r="DV244" s="57">
        <f t="shared" si="1509"/>
        <v>0</v>
      </c>
      <c r="DW244" s="57">
        <f t="shared" si="1509"/>
        <v>0</v>
      </c>
      <c r="DX244" s="57">
        <f t="shared" ca="1" si="1509"/>
        <v>0</v>
      </c>
      <c r="DY244" s="124"/>
      <c r="DZ244" s="57">
        <f>SUM(DZ245:DZ259)-DZ246</f>
        <v>78963.390909999987</v>
      </c>
      <c r="EA244" s="57">
        <f>SUM(EA245:EA259)-EA246</f>
        <v>78963.390909999987</v>
      </c>
      <c r="EB244" s="124"/>
      <c r="EC244" s="57">
        <f>SUM(EC245:EC259)-EC246</f>
        <v>78963.390910000002</v>
      </c>
      <c r="ED244" s="57">
        <f ca="1">SUM(ED245:ED259)-ED246</f>
        <v>0</v>
      </c>
      <c r="EE244" s="124"/>
      <c r="EF244" s="57">
        <f>SUM(EF245:EF259)-EF246</f>
        <v>-29362.450910000014</v>
      </c>
      <c r="EG244" s="124">
        <f ca="1">DX244-EF244</f>
        <v>29362.450910000014</v>
      </c>
      <c r="EH244" s="124"/>
      <c r="EI244" s="57">
        <f t="shared" si="1496"/>
        <v>78963.390909999987</v>
      </c>
      <c r="EJ244" s="57">
        <f t="shared" ref="EJ244:EN244" si="1510">SUM(EJ245:EJ259)-EJ246</f>
        <v>1274.99982</v>
      </c>
      <c r="EK244" s="57">
        <f t="shared" si="1233"/>
        <v>40811.80762</v>
      </c>
      <c r="EL244" s="57">
        <f t="shared" ref="EL244:EM244" si="1511">SUM(EL245:EL259)-EL246</f>
        <v>11724.81667</v>
      </c>
      <c r="EM244" s="57">
        <f t="shared" si="1511"/>
        <v>29086.990949999999</v>
      </c>
      <c r="EN244" s="57">
        <f t="shared" si="1510"/>
        <v>36876.583469999998</v>
      </c>
      <c r="EO244" s="57">
        <f t="shared" ref="EO244" si="1512">SUM(EO245:EO259)-EO246</f>
        <v>0</v>
      </c>
      <c r="EP244" s="57">
        <f t="shared" si="1234"/>
        <v>14795.797619999999</v>
      </c>
      <c r="EQ244" s="57">
        <f t="shared" ref="EQ244" si="1513">SUM(EQ245:EQ259)-EQ246</f>
        <v>95.967730000000003</v>
      </c>
      <c r="ER244" s="57">
        <f>SUM(ER245:ER259)</f>
        <v>10206.18456</v>
      </c>
      <c r="ES244" s="57">
        <f t="shared" ref="ES244:EU244" si="1514">SUM(ES245:ES259)-ES246</f>
        <v>5089.3776200000002</v>
      </c>
      <c r="ET244" s="57">
        <f t="shared" si="1514"/>
        <v>5116.8069399999995</v>
      </c>
      <c r="EU244" s="57">
        <f t="shared" si="1514"/>
        <v>4493.6453299999994</v>
      </c>
      <c r="EV244" s="140">
        <f t="shared" ref="EV244" si="1515">SUM(EV245:EV259)-EV246</f>
        <v>0</v>
      </c>
      <c r="EW244" s="57">
        <f t="shared" si="1289"/>
        <v>1274.99982</v>
      </c>
      <c r="EX244" s="57">
        <f>AZ244</f>
        <v>1274.99982</v>
      </c>
      <c r="EY244" s="57">
        <f t="shared" ref="EY244" si="1516">SUM(EY245:EY259)-EY246</f>
        <v>0</v>
      </c>
      <c r="EZ244" s="390"/>
      <c r="FA244" s="390"/>
      <c r="FB244" s="57">
        <f t="shared" si="1291"/>
        <v>0</v>
      </c>
      <c r="FC244" s="57">
        <f>SUM(FC245:FC259)</f>
        <v>0</v>
      </c>
      <c r="FD244" s="57">
        <f>SUM(FD245:FD259)</f>
        <v>0</v>
      </c>
      <c r="FE244" s="390"/>
      <c r="FF244" s="390"/>
      <c r="FG244" s="390"/>
      <c r="FH244" s="304">
        <f t="shared" ref="FH244" si="1517">SUM(FH245:FH259)</f>
        <v>0</v>
      </c>
      <c r="FI244" s="57">
        <f t="shared" si="1293"/>
        <v>0</v>
      </c>
      <c r="FJ244" s="295"/>
      <c r="FK244" s="57">
        <f t="shared" si="1237"/>
        <v>42961.795860000006</v>
      </c>
      <c r="FL244" s="57">
        <f>BA244</f>
        <v>42961.795860000006</v>
      </c>
      <c r="FM244" s="57">
        <f>FM245+FM247+FM248+FM249+FM250+FM251+FM252+FM253+FM254+FM255+FM256+FM257+FM258+FM259</f>
        <v>0</v>
      </c>
      <c r="FN244" s="390"/>
      <c r="FO244" s="390"/>
      <c r="FP244" s="57">
        <f t="shared" si="1238"/>
        <v>43182.655929999994</v>
      </c>
      <c r="FQ244" s="57">
        <f>SUM(FQ245:FQ259)</f>
        <v>33956.535129999997</v>
      </c>
      <c r="FR244" s="57">
        <f>SUM(FR245:FR259)</f>
        <v>9226.1207999999988</v>
      </c>
      <c r="FS244" s="390"/>
      <c r="FT244" s="390"/>
      <c r="FU244" s="390"/>
      <c r="FV244" s="57">
        <f t="shared" ref="FV244" si="1518">SUM(FV245:FV259)</f>
        <v>43182.655930000001</v>
      </c>
      <c r="FW244" s="57">
        <f t="shared" si="1239"/>
        <v>-9226.1208000000042</v>
      </c>
      <c r="FX244" s="57">
        <f t="shared" ref="FX244" si="1519">FY244+FZ244+GA244</f>
        <v>39514.823189999996</v>
      </c>
      <c r="FY244" s="57">
        <f>BD244</f>
        <v>39514.823189999996</v>
      </c>
      <c r="FZ244" s="57">
        <f t="shared" ref="FZ244" si="1520">SUM(FZ245:FZ259)-FZ246</f>
        <v>0</v>
      </c>
      <c r="GA244" s="390"/>
      <c r="GB244" s="390"/>
      <c r="GC244" s="57">
        <f t="shared" si="1298"/>
        <v>41370.228799999997</v>
      </c>
      <c r="GD244" s="57">
        <f t="shared" si="1343"/>
        <v>36876.583469999998</v>
      </c>
      <c r="GE244" s="57">
        <f t="shared" si="1344"/>
        <v>4493.6453299999994</v>
      </c>
      <c r="GF244" s="390"/>
      <c r="GG244" s="390"/>
      <c r="GH244" s="390"/>
      <c r="GI244" s="304">
        <f t="shared" si="1495"/>
        <v>0</v>
      </c>
      <c r="GJ244" s="77">
        <f t="shared" si="1299"/>
        <v>36876.583469999998</v>
      </c>
      <c r="GK244" s="462">
        <f t="shared" si="1215"/>
        <v>0.94050252419870639</v>
      </c>
    </row>
    <row r="245" spans="2:193" s="37" customFormat="1" ht="15.75" hidden="1" customHeight="1" x14ac:dyDescent="0.25">
      <c r="B245" s="29">
        <v>1</v>
      </c>
      <c r="C245" s="30"/>
      <c r="D245" s="30"/>
      <c r="E245" s="493">
        <v>204</v>
      </c>
      <c r="F245" s="29"/>
      <c r="G245" s="30"/>
      <c r="H245" s="30"/>
      <c r="M245" s="493">
        <v>192</v>
      </c>
      <c r="N245" s="494" t="s">
        <v>245</v>
      </c>
      <c r="O245" s="127"/>
      <c r="P245" s="127">
        <f t="shared" si="1236"/>
        <v>0</v>
      </c>
      <c r="Q245" s="127"/>
      <c r="R245" s="127"/>
      <c r="S245" s="127"/>
      <c r="T245" s="127"/>
      <c r="U245" s="127"/>
      <c r="V245" s="2">
        <f t="shared" si="1216"/>
        <v>0</v>
      </c>
      <c r="W245" s="2"/>
      <c r="X245" s="198">
        <f t="shared" si="1481"/>
        <v>0</v>
      </c>
      <c r="Y245" s="198"/>
      <c r="Z245" s="42"/>
      <c r="AA245" s="2"/>
      <c r="AB245" s="567">
        <f t="shared" ref="AB245:AB259" si="1521">AC245+AD245+AG245+AH245</f>
        <v>0</v>
      </c>
      <c r="AC245" s="567"/>
      <c r="AD245" s="568">
        <f t="shared" si="1482"/>
        <v>0</v>
      </c>
      <c r="AE245" s="568"/>
      <c r="AF245" s="569"/>
      <c r="AG245" s="567"/>
      <c r="AH245" s="573"/>
      <c r="AI245" s="567"/>
      <c r="AJ245" s="567"/>
      <c r="AK245" s="568"/>
      <c r="AL245" s="567"/>
      <c r="AM245" s="573"/>
      <c r="AN245" s="567"/>
      <c r="AO245" s="567"/>
      <c r="AP245" s="568"/>
      <c r="AQ245" s="567"/>
      <c r="AR245" s="573"/>
      <c r="AS245" s="567"/>
      <c r="AT245" s="567"/>
      <c r="AU245" s="568"/>
      <c r="AV245" s="567"/>
      <c r="AW245" s="567"/>
      <c r="AX245" s="409"/>
      <c r="AY245" s="567">
        <f t="shared" ref="AY245:AY259" si="1522">AZ245+BA245+BD245+BE245</f>
        <v>0</v>
      </c>
      <c r="AZ245" s="567"/>
      <c r="BA245" s="574">
        <f t="shared" ref="BA245:BA259" si="1523">BB245+BC245</f>
        <v>0</v>
      </c>
      <c r="BB245" s="574"/>
      <c r="BC245" s="574"/>
      <c r="BD245" s="567"/>
      <c r="BE245" s="567"/>
      <c r="BF245" s="567">
        <f t="shared" si="1217"/>
        <v>0</v>
      </c>
      <c r="BG245" s="567">
        <f t="shared" si="1218"/>
        <v>0</v>
      </c>
      <c r="BH245" s="567">
        <f t="shared" si="1219"/>
        <v>0</v>
      </c>
      <c r="BI245" s="567">
        <f t="shared" si="1220"/>
        <v>0</v>
      </c>
      <c r="BJ245" s="567">
        <f t="shared" si="1221"/>
        <v>0</v>
      </c>
      <c r="BK245" s="567">
        <f t="shared" si="1222"/>
        <v>0</v>
      </c>
      <c r="BL245" s="567" t="e">
        <f>#REF!-BE245</f>
        <v>#REF!</v>
      </c>
      <c r="BM245" s="567">
        <f t="shared" ref="BM245:BM259" si="1524">BN245+BO245+BP245+BQ245</f>
        <v>0</v>
      </c>
      <c r="BN245" s="567"/>
      <c r="BO245" s="567"/>
      <c r="BP245" s="567"/>
      <c r="BQ245" s="567"/>
      <c r="BR245" s="567">
        <f t="shared" ref="BR245:BR259" si="1525">BS245+BT245+BU245+BV245</f>
        <v>0</v>
      </c>
      <c r="BS245" s="567"/>
      <c r="BT245" s="567"/>
      <c r="BU245" s="567"/>
      <c r="BV245" s="567"/>
      <c r="BW245" s="567">
        <f t="shared" ref="BW245:BW259" si="1526">BX245+BY245+CB245+CC245</f>
        <v>0</v>
      </c>
      <c r="BX245" s="567"/>
      <c r="BY245" s="567">
        <f t="shared" si="1223"/>
        <v>0</v>
      </c>
      <c r="BZ245" s="567"/>
      <c r="CA245" s="567"/>
      <c r="CB245" s="567"/>
      <c r="CC245" s="606"/>
      <c r="CD245" s="567">
        <f t="shared" ref="CD245:CD259" si="1527">CE245+CF245+CI245+CJ245</f>
        <v>0</v>
      </c>
      <c r="CE245" s="567"/>
      <c r="CF245" s="567">
        <f t="shared" si="1224"/>
        <v>0</v>
      </c>
      <c r="CG245" s="567"/>
      <c r="CH245" s="567"/>
      <c r="CI245" s="567"/>
      <c r="CJ245" s="567"/>
      <c r="CK245" s="567">
        <f t="shared" ref="CK245:CK259" si="1528">CL245+CM245+CP245+CQ245</f>
        <v>0</v>
      </c>
      <c r="CL245" s="567"/>
      <c r="CM245" s="567">
        <f t="shared" si="1225"/>
        <v>0</v>
      </c>
      <c r="CN245" s="567"/>
      <c r="CO245" s="567"/>
      <c r="CP245" s="567"/>
      <c r="CQ245" s="567"/>
      <c r="CR245" s="573">
        <f t="shared" ref="CR245:CR259" si="1529">CS245</f>
        <v>0</v>
      </c>
      <c r="CS245" s="567">
        <f t="shared" si="1226"/>
        <v>0</v>
      </c>
      <c r="CT245" s="567">
        <f t="shared" si="1227"/>
        <v>0</v>
      </c>
      <c r="CU245" s="567">
        <f t="shared" si="1228"/>
        <v>0</v>
      </c>
      <c r="CV245" s="567">
        <f t="shared" si="1229"/>
        <v>0</v>
      </c>
      <c r="CW245" s="567">
        <f t="shared" ref="CW245:CW259" si="1530">CJ245+CQ245</f>
        <v>0</v>
      </c>
      <c r="CX245" s="567">
        <f t="shared" ca="1" si="1339"/>
        <v>0</v>
      </c>
      <c r="CY245" s="567">
        <f t="shared" si="1230"/>
        <v>0</v>
      </c>
      <c r="CZ245" s="567">
        <f t="shared" si="1231"/>
        <v>0</v>
      </c>
      <c r="DA245" s="567">
        <f t="shared" si="1232"/>
        <v>0</v>
      </c>
      <c r="DB245" s="2">
        <f t="shared" ref="DB245:DB259" si="1531">CC245-CJ245</f>
        <v>0</v>
      </c>
      <c r="DC245" s="76"/>
      <c r="DD245" s="253"/>
      <c r="DE245" s="253"/>
      <c r="DF245" s="2">
        <f t="shared" ref="DF245:DF259" si="1532">DG245+DH245+DI245+DJ245</f>
        <v>0</v>
      </c>
      <c r="DG245" s="2"/>
      <c r="DH245" s="2"/>
      <c r="DI245" s="2"/>
      <c r="DJ245" s="2"/>
      <c r="DK245" s="2">
        <f t="shared" ref="DK245:DK259" si="1533">DL245+DM245+DN245+DO245</f>
        <v>0</v>
      </c>
      <c r="DL245" s="2"/>
      <c r="DM245" s="2"/>
      <c r="DN245" s="2"/>
      <c r="DO245" s="2"/>
      <c r="DP245" s="2">
        <f t="shared" ref="DP245:DP259" si="1534">DQ245+DR245+DS245+DT245</f>
        <v>0</v>
      </c>
      <c r="DQ245" s="2"/>
      <c r="DR245" s="2"/>
      <c r="DS245" s="2"/>
      <c r="DT245" s="2"/>
      <c r="DU245" s="2"/>
      <c r="DV245" s="2"/>
      <c r="DW245" s="2"/>
      <c r="DX245" s="2">
        <f t="shared" ref="DX245:DX259" ca="1" si="1535">CX245+DP245+DW245</f>
        <v>0</v>
      </c>
      <c r="DY245" s="46"/>
      <c r="DZ245" s="2">
        <f t="shared" ref="DZ245:DZ259" si="1536">BW245+DF245+DU245</f>
        <v>0</v>
      </c>
      <c r="EA245" s="2">
        <f t="shared" ref="EA245:EA259" si="1537">CD245+DK245+DV245</f>
        <v>0</v>
      </c>
      <c r="EB245" s="46"/>
      <c r="EC245" s="2">
        <f t="shared" ref="EC245:EC246" si="1538">EA245</f>
        <v>0</v>
      </c>
      <c r="ED245" s="2">
        <f t="shared" ref="ED245:ED246" ca="1" si="1539">DX245</f>
        <v>0</v>
      </c>
      <c r="EE245" s="46"/>
      <c r="EF245" s="2">
        <f>DE245-EC245</f>
        <v>0</v>
      </c>
      <c r="EG245" s="46"/>
      <c r="EH245" s="46"/>
      <c r="EI245" s="2">
        <f t="shared" si="1496"/>
        <v>0</v>
      </c>
      <c r="EJ245" s="2"/>
      <c r="EK245" s="2">
        <f t="shared" si="1233"/>
        <v>0</v>
      </c>
      <c r="EL245" s="2"/>
      <c r="EM245" s="2"/>
      <c r="EN245" s="2"/>
      <c r="EO245" s="2"/>
      <c r="EP245" s="2">
        <f t="shared" si="1234"/>
        <v>0</v>
      </c>
      <c r="EQ245" s="2"/>
      <c r="ER245" s="2">
        <f t="shared" si="1235"/>
        <v>0</v>
      </c>
      <c r="ES245" s="2"/>
      <c r="ET245" s="2"/>
      <c r="EU245" s="2"/>
      <c r="EV245" s="141"/>
      <c r="EW245" s="310"/>
      <c r="EX245" s="310"/>
      <c r="EY245" s="310"/>
      <c r="EZ245" s="396"/>
      <c r="FA245" s="396"/>
      <c r="FB245" s="310"/>
      <c r="FC245" s="310"/>
      <c r="FD245" s="310"/>
      <c r="FE245" s="396"/>
      <c r="FF245" s="396"/>
      <c r="FG245" s="396"/>
      <c r="FH245" s="311"/>
      <c r="FI245" s="310"/>
      <c r="FJ245" s="296" t="e">
        <f t="shared" ref="FJ245:FJ259" si="1540">FH245/FE245</f>
        <v>#DIV/0!</v>
      </c>
      <c r="FK245" s="353"/>
      <c r="FL245" s="353"/>
      <c r="FM245" s="353"/>
      <c r="FN245" s="388"/>
      <c r="FO245" s="388"/>
      <c r="FP245" s="353"/>
      <c r="FQ245" s="353"/>
      <c r="FR245" s="353"/>
      <c r="FS245" s="388"/>
      <c r="FT245" s="388"/>
      <c r="FU245" s="388"/>
      <c r="FV245" s="353"/>
      <c r="FW245" s="353">
        <f t="shared" si="1239"/>
        <v>0</v>
      </c>
      <c r="FX245" s="310"/>
      <c r="FY245" s="310"/>
      <c r="FZ245" s="310"/>
      <c r="GA245" s="396"/>
      <c r="GB245" s="396"/>
      <c r="GC245" s="310"/>
      <c r="GD245" s="310"/>
      <c r="GE245" s="310"/>
      <c r="GF245" s="396"/>
      <c r="GG245" s="396"/>
      <c r="GH245" s="396"/>
      <c r="GI245" s="311"/>
      <c r="GJ245" s="344"/>
      <c r="GK245" s="303" t="e">
        <f t="shared" si="1215"/>
        <v>#DIV/0!</v>
      </c>
    </row>
    <row r="246" spans="2:193" s="37" customFormat="1" ht="15.6" hidden="1" customHeight="1" x14ac:dyDescent="0.25">
      <c r="B246" s="29"/>
      <c r="C246" s="30"/>
      <c r="D246" s="30"/>
      <c r="E246" s="493"/>
      <c r="F246" s="29"/>
      <c r="G246" s="30"/>
      <c r="H246" s="30"/>
      <c r="I246" s="491"/>
      <c r="J246" s="491"/>
      <c r="K246" s="491"/>
      <c r="L246" s="544"/>
      <c r="M246" s="493"/>
      <c r="N246" s="18" t="s">
        <v>246</v>
      </c>
      <c r="O246" s="128"/>
      <c r="P246" s="128">
        <f t="shared" si="1236"/>
        <v>0</v>
      </c>
      <c r="Q246" s="128"/>
      <c r="R246" s="128"/>
      <c r="S246" s="128"/>
      <c r="T246" s="128"/>
      <c r="U246" s="128"/>
      <c r="V246" s="2">
        <f t="shared" si="1216"/>
        <v>0</v>
      </c>
      <c r="W246" s="2"/>
      <c r="X246" s="198">
        <f t="shared" si="1481"/>
        <v>0</v>
      </c>
      <c r="Y246" s="198"/>
      <c r="Z246" s="42"/>
      <c r="AA246" s="2"/>
      <c r="AB246" s="567">
        <f t="shared" si="1521"/>
        <v>0</v>
      </c>
      <c r="AC246" s="567"/>
      <c r="AD246" s="568">
        <f t="shared" si="1482"/>
        <v>0</v>
      </c>
      <c r="AE246" s="568"/>
      <c r="AF246" s="569"/>
      <c r="AG246" s="567"/>
      <c r="AH246" s="573"/>
      <c r="AI246" s="567"/>
      <c r="AJ246" s="567"/>
      <c r="AK246" s="568"/>
      <c r="AL246" s="567"/>
      <c r="AM246" s="573"/>
      <c r="AN246" s="567"/>
      <c r="AO246" s="567"/>
      <c r="AP246" s="568"/>
      <c r="AQ246" s="567"/>
      <c r="AR246" s="573"/>
      <c r="AS246" s="567"/>
      <c r="AT246" s="567"/>
      <c r="AU246" s="568"/>
      <c r="AV246" s="567"/>
      <c r="AW246" s="567"/>
      <c r="AX246" s="409"/>
      <c r="AY246" s="567">
        <f t="shared" si="1522"/>
        <v>0</v>
      </c>
      <c r="AZ246" s="567"/>
      <c r="BA246" s="567">
        <f t="shared" si="1523"/>
        <v>0</v>
      </c>
      <c r="BB246" s="574"/>
      <c r="BC246" s="574"/>
      <c r="BD246" s="567"/>
      <c r="BE246" s="567"/>
      <c r="BF246" s="567">
        <f t="shared" si="1217"/>
        <v>0</v>
      </c>
      <c r="BG246" s="567">
        <f t="shared" si="1218"/>
        <v>0</v>
      </c>
      <c r="BH246" s="567">
        <f t="shared" si="1219"/>
        <v>0</v>
      </c>
      <c r="BI246" s="567">
        <f t="shared" si="1220"/>
        <v>0</v>
      </c>
      <c r="BJ246" s="567">
        <f t="shared" si="1221"/>
        <v>0</v>
      </c>
      <c r="BK246" s="567">
        <f t="shared" si="1222"/>
        <v>0</v>
      </c>
      <c r="BL246" s="567" t="e">
        <f>#REF!-BE246</f>
        <v>#REF!</v>
      </c>
      <c r="BM246" s="567">
        <f t="shared" si="1524"/>
        <v>0</v>
      </c>
      <c r="BN246" s="567"/>
      <c r="BO246" s="567"/>
      <c r="BP246" s="567"/>
      <c r="BQ246" s="567"/>
      <c r="BR246" s="567">
        <f t="shared" si="1525"/>
        <v>0</v>
      </c>
      <c r="BS246" s="567"/>
      <c r="BT246" s="567"/>
      <c r="BU246" s="567"/>
      <c r="BV246" s="567"/>
      <c r="BW246" s="567">
        <f t="shared" si="1526"/>
        <v>0</v>
      </c>
      <c r="BX246" s="567"/>
      <c r="BY246" s="567">
        <f t="shared" si="1223"/>
        <v>0</v>
      </c>
      <c r="BZ246" s="567"/>
      <c r="CA246" s="567"/>
      <c r="CB246" s="567"/>
      <c r="CC246" s="606"/>
      <c r="CD246" s="567">
        <f t="shared" si="1527"/>
        <v>0</v>
      </c>
      <c r="CE246" s="567"/>
      <c r="CF246" s="567">
        <f t="shared" si="1224"/>
        <v>0</v>
      </c>
      <c r="CG246" s="567"/>
      <c r="CH246" s="567"/>
      <c r="CI246" s="567"/>
      <c r="CJ246" s="567"/>
      <c r="CK246" s="567">
        <f t="shared" si="1528"/>
        <v>0</v>
      </c>
      <c r="CL246" s="567"/>
      <c r="CM246" s="567">
        <f t="shared" si="1225"/>
        <v>0</v>
      </c>
      <c r="CN246" s="567"/>
      <c r="CO246" s="567"/>
      <c r="CP246" s="567"/>
      <c r="CQ246" s="567"/>
      <c r="CR246" s="573">
        <f t="shared" si="1529"/>
        <v>0</v>
      </c>
      <c r="CS246" s="567">
        <f t="shared" si="1226"/>
        <v>0</v>
      </c>
      <c r="CT246" s="567">
        <f t="shared" si="1227"/>
        <v>0</v>
      </c>
      <c r="CU246" s="567">
        <f t="shared" si="1228"/>
        <v>0</v>
      </c>
      <c r="CV246" s="567">
        <f t="shared" si="1229"/>
        <v>0</v>
      </c>
      <c r="CW246" s="567">
        <f t="shared" si="1530"/>
        <v>0</v>
      </c>
      <c r="CX246" s="567">
        <f t="shared" ca="1" si="1339"/>
        <v>0</v>
      </c>
      <c r="CY246" s="567">
        <f t="shared" si="1230"/>
        <v>0</v>
      </c>
      <c r="CZ246" s="567">
        <f t="shared" si="1231"/>
        <v>0</v>
      </c>
      <c r="DA246" s="567">
        <f t="shared" si="1232"/>
        <v>0</v>
      </c>
      <c r="DB246" s="2">
        <f t="shared" si="1531"/>
        <v>0</v>
      </c>
      <c r="DC246" s="76"/>
      <c r="DD246" s="253"/>
      <c r="DE246" s="253"/>
      <c r="DF246" s="2">
        <f t="shared" si="1532"/>
        <v>0</v>
      </c>
      <c r="DG246" s="2"/>
      <c r="DH246" s="2"/>
      <c r="DI246" s="2"/>
      <c r="DJ246" s="2"/>
      <c r="DK246" s="2">
        <f t="shared" si="1533"/>
        <v>0</v>
      </c>
      <c r="DL246" s="2"/>
      <c r="DM246" s="2"/>
      <c r="DN246" s="2"/>
      <c r="DO246" s="2"/>
      <c r="DP246" s="2">
        <f t="shared" si="1534"/>
        <v>0</v>
      </c>
      <c r="DQ246" s="2"/>
      <c r="DR246" s="2"/>
      <c r="DS246" s="2"/>
      <c r="DT246" s="2"/>
      <c r="DU246" s="2"/>
      <c r="DV246" s="2"/>
      <c r="DW246" s="2"/>
      <c r="DX246" s="2">
        <f t="shared" ca="1" si="1535"/>
        <v>0</v>
      </c>
      <c r="DY246" s="46"/>
      <c r="DZ246" s="2">
        <f t="shared" si="1536"/>
        <v>0</v>
      </c>
      <c r="EA246" s="2">
        <f t="shared" si="1537"/>
        <v>0</v>
      </c>
      <c r="EB246" s="46"/>
      <c r="EC246" s="2">
        <f t="shared" si="1538"/>
        <v>0</v>
      </c>
      <c r="ED246" s="2">
        <f t="shared" ca="1" si="1539"/>
        <v>0</v>
      </c>
      <c r="EE246" s="46"/>
      <c r="EF246" s="2"/>
      <c r="EG246" s="46"/>
      <c r="EH246" s="46"/>
      <c r="EI246" s="2">
        <f t="shared" si="1496"/>
        <v>0</v>
      </c>
      <c r="EJ246" s="2"/>
      <c r="EK246" s="2">
        <f t="shared" si="1233"/>
        <v>0</v>
      </c>
      <c r="EL246" s="2"/>
      <c r="EM246" s="2"/>
      <c r="EN246" s="2"/>
      <c r="EO246" s="2"/>
      <c r="EP246" s="2">
        <f t="shared" si="1234"/>
        <v>0</v>
      </c>
      <c r="EQ246" s="2"/>
      <c r="ER246" s="2">
        <f t="shared" si="1235"/>
        <v>0</v>
      </c>
      <c r="ES246" s="2"/>
      <c r="ET246" s="2"/>
      <c r="EU246" s="2"/>
      <c r="EV246" s="141"/>
      <c r="EW246" s="310"/>
      <c r="EX246" s="310"/>
      <c r="EY246" s="310"/>
      <c r="EZ246" s="396"/>
      <c r="FA246" s="396"/>
      <c r="FB246" s="310"/>
      <c r="FC246" s="310"/>
      <c r="FD246" s="310"/>
      <c r="FE246" s="396"/>
      <c r="FF246" s="396"/>
      <c r="FG246" s="396"/>
      <c r="FH246" s="311"/>
      <c r="FI246" s="310"/>
      <c r="FJ246" s="296" t="e">
        <f t="shared" si="1540"/>
        <v>#DIV/0!</v>
      </c>
      <c r="FK246" s="353"/>
      <c r="FL246" s="353"/>
      <c r="FM246" s="353"/>
      <c r="FN246" s="388"/>
      <c r="FO246" s="388"/>
      <c r="FP246" s="353"/>
      <c r="FQ246" s="353"/>
      <c r="FR246" s="353"/>
      <c r="FS246" s="388"/>
      <c r="FT246" s="388"/>
      <c r="FU246" s="388"/>
      <c r="FV246" s="353"/>
      <c r="FW246" s="353">
        <f t="shared" si="1239"/>
        <v>0</v>
      </c>
      <c r="FX246" s="310"/>
      <c r="FY246" s="310"/>
      <c r="FZ246" s="310"/>
      <c r="GA246" s="396"/>
      <c r="GB246" s="396"/>
      <c r="GC246" s="310"/>
      <c r="GD246" s="310"/>
      <c r="GE246" s="310"/>
      <c r="GF246" s="396"/>
      <c r="GG246" s="396"/>
      <c r="GH246" s="396"/>
      <c r="GI246" s="311"/>
      <c r="GJ246" s="344"/>
      <c r="GK246" s="303" t="e">
        <f t="shared" si="1215"/>
        <v>#DIV/0!</v>
      </c>
    </row>
    <row r="247" spans="2:193" s="37" customFormat="1" ht="15.75" customHeight="1" x14ac:dyDescent="0.25">
      <c r="B247" s="29"/>
      <c r="C247" s="30">
        <v>1</v>
      </c>
      <c r="D247" s="30"/>
      <c r="E247" s="493">
        <v>205</v>
      </c>
      <c r="F247" s="29"/>
      <c r="G247" s="30">
        <v>1</v>
      </c>
      <c r="H247" s="30"/>
      <c r="I247" s="493"/>
      <c r="J247" s="494"/>
      <c r="K247" s="494"/>
      <c r="L247" s="53"/>
      <c r="M247" s="493">
        <v>176</v>
      </c>
      <c r="N247" s="494" t="s">
        <v>68</v>
      </c>
      <c r="O247" s="494" t="s">
        <v>335</v>
      </c>
      <c r="P247" s="494">
        <f t="shared" si="1236"/>
        <v>0</v>
      </c>
      <c r="Q247" s="494"/>
      <c r="R247" s="494"/>
      <c r="S247" s="494" t="s">
        <v>641</v>
      </c>
      <c r="T247" s="156">
        <v>2</v>
      </c>
      <c r="U247" s="493"/>
      <c r="V247" s="2">
        <f t="shared" si="1216"/>
        <v>2611.3999999999996</v>
      </c>
      <c r="W247" s="2"/>
      <c r="X247" s="198">
        <f t="shared" si="1481"/>
        <v>2611.3999999999996</v>
      </c>
      <c r="Y247" s="198">
        <v>822.8</v>
      </c>
      <c r="Z247" s="42">
        <v>1788.6</v>
      </c>
      <c r="AA247" s="2"/>
      <c r="AB247" s="567">
        <f t="shared" si="1521"/>
        <v>2611.3999999999996</v>
      </c>
      <c r="AC247" s="567"/>
      <c r="AD247" s="568">
        <f t="shared" si="1482"/>
        <v>2611.3999999999996</v>
      </c>
      <c r="AE247" s="568">
        <v>822.8</v>
      </c>
      <c r="AF247" s="569">
        <v>1788.6</v>
      </c>
      <c r="AG247" s="567"/>
      <c r="AH247" s="570"/>
      <c r="AI247" s="567"/>
      <c r="AJ247" s="567"/>
      <c r="AK247" s="568"/>
      <c r="AL247" s="567"/>
      <c r="AM247" s="570"/>
      <c r="AN247" s="567"/>
      <c r="AO247" s="567"/>
      <c r="AP247" s="568"/>
      <c r="AQ247" s="567"/>
      <c r="AR247" s="570"/>
      <c r="AS247" s="567"/>
      <c r="AT247" s="567"/>
      <c r="AU247" s="568"/>
      <c r="AV247" s="567"/>
      <c r="AW247" s="570"/>
      <c r="AX247" s="409" t="s">
        <v>485</v>
      </c>
      <c r="AY247" s="567">
        <f t="shared" si="1522"/>
        <v>2611.3999999999996</v>
      </c>
      <c r="AZ247" s="567"/>
      <c r="BA247" s="568">
        <f t="shared" si="1523"/>
        <v>2611.3999999999996</v>
      </c>
      <c r="BB247" s="568">
        <v>822.8</v>
      </c>
      <c r="BC247" s="569">
        <v>1788.6</v>
      </c>
      <c r="BD247" s="567"/>
      <c r="BE247" s="567"/>
      <c r="BF247" s="567">
        <f t="shared" si="1217"/>
        <v>0</v>
      </c>
      <c r="BG247" s="567">
        <f t="shared" si="1218"/>
        <v>0</v>
      </c>
      <c r="BH247" s="567">
        <f t="shared" si="1219"/>
        <v>0</v>
      </c>
      <c r="BI247" s="567">
        <f t="shared" si="1220"/>
        <v>0</v>
      </c>
      <c r="BJ247" s="567">
        <f t="shared" si="1221"/>
        <v>0</v>
      </c>
      <c r="BK247" s="567">
        <f t="shared" si="1222"/>
        <v>0</v>
      </c>
      <c r="BL247" s="567" t="e">
        <f>#REF!-BE247</f>
        <v>#REF!</v>
      </c>
      <c r="BM247" s="567">
        <f>BN247+BO247+BP247+BQ247</f>
        <v>10505.24</v>
      </c>
      <c r="BN247" s="567"/>
      <c r="BO247" s="568">
        <f>397+516.1</f>
        <v>913.1</v>
      </c>
      <c r="BP247" s="567">
        <v>9592.14</v>
      </c>
      <c r="BQ247" s="567"/>
      <c r="BR247" s="567">
        <f t="shared" si="1525"/>
        <v>0</v>
      </c>
      <c r="BS247" s="567"/>
      <c r="BT247" s="567"/>
      <c r="BU247" s="567"/>
      <c r="BV247" s="567"/>
      <c r="BW247" s="567">
        <f t="shared" si="1526"/>
        <v>2520.0010000000002</v>
      </c>
      <c r="BX247" s="567"/>
      <c r="BY247" s="568">
        <f t="shared" si="1223"/>
        <v>2520.0010000000002</v>
      </c>
      <c r="BZ247" s="571">
        <v>794.00199999999995</v>
      </c>
      <c r="CA247" s="571">
        <v>1725.999</v>
      </c>
      <c r="CB247" s="567"/>
      <c r="CC247" s="567"/>
      <c r="CD247" s="567">
        <f t="shared" si="1527"/>
        <v>2520.0010000000002</v>
      </c>
      <c r="CE247" s="567"/>
      <c r="CF247" s="568">
        <f t="shared" si="1224"/>
        <v>2520.0010000000002</v>
      </c>
      <c r="CG247" s="571">
        <v>794.00199999999995</v>
      </c>
      <c r="CH247" s="571">
        <v>1725.999</v>
      </c>
      <c r="CI247" s="567"/>
      <c r="CJ247" s="567"/>
      <c r="CK247" s="567">
        <f t="shared" si="1528"/>
        <v>443.93860000000001</v>
      </c>
      <c r="CL247" s="567"/>
      <c r="CM247" s="567">
        <v>443.93860000000001</v>
      </c>
      <c r="CN247" s="567"/>
      <c r="CO247" s="567"/>
      <c r="CP247" s="567"/>
      <c r="CQ247" s="567"/>
      <c r="CR247" s="573">
        <f t="shared" si="1529"/>
        <v>2963.9396000000002</v>
      </c>
      <c r="CS247" s="567">
        <f t="shared" si="1226"/>
        <v>2963.9396000000002</v>
      </c>
      <c r="CT247" s="567">
        <f t="shared" si="1227"/>
        <v>0</v>
      </c>
      <c r="CU247" s="567">
        <f t="shared" si="1228"/>
        <v>2963.9396000000002</v>
      </c>
      <c r="CV247" s="567">
        <f t="shared" si="1229"/>
        <v>0</v>
      </c>
      <c r="CW247" s="567">
        <f t="shared" si="1530"/>
        <v>0</v>
      </c>
      <c r="CX247" s="567">
        <f t="shared" ca="1" si="1339"/>
        <v>0</v>
      </c>
      <c r="CY247" s="567">
        <f t="shared" si="1230"/>
        <v>0</v>
      </c>
      <c r="CZ247" s="567">
        <f t="shared" si="1231"/>
        <v>0</v>
      </c>
      <c r="DA247" s="567">
        <f t="shared" si="1232"/>
        <v>0</v>
      </c>
      <c r="DB247" s="2">
        <f t="shared" si="1531"/>
        <v>0</v>
      </c>
      <c r="DC247" s="76"/>
      <c r="DD247" s="545">
        <f>BM247+BM249+BM250+BM252+BM254+BM256+BM258</f>
        <v>46330.339999999989</v>
      </c>
      <c r="DE247" s="545">
        <f>DD247+DF254-BR244</f>
        <v>46330.339999999989</v>
      </c>
      <c r="DF247" s="2">
        <f t="shared" si="1532"/>
        <v>0</v>
      </c>
      <c r="DG247" s="2"/>
      <c r="DH247" s="2"/>
      <c r="DI247" s="2"/>
      <c r="DJ247" s="2"/>
      <c r="DK247" s="2">
        <f t="shared" si="1533"/>
        <v>0</v>
      </c>
      <c r="DL247" s="2"/>
      <c r="DM247" s="2"/>
      <c r="DN247" s="2"/>
      <c r="DO247" s="2"/>
      <c r="DP247" s="2">
        <f t="shared" si="1534"/>
        <v>0</v>
      </c>
      <c r="DQ247" s="2">
        <f t="shared" ref="DQ247:DT259" si="1541">DG247-DL247</f>
        <v>0</v>
      </c>
      <c r="DR247" s="2">
        <f t="shared" si="1541"/>
        <v>0</v>
      </c>
      <c r="DS247" s="2">
        <f t="shared" si="1541"/>
        <v>0</v>
      </c>
      <c r="DT247" s="2">
        <f t="shared" si="1541"/>
        <v>0</v>
      </c>
      <c r="DU247" s="2"/>
      <c r="DV247" s="2"/>
      <c r="DW247" s="2"/>
      <c r="DX247" s="2">
        <f t="shared" ca="1" si="1535"/>
        <v>0</v>
      </c>
      <c r="DY247" s="46"/>
      <c r="DZ247" s="2">
        <f t="shared" si="1536"/>
        <v>2520.0010000000002</v>
      </c>
      <c r="EA247" s="2">
        <f t="shared" si="1537"/>
        <v>2520.0010000000002</v>
      </c>
      <c r="EB247" s="46"/>
      <c r="EC247" s="546">
        <f>EA247+EA249+EA250+EA252+EA254+EA256+EA258</f>
        <v>64568.566910000001</v>
      </c>
      <c r="ED247" s="546">
        <f ca="1">DX247+DX249+DX250+DX252+DX254+DX256+DX258</f>
        <v>0</v>
      </c>
      <c r="EE247" s="46"/>
      <c r="EF247" s="2">
        <f>DE247-EC247</f>
        <v>-18238.226910000012</v>
      </c>
      <c r="EG247" s="46"/>
      <c r="EH247" s="46"/>
      <c r="EI247" s="2">
        <f t="shared" si="1496"/>
        <v>2520.0010000000002</v>
      </c>
      <c r="EJ247" s="2"/>
      <c r="EK247" s="198">
        <f t="shared" si="1233"/>
        <v>2520.0010000000002</v>
      </c>
      <c r="EL247" s="446">
        <v>794.00199999999995</v>
      </c>
      <c r="EM247" s="446">
        <v>1725.999</v>
      </c>
      <c r="EN247" s="2"/>
      <c r="EO247" s="2"/>
      <c r="EP247" s="2">
        <f t="shared" si="1234"/>
        <v>443.93860000000001</v>
      </c>
      <c r="EQ247" s="2"/>
      <c r="ER247" s="2">
        <v>443.93860000000001</v>
      </c>
      <c r="ES247" s="2">
        <v>251.90360000000001</v>
      </c>
      <c r="ET247" s="2">
        <v>192.035</v>
      </c>
      <c r="EU247" s="2"/>
      <c r="EV247" s="141"/>
      <c r="EW247" s="310"/>
      <c r="EX247" s="310"/>
      <c r="EY247" s="310"/>
      <c r="EZ247" s="396"/>
      <c r="FA247" s="396"/>
      <c r="FB247" s="310"/>
      <c r="FC247" s="310"/>
      <c r="FD247" s="310"/>
      <c r="FE247" s="396"/>
      <c r="FF247" s="396"/>
      <c r="FG247" s="396"/>
      <c r="FH247" s="311"/>
      <c r="FI247" s="310"/>
      <c r="FJ247" s="296" t="e">
        <f t="shared" si="1540"/>
        <v>#DIV/0!</v>
      </c>
      <c r="FK247" s="353">
        <f t="shared" si="1237"/>
        <v>2611.3999999999996</v>
      </c>
      <c r="FL247" s="353">
        <f>BA247</f>
        <v>2611.3999999999996</v>
      </c>
      <c r="FM247" s="353"/>
      <c r="FN247" s="388">
        <f t="shared" ref="FN247:FN259" si="1542">FL247/FK247</f>
        <v>1</v>
      </c>
      <c r="FO247" s="388">
        <f t="shared" ref="FO247:FO259" si="1543">FM247/FK247</f>
        <v>0</v>
      </c>
      <c r="FP247" s="353">
        <f t="shared" si="1238"/>
        <v>2963.9396000000002</v>
      </c>
      <c r="FQ247" s="353">
        <f t="shared" ref="FQ247:FQ259" si="1544">EK247</f>
        <v>2520.0010000000002</v>
      </c>
      <c r="FR247" s="353">
        <f t="shared" ref="FR247:FR259" si="1545">ER247</f>
        <v>443.93860000000001</v>
      </c>
      <c r="FS247" s="388">
        <f t="shared" ref="FS247:FS259" si="1546">FQ247/FP247</f>
        <v>0.85022009220430805</v>
      </c>
      <c r="FT247" s="388">
        <f t="shared" ref="FT247:FT259" si="1547">FR247/FP247</f>
        <v>0.14977990779569192</v>
      </c>
      <c r="FU247" s="388"/>
      <c r="FV247" s="353">
        <f t="shared" ref="FV247:FV259" si="1548">FP247*FN247</f>
        <v>2963.9396000000002</v>
      </c>
      <c r="FW247" s="353">
        <f t="shared" si="1239"/>
        <v>-443.93859999999995</v>
      </c>
      <c r="FX247" s="310">
        <f t="shared" ref="FX247" si="1549">FY247+FZ247</f>
        <v>0</v>
      </c>
      <c r="FY247" s="310">
        <f>BD247</f>
        <v>0</v>
      </c>
      <c r="FZ247" s="310"/>
      <c r="GA247" s="396" t="e">
        <f t="shared" ref="GA247" si="1550">FY247/FX247</f>
        <v>#DIV/0!</v>
      </c>
      <c r="GB247" s="396" t="e">
        <f t="shared" ref="GB247" si="1551">FZ247/FX247</f>
        <v>#DIV/0!</v>
      </c>
      <c r="GC247" s="310">
        <f t="shared" ref="GC247" si="1552">GD247+GE247</f>
        <v>0</v>
      </c>
      <c r="GD247" s="310">
        <f t="shared" ref="GD247" si="1553">EN247</f>
        <v>0</v>
      </c>
      <c r="GE247" s="310">
        <f t="shared" ref="GE247" si="1554">EU247</f>
        <v>0</v>
      </c>
      <c r="GF247" s="396" t="e">
        <f t="shared" ref="GF247" si="1555">GD247/GC247</f>
        <v>#DIV/0!</v>
      </c>
      <c r="GG247" s="396" t="e">
        <f t="shared" ref="GG247" si="1556">GE247/GC247</f>
        <v>#DIV/0!</v>
      </c>
      <c r="GH247" s="396"/>
      <c r="GI247" s="311" t="e">
        <f t="shared" ref="GI247" si="1557">GC247*GA247</f>
        <v>#DIV/0!</v>
      </c>
      <c r="GJ247" s="344" t="e">
        <f t="shared" ref="GJ247" si="1558">GD247-GI247</f>
        <v>#DIV/0!</v>
      </c>
      <c r="GK247" s="303">
        <f t="shared" si="1215"/>
        <v>0.96500000000000019</v>
      </c>
    </row>
    <row r="248" spans="2:193" s="37" customFormat="1" ht="15.75" customHeight="1" x14ac:dyDescent="0.25">
      <c r="B248" s="29"/>
      <c r="C248" s="30"/>
      <c r="D248" s="30">
        <v>1</v>
      </c>
      <c r="E248" s="493">
        <v>206</v>
      </c>
      <c r="F248" s="29"/>
      <c r="G248" s="30"/>
      <c r="H248" s="30">
        <v>1</v>
      </c>
      <c r="I248" s="493"/>
      <c r="J248" s="494"/>
      <c r="K248" s="494"/>
      <c r="L248" s="53"/>
      <c r="M248" s="493">
        <v>177</v>
      </c>
      <c r="N248" s="494" t="s">
        <v>152</v>
      </c>
      <c r="O248" s="494"/>
      <c r="P248" s="494">
        <f t="shared" si="1236"/>
        <v>0</v>
      </c>
      <c r="Q248" s="494" t="s">
        <v>701</v>
      </c>
      <c r="R248" s="494" t="s">
        <v>699</v>
      </c>
      <c r="S248" s="494" t="s">
        <v>538</v>
      </c>
      <c r="T248" s="156">
        <v>2</v>
      </c>
      <c r="U248" s="493">
        <v>1</v>
      </c>
      <c r="V248" s="2">
        <f t="shared" si="1216"/>
        <v>2637.1</v>
      </c>
      <c r="W248" s="2"/>
      <c r="X248" s="198">
        <f t="shared" si="1481"/>
        <v>2637.1</v>
      </c>
      <c r="Y248" s="198">
        <v>830.9</v>
      </c>
      <c r="Z248" s="42">
        <v>1806.2</v>
      </c>
      <c r="AA248" s="2"/>
      <c r="AB248" s="567">
        <f t="shared" si="1521"/>
        <v>2637.1</v>
      </c>
      <c r="AC248" s="567"/>
      <c r="AD248" s="568">
        <f t="shared" si="1482"/>
        <v>2637.1</v>
      </c>
      <c r="AE248" s="568">
        <v>830.9</v>
      </c>
      <c r="AF248" s="569">
        <v>1806.2</v>
      </c>
      <c r="AG248" s="567"/>
      <c r="AH248" s="570"/>
      <c r="AI248" s="567"/>
      <c r="AJ248" s="567"/>
      <c r="AK248" s="568"/>
      <c r="AL248" s="567"/>
      <c r="AM248" s="570"/>
      <c r="AN248" s="567"/>
      <c r="AO248" s="567"/>
      <c r="AP248" s="568"/>
      <c r="AQ248" s="567"/>
      <c r="AR248" s="570"/>
      <c r="AS248" s="567"/>
      <c r="AT248" s="567"/>
      <c r="AU248" s="568"/>
      <c r="AV248" s="567"/>
      <c r="AW248" s="570"/>
      <c r="AX248" s="409" t="s">
        <v>670</v>
      </c>
      <c r="AY248" s="567">
        <f t="shared" si="1522"/>
        <v>2637.1</v>
      </c>
      <c r="AZ248" s="567"/>
      <c r="BA248" s="568">
        <f t="shared" si="1523"/>
        <v>2637.1</v>
      </c>
      <c r="BB248" s="568">
        <v>830.9</v>
      </c>
      <c r="BC248" s="569">
        <v>1806.2</v>
      </c>
      <c r="BD248" s="567"/>
      <c r="BE248" s="567"/>
      <c r="BF248" s="567">
        <f t="shared" si="1217"/>
        <v>0</v>
      </c>
      <c r="BG248" s="567">
        <f t="shared" si="1218"/>
        <v>0</v>
      </c>
      <c r="BH248" s="567">
        <f t="shared" si="1219"/>
        <v>0</v>
      </c>
      <c r="BI248" s="567">
        <f t="shared" si="1220"/>
        <v>0</v>
      </c>
      <c r="BJ248" s="567">
        <f t="shared" si="1221"/>
        <v>0</v>
      </c>
      <c r="BK248" s="567">
        <f t="shared" si="1222"/>
        <v>0</v>
      </c>
      <c r="BL248" s="567" t="e">
        <f>#REF!-BE248</f>
        <v>#REF!</v>
      </c>
      <c r="BM248" s="567">
        <f t="shared" si="1524"/>
        <v>851</v>
      </c>
      <c r="BN248" s="567"/>
      <c r="BO248" s="568">
        <f>370+481</f>
        <v>851</v>
      </c>
      <c r="BP248" s="567"/>
      <c r="BQ248" s="567"/>
      <c r="BR248" s="567">
        <f t="shared" si="1525"/>
        <v>0</v>
      </c>
      <c r="BS248" s="567"/>
      <c r="BT248" s="568"/>
      <c r="BU248" s="567"/>
      <c r="BV248" s="567"/>
      <c r="BW248" s="567">
        <f t="shared" si="1526"/>
        <v>2600.9759800000002</v>
      </c>
      <c r="BX248" s="567"/>
      <c r="BY248" s="568">
        <f t="shared" si="1223"/>
        <v>2600.9759800000002</v>
      </c>
      <c r="BZ248" s="571">
        <f>664.72+166.18</f>
        <v>830.90000000000009</v>
      </c>
      <c r="CA248" s="571">
        <v>1770.0759800000001</v>
      </c>
      <c r="CB248" s="567"/>
      <c r="CC248" s="567"/>
      <c r="CD248" s="567">
        <f t="shared" si="1527"/>
        <v>2600.9759800000002</v>
      </c>
      <c r="CE248" s="567"/>
      <c r="CF248" s="568">
        <f t="shared" si="1224"/>
        <v>2600.9759800000002</v>
      </c>
      <c r="CG248" s="571">
        <f>664.72+166.18</f>
        <v>830.90000000000009</v>
      </c>
      <c r="CH248" s="571">
        <v>1770.0759800000001</v>
      </c>
      <c r="CI248" s="567"/>
      <c r="CJ248" s="567"/>
      <c r="CK248" s="567">
        <f t="shared" si="1528"/>
        <v>481.27249999999998</v>
      </c>
      <c r="CL248" s="567"/>
      <c r="CM248" s="567">
        <v>481.27249999999998</v>
      </c>
      <c r="CN248" s="567">
        <v>209.29599999999999</v>
      </c>
      <c r="CO248" s="567">
        <v>219.6525</v>
      </c>
      <c r="CP248" s="567"/>
      <c r="CQ248" s="567"/>
      <c r="CR248" s="573">
        <f t="shared" si="1529"/>
        <v>3082.2484800000002</v>
      </c>
      <c r="CS248" s="567">
        <f t="shared" si="1226"/>
        <v>3082.2484800000002</v>
      </c>
      <c r="CT248" s="567">
        <f t="shared" si="1227"/>
        <v>0</v>
      </c>
      <c r="CU248" s="567">
        <f t="shared" si="1228"/>
        <v>3082.2484800000002</v>
      </c>
      <c r="CV248" s="567">
        <f t="shared" si="1229"/>
        <v>0</v>
      </c>
      <c r="CW248" s="567">
        <f t="shared" si="1530"/>
        <v>0</v>
      </c>
      <c r="CX248" s="567">
        <f t="shared" ca="1" si="1339"/>
        <v>0</v>
      </c>
      <c r="CY248" s="567">
        <f t="shared" si="1230"/>
        <v>0</v>
      </c>
      <c r="CZ248" s="567">
        <f t="shared" si="1231"/>
        <v>0</v>
      </c>
      <c r="DA248" s="567">
        <f t="shared" si="1232"/>
        <v>0</v>
      </c>
      <c r="DB248" s="2">
        <f t="shared" si="1531"/>
        <v>0</v>
      </c>
      <c r="DC248" s="76"/>
      <c r="DD248" s="253">
        <f>BM244-DD245-DD247</f>
        <v>3270.5999999999985</v>
      </c>
      <c r="DE248" s="253">
        <f>DD248+DF255</f>
        <v>3270.5999999999985</v>
      </c>
      <c r="DF248" s="2">
        <f t="shared" si="1532"/>
        <v>0</v>
      </c>
      <c r="DG248" s="2"/>
      <c r="DH248" s="198"/>
      <c r="DI248" s="2"/>
      <c r="DJ248" s="2"/>
      <c r="DK248" s="2">
        <f t="shared" si="1533"/>
        <v>0</v>
      </c>
      <c r="DL248" s="2"/>
      <c r="DM248" s="198"/>
      <c r="DN248" s="2"/>
      <c r="DO248" s="2"/>
      <c r="DP248" s="2">
        <f t="shared" si="1534"/>
        <v>0</v>
      </c>
      <c r="DQ248" s="2">
        <f t="shared" si="1541"/>
        <v>0</v>
      </c>
      <c r="DR248" s="2">
        <f t="shared" si="1541"/>
        <v>0</v>
      </c>
      <c r="DS248" s="2">
        <f t="shared" si="1541"/>
        <v>0</v>
      </c>
      <c r="DT248" s="2">
        <f t="shared" si="1541"/>
        <v>0</v>
      </c>
      <c r="DU248" s="2"/>
      <c r="DV248" s="2"/>
      <c r="DW248" s="2"/>
      <c r="DX248" s="2">
        <f t="shared" ca="1" si="1535"/>
        <v>0</v>
      </c>
      <c r="DY248" s="46"/>
      <c r="DZ248" s="2">
        <f t="shared" si="1536"/>
        <v>2600.9759800000002</v>
      </c>
      <c r="EA248" s="2">
        <f t="shared" si="1537"/>
        <v>2600.9759800000002</v>
      </c>
      <c r="EB248" s="46"/>
      <c r="EC248" s="2">
        <f>EA248+EA251+EA253+EA255+EA257+EA259</f>
        <v>14394.824000000001</v>
      </c>
      <c r="ED248" s="2">
        <f ca="1">DX248+DX251+DX253+DX255+DX257+DX259</f>
        <v>0</v>
      </c>
      <c r="EE248" s="46"/>
      <c r="EF248" s="2">
        <f>DE248-EC248</f>
        <v>-11124.224000000002</v>
      </c>
      <c r="EG248" s="46"/>
      <c r="EH248" s="46"/>
      <c r="EI248" s="2">
        <f t="shared" si="1496"/>
        <v>2600.9759800000002</v>
      </c>
      <c r="EJ248" s="2"/>
      <c r="EK248" s="198">
        <f t="shared" si="1233"/>
        <v>2600.9759800000002</v>
      </c>
      <c r="EL248" s="446">
        <f>664.72+166.18</f>
        <v>830.90000000000009</v>
      </c>
      <c r="EM248" s="446">
        <v>1770.0759800000001</v>
      </c>
      <c r="EN248" s="2"/>
      <c r="EO248" s="2"/>
      <c r="EP248" s="2">
        <f t="shared" si="1234"/>
        <v>481.27249999999998</v>
      </c>
      <c r="EQ248" s="2"/>
      <c r="ER248" s="2">
        <v>481.27249999999998</v>
      </c>
      <c r="ES248" s="2">
        <f>209.296+52.324</f>
        <v>261.62</v>
      </c>
      <c r="ET248" s="2">
        <v>219.6525</v>
      </c>
      <c r="EU248" s="2"/>
      <c r="EV248" s="141"/>
      <c r="EW248" s="310"/>
      <c r="EX248" s="310"/>
      <c r="EY248" s="310"/>
      <c r="EZ248" s="396"/>
      <c r="FA248" s="396"/>
      <c r="FB248" s="310"/>
      <c r="FC248" s="310"/>
      <c r="FD248" s="310"/>
      <c r="FE248" s="396"/>
      <c r="FF248" s="396"/>
      <c r="FG248" s="396"/>
      <c r="FH248" s="311"/>
      <c r="FI248" s="310"/>
      <c r="FJ248" s="296" t="e">
        <f t="shared" si="1540"/>
        <v>#DIV/0!</v>
      </c>
      <c r="FK248" s="353">
        <f t="shared" ref="FK248" si="1559">FL248+FM248</f>
        <v>2637.1</v>
      </c>
      <c r="FL248" s="353">
        <f>BA248</f>
        <v>2637.1</v>
      </c>
      <c r="FM248" s="353"/>
      <c r="FN248" s="388">
        <f t="shared" ref="FN248" si="1560">FL248/FK248</f>
        <v>1</v>
      </c>
      <c r="FO248" s="388">
        <f t="shared" ref="FO248" si="1561">FM248/FK248</f>
        <v>0</v>
      </c>
      <c r="FP248" s="353">
        <f t="shared" ref="FP248" si="1562">FQ248+FR248</f>
        <v>3082.2484800000002</v>
      </c>
      <c r="FQ248" s="353">
        <f t="shared" ref="FQ248" si="1563">EK248</f>
        <v>2600.9759800000002</v>
      </c>
      <c r="FR248" s="353">
        <f t="shared" ref="FR248" si="1564">ER248</f>
        <v>481.27249999999998</v>
      </c>
      <c r="FS248" s="388">
        <f t="shared" ref="FS248" si="1565">FQ248/FP248</f>
        <v>0.84385668348192355</v>
      </c>
      <c r="FT248" s="388">
        <f t="shared" ref="FT248" si="1566">FR248/FP248</f>
        <v>0.15614331651807642</v>
      </c>
      <c r="FU248" s="388"/>
      <c r="FV248" s="353">
        <f t="shared" ref="FV248" si="1567">FP248*FN248</f>
        <v>3082.2484800000002</v>
      </c>
      <c r="FW248" s="353">
        <f t="shared" si="1239"/>
        <v>-481.27250000000004</v>
      </c>
      <c r="FX248" s="310"/>
      <c r="FY248" s="310"/>
      <c r="FZ248" s="310"/>
      <c r="GA248" s="396"/>
      <c r="GB248" s="396"/>
      <c r="GC248" s="310"/>
      <c r="GD248" s="310"/>
      <c r="GE248" s="310"/>
      <c r="GF248" s="396"/>
      <c r="GG248" s="396"/>
      <c r="GH248" s="396"/>
      <c r="GI248" s="311"/>
      <c r="GJ248" s="344"/>
      <c r="GK248" s="303">
        <f t="shared" si="1215"/>
        <v>0.98630161161882379</v>
      </c>
    </row>
    <row r="249" spans="2:193" s="37" customFormat="1" ht="15.6" customHeight="1" x14ac:dyDescent="0.25">
      <c r="B249" s="29"/>
      <c r="C249" s="30">
        <v>1</v>
      </c>
      <c r="D249" s="30"/>
      <c r="E249" s="493">
        <v>207</v>
      </c>
      <c r="F249" s="29"/>
      <c r="G249" s="30">
        <v>1</v>
      </c>
      <c r="H249" s="30">
        <v>1</v>
      </c>
      <c r="I249" s="493"/>
      <c r="J249" s="494"/>
      <c r="K249" s="494"/>
      <c r="L249" s="53"/>
      <c r="M249" s="493">
        <v>178</v>
      </c>
      <c r="N249" s="494" t="s">
        <v>67</v>
      </c>
      <c r="O249" s="494"/>
      <c r="P249" s="494">
        <f t="shared" si="1236"/>
        <v>0</v>
      </c>
      <c r="Q249" s="494" t="s">
        <v>701</v>
      </c>
      <c r="R249" s="494" t="s">
        <v>699</v>
      </c>
      <c r="S249" s="494" t="s">
        <v>585</v>
      </c>
      <c r="T249" s="156">
        <v>2</v>
      </c>
      <c r="U249" s="493"/>
      <c r="V249" s="2">
        <f t="shared" si="1216"/>
        <v>5933.3</v>
      </c>
      <c r="W249" s="2"/>
      <c r="X249" s="198">
        <f t="shared" si="1481"/>
        <v>5933.3</v>
      </c>
      <c r="Y249" s="198">
        <v>1869.4</v>
      </c>
      <c r="Z249" s="42">
        <v>4063.9</v>
      </c>
      <c r="AA249" s="2"/>
      <c r="AB249" s="567">
        <f t="shared" si="1521"/>
        <v>5933.3</v>
      </c>
      <c r="AC249" s="567"/>
      <c r="AD249" s="568">
        <f t="shared" si="1482"/>
        <v>5933.3</v>
      </c>
      <c r="AE249" s="568">
        <v>1869.4</v>
      </c>
      <c r="AF249" s="569">
        <v>4063.9</v>
      </c>
      <c r="AG249" s="567"/>
      <c r="AH249" s="570"/>
      <c r="AI249" s="567"/>
      <c r="AJ249" s="567"/>
      <c r="AK249" s="568"/>
      <c r="AL249" s="567"/>
      <c r="AM249" s="570"/>
      <c r="AN249" s="567"/>
      <c r="AO249" s="567"/>
      <c r="AP249" s="568"/>
      <c r="AQ249" s="567"/>
      <c r="AR249" s="570"/>
      <c r="AS249" s="567"/>
      <c r="AT249" s="567"/>
      <c r="AU249" s="568"/>
      <c r="AV249" s="567"/>
      <c r="AW249" s="570"/>
      <c r="AX249" s="409" t="s">
        <v>443</v>
      </c>
      <c r="AY249" s="567">
        <f t="shared" si="1522"/>
        <v>5907.2910400000001</v>
      </c>
      <c r="AZ249" s="567"/>
      <c r="BA249" s="568">
        <f t="shared" si="1523"/>
        <v>5907.2910400000001</v>
      </c>
      <c r="BB249" s="568">
        <f>1869.4-26.00896</f>
        <v>1843.3910400000002</v>
      </c>
      <c r="BC249" s="569">
        <f>4037.89104+26.00896</f>
        <v>4063.9</v>
      </c>
      <c r="BD249" s="567"/>
      <c r="BE249" s="570"/>
      <c r="BF249" s="567">
        <f t="shared" si="1217"/>
        <v>26.008959999999888</v>
      </c>
      <c r="BG249" s="567">
        <f t="shared" si="1218"/>
        <v>0</v>
      </c>
      <c r="BH249" s="567">
        <f t="shared" si="1219"/>
        <v>26.008959999999888</v>
      </c>
      <c r="BI249" s="567">
        <f t="shared" si="1220"/>
        <v>26.008959999999888</v>
      </c>
      <c r="BJ249" s="567">
        <f t="shared" si="1221"/>
        <v>0</v>
      </c>
      <c r="BK249" s="567">
        <f t="shared" si="1222"/>
        <v>0</v>
      </c>
      <c r="BL249" s="567" t="e">
        <f>#REF!-BE249</f>
        <v>#REF!</v>
      </c>
      <c r="BM249" s="567">
        <f t="shared" si="1524"/>
        <v>28856.1</v>
      </c>
      <c r="BN249" s="567">
        <f>19396.50385+7603.49615</f>
        <v>27000</v>
      </c>
      <c r="BO249" s="568">
        <f>807+1049.1</f>
        <v>1856.1</v>
      </c>
      <c r="BP249" s="567"/>
      <c r="BQ249" s="570"/>
      <c r="BR249" s="567">
        <f t="shared" si="1525"/>
        <v>0</v>
      </c>
      <c r="BS249" s="567"/>
      <c r="BT249" s="568"/>
      <c r="BU249" s="567"/>
      <c r="BV249" s="570"/>
      <c r="BW249" s="567">
        <f t="shared" si="1526"/>
        <v>5645.2529900000009</v>
      </c>
      <c r="BX249" s="567"/>
      <c r="BY249" s="568">
        <f t="shared" si="1223"/>
        <v>5645.2529900000009</v>
      </c>
      <c r="BZ249" s="571">
        <f>1647.74086-26.00896</f>
        <v>1621.7319000000002</v>
      </c>
      <c r="CA249" s="571">
        <f>3997.51213+26.00896</f>
        <v>4023.5210900000002</v>
      </c>
      <c r="CB249" s="567"/>
      <c r="CC249" s="577"/>
      <c r="CD249" s="567">
        <f t="shared" si="1527"/>
        <v>5645.2529900000009</v>
      </c>
      <c r="CE249" s="567"/>
      <c r="CF249" s="568">
        <f t="shared" si="1224"/>
        <v>5645.2529900000009</v>
      </c>
      <c r="CG249" s="571">
        <f>1647.74086-26.00896</f>
        <v>1621.7319000000002</v>
      </c>
      <c r="CH249" s="571">
        <f>3997.51213+26.00896</f>
        <v>4023.5210900000002</v>
      </c>
      <c r="CI249" s="567"/>
      <c r="CJ249" s="577"/>
      <c r="CK249" s="567">
        <f t="shared" si="1528"/>
        <v>845.61638000000005</v>
      </c>
      <c r="CL249" s="567"/>
      <c r="CM249" s="567">
        <v>845.61638000000005</v>
      </c>
      <c r="CN249" s="567"/>
      <c r="CO249" s="567"/>
      <c r="CP249" s="567"/>
      <c r="CQ249" s="567"/>
      <c r="CR249" s="573">
        <f t="shared" si="1529"/>
        <v>6490.8693700000013</v>
      </c>
      <c r="CS249" s="567">
        <f t="shared" si="1226"/>
        <v>6490.8693700000013</v>
      </c>
      <c r="CT249" s="567">
        <f t="shared" si="1227"/>
        <v>0</v>
      </c>
      <c r="CU249" s="567">
        <f t="shared" si="1228"/>
        <v>6490.8693700000013</v>
      </c>
      <c r="CV249" s="567">
        <f t="shared" si="1229"/>
        <v>0</v>
      </c>
      <c r="CW249" s="567">
        <f t="shared" si="1530"/>
        <v>0</v>
      </c>
      <c r="CX249" s="567">
        <f t="shared" ca="1" si="1339"/>
        <v>0</v>
      </c>
      <c r="CY249" s="567">
        <f t="shared" si="1230"/>
        <v>0</v>
      </c>
      <c r="CZ249" s="567">
        <f t="shared" si="1231"/>
        <v>0</v>
      </c>
      <c r="DA249" s="567">
        <f t="shared" si="1232"/>
        <v>0</v>
      </c>
      <c r="DB249" s="2">
        <f t="shared" si="1531"/>
        <v>0</v>
      </c>
      <c r="DC249" s="76"/>
      <c r="DD249" s="253"/>
      <c r="DE249" s="253"/>
      <c r="DF249" s="2">
        <f t="shared" si="1532"/>
        <v>0</v>
      </c>
      <c r="DG249" s="2"/>
      <c r="DH249" s="198"/>
      <c r="DI249" s="2"/>
      <c r="DJ249" s="234"/>
      <c r="DK249" s="2">
        <f t="shared" si="1533"/>
        <v>0</v>
      </c>
      <c r="DL249" s="2"/>
      <c r="DM249" s="198"/>
      <c r="DN249" s="2"/>
      <c r="DO249" s="234"/>
      <c r="DP249" s="2">
        <f t="shared" si="1534"/>
        <v>0</v>
      </c>
      <c r="DQ249" s="2">
        <f t="shared" si="1541"/>
        <v>0</v>
      </c>
      <c r="DR249" s="2">
        <f t="shared" si="1541"/>
        <v>0</v>
      </c>
      <c r="DS249" s="2">
        <f t="shared" si="1541"/>
        <v>0</v>
      </c>
      <c r="DT249" s="2">
        <f t="shared" si="1541"/>
        <v>0</v>
      </c>
      <c r="DU249" s="2"/>
      <c r="DV249" s="2"/>
      <c r="DW249" s="2"/>
      <c r="DX249" s="2">
        <f t="shared" ca="1" si="1535"/>
        <v>0</v>
      </c>
      <c r="DY249" s="46"/>
      <c r="DZ249" s="2">
        <f t="shared" si="1536"/>
        <v>5645.2529900000009</v>
      </c>
      <c r="EA249" s="2">
        <f t="shared" si="1537"/>
        <v>5645.2529900000009</v>
      </c>
      <c r="EB249" s="46"/>
      <c r="EC249" s="2"/>
      <c r="ED249" s="2"/>
      <c r="EE249" s="46"/>
      <c r="EF249" s="2"/>
      <c r="EG249" s="46"/>
      <c r="EH249" s="46"/>
      <c r="EI249" s="2">
        <f t="shared" si="1496"/>
        <v>5645.2529900000009</v>
      </c>
      <c r="EJ249" s="2"/>
      <c r="EK249" s="198">
        <f t="shared" si="1233"/>
        <v>5645.2529900000009</v>
      </c>
      <c r="EL249" s="446">
        <f>1647.74086-26.00896</f>
        <v>1621.7319000000002</v>
      </c>
      <c r="EM249" s="446">
        <f>3997.51213+26.00896</f>
        <v>4023.5210900000002</v>
      </c>
      <c r="EN249" s="2"/>
      <c r="EO249" s="236"/>
      <c r="EP249" s="2">
        <f t="shared" si="1234"/>
        <v>845.61638000000005</v>
      </c>
      <c r="EQ249" s="2"/>
      <c r="ER249" s="2">
        <v>845.61638000000005</v>
      </c>
      <c r="ES249" s="2">
        <v>498.00662999999997</v>
      </c>
      <c r="ET249" s="2">
        <v>347.60975000000002</v>
      </c>
      <c r="EU249" s="2"/>
      <c r="EV249" s="141"/>
      <c r="EW249" s="310"/>
      <c r="EX249" s="310"/>
      <c r="EY249" s="310"/>
      <c r="EZ249" s="396"/>
      <c r="FA249" s="396"/>
      <c r="FB249" s="310"/>
      <c r="FC249" s="310"/>
      <c r="FD249" s="310"/>
      <c r="FE249" s="396"/>
      <c r="FF249" s="396"/>
      <c r="FG249" s="396"/>
      <c r="FH249" s="311"/>
      <c r="FI249" s="310"/>
      <c r="FJ249" s="296" t="e">
        <f t="shared" si="1540"/>
        <v>#DIV/0!</v>
      </c>
      <c r="FK249" s="353"/>
      <c r="FL249" s="353"/>
      <c r="FM249" s="353"/>
      <c r="FN249" s="388"/>
      <c r="FO249" s="388"/>
      <c r="FP249" s="353"/>
      <c r="FQ249" s="353"/>
      <c r="FR249" s="353"/>
      <c r="FS249" s="388"/>
      <c r="FT249" s="388"/>
      <c r="FU249" s="388"/>
      <c r="FV249" s="353"/>
      <c r="FW249" s="353">
        <f t="shared" si="1239"/>
        <v>0</v>
      </c>
      <c r="FX249" s="310"/>
      <c r="FY249" s="310"/>
      <c r="FZ249" s="310"/>
      <c r="GA249" s="396"/>
      <c r="GB249" s="396"/>
      <c r="GC249" s="310"/>
      <c r="GD249" s="310"/>
      <c r="GE249" s="310"/>
      <c r="GF249" s="396"/>
      <c r="GG249" s="396"/>
      <c r="GH249" s="396"/>
      <c r="GI249" s="311"/>
      <c r="GJ249" s="344"/>
      <c r="GK249" s="303">
        <f t="shared" si="1215"/>
        <v>0.95145247838471014</v>
      </c>
    </row>
    <row r="250" spans="2:193" s="37" customFormat="1" ht="15.75" customHeight="1" x14ac:dyDescent="0.25">
      <c r="B250" s="29"/>
      <c r="C250" s="30">
        <v>1</v>
      </c>
      <c r="D250" s="30"/>
      <c r="E250" s="493">
        <v>208</v>
      </c>
      <c r="F250" s="29"/>
      <c r="G250" s="30">
        <v>1</v>
      </c>
      <c r="H250" s="30">
        <v>1</v>
      </c>
      <c r="I250" s="493"/>
      <c r="J250" s="494"/>
      <c r="K250" s="494"/>
      <c r="L250" s="53"/>
      <c r="M250" s="493">
        <v>179</v>
      </c>
      <c r="N250" s="494" t="s">
        <v>62</v>
      </c>
      <c r="O250" s="494"/>
      <c r="P250" s="469">
        <f t="shared" si="1236"/>
        <v>0</v>
      </c>
      <c r="Q250" s="494" t="s">
        <v>701</v>
      </c>
      <c r="R250" s="494" t="s">
        <v>699</v>
      </c>
      <c r="S250" s="494" t="s">
        <v>547</v>
      </c>
      <c r="T250" s="156">
        <v>2</v>
      </c>
      <c r="U250" s="493"/>
      <c r="V250" s="2">
        <f t="shared" si="1216"/>
        <v>2336.1999999999998</v>
      </c>
      <c r="W250" s="2"/>
      <c r="X250" s="198">
        <f t="shared" si="1481"/>
        <v>2336.1999999999998</v>
      </c>
      <c r="Y250" s="198">
        <v>736.1</v>
      </c>
      <c r="Z250" s="42">
        <v>1600.1</v>
      </c>
      <c r="AA250" s="2"/>
      <c r="AB250" s="567">
        <f t="shared" si="1521"/>
        <v>2336.1999999999998</v>
      </c>
      <c r="AC250" s="567"/>
      <c r="AD250" s="568">
        <f t="shared" si="1482"/>
        <v>2336.1999999999998</v>
      </c>
      <c r="AE250" s="568">
        <v>736.1</v>
      </c>
      <c r="AF250" s="569">
        <v>1600.1</v>
      </c>
      <c r="AG250" s="567"/>
      <c r="AH250" s="570"/>
      <c r="AI250" s="567"/>
      <c r="AJ250" s="567"/>
      <c r="AK250" s="568"/>
      <c r="AL250" s="567"/>
      <c r="AM250" s="570"/>
      <c r="AN250" s="567"/>
      <c r="AO250" s="567"/>
      <c r="AP250" s="568"/>
      <c r="AQ250" s="567"/>
      <c r="AR250" s="570"/>
      <c r="AS250" s="567"/>
      <c r="AT250" s="567"/>
      <c r="AU250" s="568"/>
      <c r="AV250" s="567"/>
      <c r="AW250" s="570"/>
      <c r="AX250" s="409" t="s">
        <v>417</v>
      </c>
      <c r="AY250" s="567">
        <f t="shared" si="1522"/>
        <v>2336.1999999999998</v>
      </c>
      <c r="AZ250" s="567"/>
      <c r="BA250" s="568">
        <f t="shared" si="1523"/>
        <v>2336.1999999999998</v>
      </c>
      <c r="BB250" s="568">
        <v>736.1</v>
      </c>
      <c r="BC250" s="569">
        <v>1600.1</v>
      </c>
      <c r="BD250" s="567"/>
      <c r="BE250" s="570"/>
      <c r="BF250" s="567">
        <f t="shared" si="1217"/>
        <v>0</v>
      </c>
      <c r="BG250" s="567">
        <f t="shared" si="1218"/>
        <v>0</v>
      </c>
      <c r="BH250" s="567">
        <f t="shared" si="1219"/>
        <v>0</v>
      </c>
      <c r="BI250" s="567">
        <f t="shared" si="1220"/>
        <v>0</v>
      </c>
      <c r="BJ250" s="567">
        <f t="shared" si="1221"/>
        <v>0</v>
      </c>
      <c r="BK250" s="567">
        <f t="shared" si="1222"/>
        <v>0</v>
      </c>
      <c r="BL250" s="567" t="e">
        <f>#REF!-BE250</f>
        <v>#REF!</v>
      </c>
      <c r="BM250" s="567">
        <f t="shared" si="1524"/>
        <v>0</v>
      </c>
      <c r="BN250" s="567"/>
      <c r="BO250" s="568"/>
      <c r="BP250" s="567"/>
      <c r="BQ250" s="570"/>
      <c r="BR250" s="567">
        <f t="shared" si="1525"/>
        <v>0</v>
      </c>
      <c r="BS250" s="567"/>
      <c r="BT250" s="568"/>
      <c r="BU250" s="567"/>
      <c r="BV250" s="570"/>
      <c r="BW250" s="567">
        <f t="shared" si="1526"/>
        <v>1862.9011300000002</v>
      </c>
      <c r="BX250" s="567"/>
      <c r="BY250" s="578">
        <f t="shared" si="1223"/>
        <v>1862.9011300000002</v>
      </c>
      <c r="BZ250" s="571">
        <v>532.78571999999997</v>
      </c>
      <c r="CA250" s="571">
        <v>1330.1154100000001</v>
      </c>
      <c r="CB250" s="567"/>
      <c r="CC250" s="577"/>
      <c r="CD250" s="567">
        <f t="shared" si="1527"/>
        <v>1862.9011300000002</v>
      </c>
      <c r="CE250" s="567"/>
      <c r="CF250" s="578">
        <f t="shared" si="1224"/>
        <v>1862.9011300000002</v>
      </c>
      <c r="CG250" s="571">
        <v>532.78571999999997</v>
      </c>
      <c r="CH250" s="571">
        <v>1330.1154100000001</v>
      </c>
      <c r="CI250" s="567"/>
      <c r="CJ250" s="577"/>
      <c r="CK250" s="567">
        <f t="shared" si="1528"/>
        <v>226.68138999999999</v>
      </c>
      <c r="CL250" s="567"/>
      <c r="CM250" s="567">
        <v>226.68138999999999</v>
      </c>
      <c r="CN250" s="567"/>
      <c r="CO250" s="567"/>
      <c r="CP250" s="567"/>
      <c r="CQ250" s="567"/>
      <c r="CR250" s="573">
        <f t="shared" si="1529"/>
        <v>2089.5825200000004</v>
      </c>
      <c r="CS250" s="567">
        <f t="shared" si="1226"/>
        <v>2089.5825200000004</v>
      </c>
      <c r="CT250" s="567">
        <f t="shared" si="1227"/>
        <v>0</v>
      </c>
      <c r="CU250" s="567">
        <f t="shared" si="1228"/>
        <v>2089.5825200000004</v>
      </c>
      <c r="CV250" s="567">
        <f t="shared" si="1229"/>
        <v>0</v>
      </c>
      <c r="CW250" s="567">
        <f t="shared" si="1530"/>
        <v>0</v>
      </c>
      <c r="CX250" s="567">
        <f t="shared" ca="1" si="1339"/>
        <v>0</v>
      </c>
      <c r="CY250" s="567">
        <f t="shared" si="1230"/>
        <v>0</v>
      </c>
      <c r="CZ250" s="567">
        <f t="shared" si="1231"/>
        <v>0</v>
      </c>
      <c r="DA250" s="567">
        <f t="shared" si="1232"/>
        <v>0</v>
      </c>
      <c r="DB250" s="2">
        <f t="shared" si="1531"/>
        <v>0</v>
      </c>
      <c r="DC250" s="76"/>
      <c r="DD250" s="253"/>
      <c r="DE250" s="253"/>
      <c r="DF250" s="2">
        <f t="shared" si="1532"/>
        <v>0</v>
      </c>
      <c r="DG250" s="2"/>
      <c r="DH250" s="198"/>
      <c r="DI250" s="2"/>
      <c r="DJ250" s="234"/>
      <c r="DK250" s="2">
        <f t="shared" si="1533"/>
        <v>0</v>
      </c>
      <c r="DL250" s="2"/>
      <c r="DM250" s="198"/>
      <c r="DN250" s="2"/>
      <c r="DO250" s="234"/>
      <c r="DP250" s="2">
        <f t="shared" si="1534"/>
        <v>0</v>
      </c>
      <c r="DQ250" s="2">
        <f t="shared" si="1541"/>
        <v>0</v>
      </c>
      <c r="DR250" s="2">
        <f t="shared" si="1541"/>
        <v>0</v>
      </c>
      <c r="DS250" s="2">
        <f t="shared" si="1541"/>
        <v>0</v>
      </c>
      <c r="DT250" s="2">
        <f t="shared" si="1541"/>
        <v>0</v>
      </c>
      <c r="DU250" s="2"/>
      <c r="DV250" s="2"/>
      <c r="DW250" s="2"/>
      <c r="DX250" s="2">
        <f t="shared" ca="1" si="1535"/>
        <v>0</v>
      </c>
      <c r="DY250" s="46"/>
      <c r="DZ250" s="2">
        <f t="shared" si="1536"/>
        <v>1862.9011300000002</v>
      </c>
      <c r="EA250" s="2">
        <f t="shared" si="1537"/>
        <v>1862.9011300000002</v>
      </c>
      <c r="EB250" s="46"/>
      <c r="EC250" s="2"/>
      <c r="ED250" s="2"/>
      <c r="EE250" s="46"/>
      <c r="EF250" s="2"/>
      <c r="EG250" s="46"/>
      <c r="EH250" s="46"/>
      <c r="EI250" s="2">
        <f t="shared" si="1496"/>
        <v>1862.9011300000002</v>
      </c>
      <c r="EJ250" s="2"/>
      <c r="EK250" s="433">
        <f t="shared" si="1233"/>
        <v>1862.9011300000002</v>
      </c>
      <c r="EL250" s="446">
        <v>532.78571999999997</v>
      </c>
      <c r="EM250" s="446">
        <v>1330.1154100000001</v>
      </c>
      <c r="EN250" s="2"/>
      <c r="EO250" s="236"/>
      <c r="EP250" s="2">
        <f t="shared" si="1234"/>
        <v>226.68138999999999</v>
      </c>
      <c r="EQ250" s="2"/>
      <c r="ER250" s="2">
        <v>226.68138999999999</v>
      </c>
      <c r="ES250" s="2">
        <v>67.960329999999999</v>
      </c>
      <c r="ET250" s="2">
        <v>158.72105999999999</v>
      </c>
      <c r="EU250" s="2"/>
      <c r="EV250" s="141"/>
      <c r="EW250" s="310"/>
      <c r="EX250" s="310"/>
      <c r="EY250" s="310"/>
      <c r="EZ250" s="396"/>
      <c r="FA250" s="396"/>
      <c r="FB250" s="310"/>
      <c r="FC250" s="310"/>
      <c r="FD250" s="310"/>
      <c r="FE250" s="396"/>
      <c r="FF250" s="396"/>
      <c r="FG250" s="396"/>
      <c r="FH250" s="311"/>
      <c r="FI250" s="310"/>
      <c r="FJ250" s="296" t="e">
        <f t="shared" si="1540"/>
        <v>#DIV/0!</v>
      </c>
      <c r="FK250" s="353">
        <f t="shared" si="1237"/>
        <v>2336.1999999999998</v>
      </c>
      <c r="FL250" s="353">
        <f>BA250</f>
        <v>2336.1999999999998</v>
      </c>
      <c r="FM250" s="353"/>
      <c r="FN250" s="388">
        <f t="shared" si="1542"/>
        <v>1</v>
      </c>
      <c r="FO250" s="388">
        <f t="shared" si="1543"/>
        <v>0</v>
      </c>
      <c r="FP250" s="353">
        <f t="shared" si="1238"/>
        <v>2089.5825200000004</v>
      </c>
      <c r="FQ250" s="353">
        <f t="shared" si="1544"/>
        <v>1862.9011300000002</v>
      </c>
      <c r="FR250" s="353">
        <f t="shared" si="1545"/>
        <v>226.68138999999999</v>
      </c>
      <c r="FS250" s="388">
        <f t="shared" si="1546"/>
        <v>0.89151833544243075</v>
      </c>
      <c r="FT250" s="388">
        <f t="shared" si="1547"/>
        <v>0.10848166455756911</v>
      </c>
      <c r="FU250" s="388"/>
      <c r="FV250" s="353">
        <f t="shared" si="1548"/>
        <v>2089.5825200000004</v>
      </c>
      <c r="FW250" s="353">
        <f t="shared" si="1239"/>
        <v>-226.68139000000019</v>
      </c>
      <c r="FX250" s="310"/>
      <c r="FY250" s="310"/>
      <c r="FZ250" s="310"/>
      <c r="GA250" s="396"/>
      <c r="GB250" s="396"/>
      <c r="GC250" s="310"/>
      <c r="GD250" s="310"/>
      <c r="GE250" s="310"/>
      <c r="GF250" s="396"/>
      <c r="GG250" s="396"/>
      <c r="GH250" s="396"/>
      <c r="GI250" s="311"/>
      <c r="GJ250" s="344"/>
      <c r="GK250" s="303">
        <f t="shared" si="1215"/>
        <v>0.7974065276945469</v>
      </c>
    </row>
    <row r="251" spans="2:193" s="37" customFormat="1" ht="15.6" customHeight="1" x14ac:dyDescent="0.25">
      <c r="B251" s="29"/>
      <c r="C251" s="30"/>
      <c r="D251" s="30">
        <v>1</v>
      </c>
      <c r="E251" s="493">
        <v>209</v>
      </c>
      <c r="F251" s="29"/>
      <c r="G251" s="30"/>
      <c r="H251" s="30">
        <v>1</v>
      </c>
      <c r="I251" s="493"/>
      <c r="J251" s="494"/>
      <c r="K251" s="494"/>
      <c r="L251" s="53"/>
      <c r="M251" s="493">
        <v>180</v>
      </c>
      <c r="N251" s="494" t="s">
        <v>153</v>
      </c>
      <c r="O251" s="494"/>
      <c r="P251" s="469">
        <f t="shared" si="1236"/>
        <v>0</v>
      </c>
      <c r="Q251" s="494" t="s">
        <v>711</v>
      </c>
      <c r="R251" s="469" t="s">
        <v>699</v>
      </c>
      <c r="S251" s="494" t="s">
        <v>627</v>
      </c>
      <c r="T251" s="156">
        <v>2</v>
      </c>
      <c r="U251" s="493"/>
      <c r="V251" s="2">
        <f t="shared" si="1216"/>
        <v>1497.6999999999998</v>
      </c>
      <c r="W251" s="2"/>
      <c r="X251" s="198">
        <f t="shared" si="1481"/>
        <v>1497.6999999999998</v>
      </c>
      <c r="Y251" s="198">
        <v>471.9</v>
      </c>
      <c r="Z251" s="198">
        <v>1025.8</v>
      </c>
      <c r="AA251" s="234"/>
      <c r="AB251" s="567">
        <f t="shared" si="1521"/>
        <v>1497.6999999999998</v>
      </c>
      <c r="AC251" s="567"/>
      <c r="AD251" s="568">
        <f t="shared" si="1482"/>
        <v>1497.6999999999998</v>
      </c>
      <c r="AE251" s="568">
        <v>471.9</v>
      </c>
      <c r="AF251" s="568">
        <v>1025.8</v>
      </c>
      <c r="AG251" s="570"/>
      <c r="AH251" s="570"/>
      <c r="AI251" s="567"/>
      <c r="AJ251" s="567"/>
      <c r="AK251" s="568"/>
      <c r="AL251" s="570"/>
      <c r="AM251" s="570"/>
      <c r="AN251" s="567"/>
      <c r="AO251" s="567"/>
      <c r="AP251" s="568"/>
      <c r="AQ251" s="570"/>
      <c r="AR251" s="570"/>
      <c r="AS251" s="567"/>
      <c r="AT251" s="567"/>
      <c r="AU251" s="568"/>
      <c r="AV251" s="570"/>
      <c r="AW251" s="570"/>
      <c r="AX251" s="409" t="s">
        <v>478</v>
      </c>
      <c r="AY251" s="567">
        <f t="shared" si="1522"/>
        <v>1497.6999999999998</v>
      </c>
      <c r="AZ251" s="567"/>
      <c r="BA251" s="568">
        <f t="shared" si="1523"/>
        <v>1497.6999999999998</v>
      </c>
      <c r="BB251" s="568">
        <v>471.9</v>
      </c>
      <c r="BC251" s="568">
        <v>1025.8</v>
      </c>
      <c r="BD251" s="570"/>
      <c r="BE251" s="570"/>
      <c r="BF251" s="567">
        <f t="shared" si="1217"/>
        <v>0</v>
      </c>
      <c r="BG251" s="567">
        <f t="shared" si="1218"/>
        <v>0</v>
      </c>
      <c r="BH251" s="567">
        <f t="shared" si="1219"/>
        <v>0</v>
      </c>
      <c r="BI251" s="567">
        <f t="shared" si="1220"/>
        <v>0</v>
      </c>
      <c r="BJ251" s="567">
        <f t="shared" si="1221"/>
        <v>0</v>
      </c>
      <c r="BK251" s="567">
        <f t="shared" si="1222"/>
        <v>0</v>
      </c>
      <c r="BL251" s="567" t="e">
        <f>#REF!-BE251</f>
        <v>#REF!</v>
      </c>
      <c r="BM251" s="567">
        <f t="shared" si="1524"/>
        <v>384.1</v>
      </c>
      <c r="BN251" s="567"/>
      <c r="BO251" s="568">
        <f>167+217.1</f>
        <v>384.1</v>
      </c>
      <c r="BP251" s="570"/>
      <c r="BQ251" s="570"/>
      <c r="BR251" s="567">
        <f t="shared" si="1525"/>
        <v>0</v>
      </c>
      <c r="BS251" s="567"/>
      <c r="BT251" s="568"/>
      <c r="BU251" s="570"/>
      <c r="BV251" s="570"/>
      <c r="BW251" s="567">
        <f t="shared" si="1526"/>
        <v>1482.723</v>
      </c>
      <c r="BX251" s="567"/>
      <c r="BY251" s="578">
        <f t="shared" si="1223"/>
        <v>1482.723</v>
      </c>
      <c r="BZ251" s="578">
        <v>467.18099999999998</v>
      </c>
      <c r="CA251" s="578">
        <v>1015.542</v>
      </c>
      <c r="CB251" s="577"/>
      <c r="CC251" s="577"/>
      <c r="CD251" s="567">
        <f t="shared" si="1527"/>
        <v>1482.723</v>
      </c>
      <c r="CE251" s="567"/>
      <c r="CF251" s="578">
        <f t="shared" si="1224"/>
        <v>1482.723</v>
      </c>
      <c r="CG251" s="578">
        <v>467.18099999999998</v>
      </c>
      <c r="CH251" s="578">
        <v>1015.542</v>
      </c>
      <c r="CI251" s="577"/>
      <c r="CJ251" s="577"/>
      <c r="CK251" s="567">
        <f t="shared" si="1528"/>
        <v>594</v>
      </c>
      <c r="CL251" s="567"/>
      <c r="CM251" s="567">
        <v>594</v>
      </c>
      <c r="CN251" s="567"/>
      <c r="CO251" s="567"/>
      <c r="CP251" s="567"/>
      <c r="CQ251" s="567"/>
      <c r="CR251" s="573">
        <f t="shared" si="1529"/>
        <v>2076.723</v>
      </c>
      <c r="CS251" s="567">
        <f t="shared" si="1226"/>
        <v>2076.723</v>
      </c>
      <c r="CT251" s="567">
        <f t="shared" si="1227"/>
        <v>0</v>
      </c>
      <c r="CU251" s="567">
        <f t="shared" si="1228"/>
        <v>2076.723</v>
      </c>
      <c r="CV251" s="567">
        <f t="shared" si="1229"/>
        <v>0</v>
      </c>
      <c r="CW251" s="567">
        <f t="shared" si="1530"/>
        <v>0</v>
      </c>
      <c r="CX251" s="567">
        <f t="shared" ca="1" si="1339"/>
        <v>0</v>
      </c>
      <c r="CY251" s="567">
        <f t="shared" si="1230"/>
        <v>0</v>
      </c>
      <c r="CZ251" s="567">
        <f t="shared" si="1231"/>
        <v>0</v>
      </c>
      <c r="DA251" s="567">
        <f t="shared" si="1232"/>
        <v>0</v>
      </c>
      <c r="DB251" s="2">
        <f t="shared" si="1531"/>
        <v>0</v>
      </c>
      <c r="DC251" s="76"/>
      <c r="DD251" s="253"/>
      <c r="DE251" s="253"/>
      <c r="DF251" s="2">
        <f t="shared" si="1532"/>
        <v>0</v>
      </c>
      <c r="DG251" s="2"/>
      <c r="DH251" s="198"/>
      <c r="DI251" s="234"/>
      <c r="DJ251" s="234"/>
      <c r="DK251" s="2">
        <f t="shared" si="1533"/>
        <v>0</v>
      </c>
      <c r="DL251" s="2"/>
      <c r="DM251" s="198"/>
      <c r="DN251" s="234"/>
      <c r="DO251" s="234"/>
      <c r="DP251" s="2">
        <f t="shared" si="1534"/>
        <v>0</v>
      </c>
      <c r="DQ251" s="2">
        <f t="shared" si="1541"/>
        <v>0</v>
      </c>
      <c r="DR251" s="2">
        <f t="shared" si="1541"/>
        <v>0</v>
      </c>
      <c r="DS251" s="2">
        <f t="shared" si="1541"/>
        <v>0</v>
      </c>
      <c r="DT251" s="2">
        <f t="shared" si="1541"/>
        <v>0</v>
      </c>
      <c r="DU251" s="2"/>
      <c r="DV251" s="2"/>
      <c r="DW251" s="2"/>
      <c r="DX251" s="2">
        <f t="shared" ca="1" si="1535"/>
        <v>0</v>
      </c>
      <c r="DY251" s="46"/>
      <c r="DZ251" s="2">
        <f t="shared" si="1536"/>
        <v>1482.723</v>
      </c>
      <c r="EA251" s="2">
        <f t="shared" si="1537"/>
        <v>1482.723</v>
      </c>
      <c r="EB251" s="46"/>
      <c r="EC251" s="2"/>
      <c r="ED251" s="2"/>
      <c r="EE251" s="46"/>
      <c r="EF251" s="2"/>
      <c r="EG251" s="46"/>
      <c r="EH251" s="46"/>
      <c r="EI251" s="2">
        <f t="shared" si="1496"/>
        <v>1482.723</v>
      </c>
      <c r="EJ251" s="2"/>
      <c r="EK251" s="433">
        <f t="shared" si="1233"/>
        <v>1482.723</v>
      </c>
      <c r="EL251" s="433">
        <v>467.18099999999998</v>
      </c>
      <c r="EM251" s="433">
        <v>1015.542</v>
      </c>
      <c r="EN251" s="236"/>
      <c r="EO251" s="236"/>
      <c r="EP251" s="2">
        <f t="shared" si="1234"/>
        <v>594</v>
      </c>
      <c r="EQ251" s="2"/>
      <c r="ER251" s="2">
        <v>594</v>
      </c>
      <c r="ES251" s="2">
        <v>297</v>
      </c>
      <c r="ET251" s="2">
        <v>297</v>
      </c>
      <c r="EU251" s="2"/>
      <c r="EV251" s="141"/>
      <c r="EW251" s="310"/>
      <c r="EX251" s="310"/>
      <c r="EY251" s="310"/>
      <c r="EZ251" s="396"/>
      <c r="FA251" s="396"/>
      <c r="FB251" s="310"/>
      <c r="FC251" s="310"/>
      <c r="FD251" s="310"/>
      <c r="FE251" s="396"/>
      <c r="FF251" s="396"/>
      <c r="FG251" s="396"/>
      <c r="FH251" s="311"/>
      <c r="FI251" s="310"/>
      <c r="FJ251" s="296" t="e">
        <f t="shared" si="1540"/>
        <v>#DIV/0!</v>
      </c>
      <c r="FK251" s="353">
        <f t="shared" ref="FK251" si="1568">FL251+FM251</f>
        <v>1497.6999999999998</v>
      </c>
      <c r="FL251" s="353">
        <f>BA251</f>
        <v>1497.6999999999998</v>
      </c>
      <c r="FM251" s="353"/>
      <c r="FN251" s="388">
        <f t="shared" ref="FN251" si="1569">FL251/FK251</f>
        <v>1</v>
      </c>
      <c r="FO251" s="388">
        <f t="shared" ref="FO251" si="1570">FM251/FK251</f>
        <v>0</v>
      </c>
      <c r="FP251" s="353">
        <f t="shared" ref="FP251" si="1571">FQ251+FR251</f>
        <v>2076.723</v>
      </c>
      <c r="FQ251" s="353">
        <f t="shared" ref="FQ251" si="1572">EK251</f>
        <v>1482.723</v>
      </c>
      <c r="FR251" s="353">
        <f t="shared" ref="FR251" si="1573">ER251</f>
        <v>594</v>
      </c>
      <c r="FS251" s="388">
        <f t="shared" ref="FS251" si="1574">FQ251/FP251</f>
        <v>0.71397244601229914</v>
      </c>
      <c r="FT251" s="388">
        <f t="shared" ref="FT251" si="1575">FR251/FP251</f>
        <v>0.2860275539877008</v>
      </c>
      <c r="FU251" s="388"/>
      <c r="FV251" s="353">
        <f t="shared" ref="FV251" si="1576">FP251*FN251</f>
        <v>2076.723</v>
      </c>
      <c r="FW251" s="353">
        <f t="shared" si="1239"/>
        <v>-594</v>
      </c>
      <c r="FX251" s="310"/>
      <c r="FY251" s="310"/>
      <c r="FZ251" s="310"/>
      <c r="GA251" s="396"/>
      <c r="GB251" s="396"/>
      <c r="GC251" s="310"/>
      <c r="GD251" s="310"/>
      <c r="GE251" s="310"/>
      <c r="GF251" s="396"/>
      <c r="GG251" s="396"/>
      <c r="GH251" s="396"/>
      <c r="GI251" s="311"/>
      <c r="GJ251" s="344"/>
      <c r="GK251" s="303">
        <f t="shared" si="1215"/>
        <v>0.9900000000000001</v>
      </c>
    </row>
    <row r="252" spans="2:193" s="37" customFormat="1" ht="15.6" customHeight="1" x14ac:dyDescent="0.25">
      <c r="B252" s="29"/>
      <c r="C252" s="30">
        <v>1</v>
      </c>
      <c r="D252" s="30"/>
      <c r="E252" s="493">
        <v>210</v>
      </c>
      <c r="F252" s="29"/>
      <c r="G252" s="30">
        <v>1</v>
      </c>
      <c r="H252" s="30">
        <v>1</v>
      </c>
      <c r="M252" s="493">
        <v>181</v>
      </c>
      <c r="N252" s="494" t="s">
        <v>69</v>
      </c>
      <c r="O252" s="494"/>
      <c r="P252" s="494">
        <f t="shared" si="1236"/>
        <v>0</v>
      </c>
      <c r="Q252" s="494"/>
      <c r="R252" s="494"/>
      <c r="S252" s="494" t="s">
        <v>514</v>
      </c>
      <c r="T252" s="156">
        <v>2</v>
      </c>
      <c r="U252" s="493"/>
      <c r="V252" s="2">
        <f t="shared" si="1216"/>
        <v>1497.6999999999998</v>
      </c>
      <c r="W252" s="2"/>
      <c r="X252" s="198">
        <f t="shared" si="1481"/>
        <v>1497.6999999999998</v>
      </c>
      <c r="Y252" s="198">
        <v>471.9</v>
      </c>
      <c r="Z252" s="42">
        <v>1025.8</v>
      </c>
      <c r="AA252" s="2"/>
      <c r="AB252" s="567">
        <f t="shared" si="1521"/>
        <v>1497.6999999999998</v>
      </c>
      <c r="AC252" s="567"/>
      <c r="AD252" s="568">
        <f t="shared" si="1482"/>
        <v>1497.6999999999998</v>
      </c>
      <c r="AE252" s="568">
        <v>471.9</v>
      </c>
      <c r="AF252" s="569">
        <v>1025.8</v>
      </c>
      <c r="AG252" s="567"/>
      <c r="AH252" s="573"/>
      <c r="AI252" s="567"/>
      <c r="AJ252" s="567"/>
      <c r="AK252" s="568"/>
      <c r="AL252" s="567"/>
      <c r="AM252" s="573"/>
      <c r="AN252" s="567"/>
      <c r="AO252" s="567"/>
      <c r="AP252" s="568"/>
      <c r="AQ252" s="567"/>
      <c r="AR252" s="573"/>
      <c r="AS252" s="567"/>
      <c r="AT252" s="567"/>
      <c r="AU252" s="568"/>
      <c r="AV252" s="567"/>
      <c r="AW252" s="567"/>
      <c r="AX252" s="409" t="s">
        <v>389</v>
      </c>
      <c r="AY252" s="567">
        <f t="shared" si="1522"/>
        <v>1496.8999999999999</v>
      </c>
      <c r="AZ252" s="567"/>
      <c r="BA252" s="568">
        <f t="shared" si="1523"/>
        <v>1496.8999999999999</v>
      </c>
      <c r="BB252" s="568">
        <f>471.9-0.8</f>
        <v>471.09999999999997</v>
      </c>
      <c r="BC252" s="569">
        <f>1025+0.8</f>
        <v>1025.8</v>
      </c>
      <c r="BD252" s="567"/>
      <c r="BE252" s="567"/>
      <c r="BF252" s="567">
        <f t="shared" si="1217"/>
        <v>0.80000000000001137</v>
      </c>
      <c r="BG252" s="567">
        <f t="shared" si="1218"/>
        <v>0</v>
      </c>
      <c r="BH252" s="567">
        <f t="shared" si="1219"/>
        <v>0.80000000000001137</v>
      </c>
      <c r="BI252" s="567">
        <f t="shared" si="1220"/>
        <v>0.80000000000001137</v>
      </c>
      <c r="BJ252" s="567">
        <f t="shared" si="1221"/>
        <v>0</v>
      </c>
      <c r="BK252" s="567">
        <f t="shared" si="1222"/>
        <v>0</v>
      </c>
      <c r="BL252" s="567" t="e">
        <f>#REF!-BE252</f>
        <v>#REF!</v>
      </c>
      <c r="BM252" s="567">
        <f t="shared" si="1524"/>
        <v>483</v>
      </c>
      <c r="BN252" s="567"/>
      <c r="BO252" s="568">
        <v>483</v>
      </c>
      <c r="BP252" s="567"/>
      <c r="BQ252" s="567"/>
      <c r="BR252" s="567">
        <f t="shared" si="1525"/>
        <v>0</v>
      </c>
      <c r="BS252" s="567"/>
      <c r="BT252" s="568"/>
      <c r="BU252" s="567"/>
      <c r="BV252" s="567"/>
      <c r="BW252" s="567">
        <f t="shared" si="1526"/>
        <v>1019.875</v>
      </c>
      <c r="BX252" s="567"/>
      <c r="BY252" s="568">
        <f t="shared" si="1223"/>
        <v>1019.875</v>
      </c>
      <c r="BZ252" s="571"/>
      <c r="CA252" s="571">
        <v>1019.875</v>
      </c>
      <c r="CB252" s="567"/>
      <c r="CC252" s="567"/>
      <c r="CD252" s="567">
        <f t="shared" si="1527"/>
        <v>1019.875</v>
      </c>
      <c r="CE252" s="567"/>
      <c r="CF252" s="568">
        <f t="shared" si="1224"/>
        <v>1019.875</v>
      </c>
      <c r="CG252" s="571"/>
      <c r="CH252" s="571">
        <v>1019.875</v>
      </c>
      <c r="CI252" s="567"/>
      <c r="CJ252" s="567"/>
      <c r="CK252" s="567">
        <f t="shared" si="1528"/>
        <v>151.80216999999999</v>
      </c>
      <c r="CL252" s="567"/>
      <c r="CM252" s="567">
        <v>151.80216999999999</v>
      </c>
      <c r="CN252" s="567"/>
      <c r="CO252" s="567"/>
      <c r="CP252" s="567"/>
      <c r="CQ252" s="567"/>
      <c r="CR252" s="573">
        <f t="shared" si="1529"/>
        <v>1171.6771699999999</v>
      </c>
      <c r="CS252" s="567">
        <f t="shared" si="1226"/>
        <v>1171.6771699999999</v>
      </c>
      <c r="CT252" s="567">
        <f t="shared" si="1227"/>
        <v>0</v>
      </c>
      <c r="CU252" s="567">
        <f t="shared" si="1228"/>
        <v>1171.6771699999999</v>
      </c>
      <c r="CV252" s="567">
        <f t="shared" si="1229"/>
        <v>0</v>
      </c>
      <c r="CW252" s="567">
        <f t="shared" si="1530"/>
        <v>0</v>
      </c>
      <c r="CX252" s="567">
        <f t="shared" ca="1" si="1339"/>
        <v>0</v>
      </c>
      <c r="CY252" s="567">
        <f t="shared" si="1230"/>
        <v>0</v>
      </c>
      <c r="CZ252" s="567">
        <f t="shared" si="1231"/>
        <v>0</v>
      </c>
      <c r="DA252" s="567">
        <f t="shared" si="1232"/>
        <v>0</v>
      </c>
      <c r="DB252" s="2">
        <f t="shared" si="1531"/>
        <v>0</v>
      </c>
      <c r="DC252" s="76"/>
      <c r="DD252" s="253"/>
      <c r="DE252" s="253"/>
      <c r="DF252" s="2">
        <f t="shared" si="1532"/>
        <v>0</v>
      </c>
      <c r="DG252" s="2"/>
      <c r="DH252" s="198"/>
      <c r="DI252" s="2"/>
      <c r="DJ252" s="2"/>
      <c r="DK252" s="2">
        <f t="shared" si="1533"/>
        <v>0</v>
      </c>
      <c r="DL252" s="2"/>
      <c r="DM252" s="198"/>
      <c r="DN252" s="2"/>
      <c r="DO252" s="2"/>
      <c r="DP252" s="2">
        <f t="shared" si="1534"/>
        <v>0</v>
      </c>
      <c r="DQ252" s="2">
        <f t="shared" si="1541"/>
        <v>0</v>
      </c>
      <c r="DR252" s="2">
        <f t="shared" si="1541"/>
        <v>0</v>
      </c>
      <c r="DS252" s="2">
        <f t="shared" si="1541"/>
        <v>0</v>
      </c>
      <c r="DT252" s="2">
        <f t="shared" si="1541"/>
        <v>0</v>
      </c>
      <c r="DU252" s="2"/>
      <c r="DV252" s="2"/>
      <c r="DW252" s="2"/>
      <c r="DX252" s="2">
        <f t="shared" ca="1" si="1535"/>
        <v>0</v>
      </c>
      <c r="DY252" s="46"/>
      <c r="DZ252" s="2">
        <f t="shared" si="1536"/>
        <v>1019.875</v>
      </c>
      <c r="EA252" s="2">
        <f t="shared" si="1537"/>
        <v>1019.875</v>
      </c>
      <c r="EB252" s="46"/>
      <c r="EC252" s="2"/>
      <c r="ED252" s="2"/>
      <c r="EE252" s="46"/>
      <c r="EF252" s="2"/>
      <c r="EG252" s="46"/>
      <c r="EH252" s="46"/>
      <c r="EI252" s="2">
        <f t="shared" si="1496"/>
        <v>1019.875</v>
      </c>
      <c r="EJ252" s="2"/>
      <c r="EK252" s="198">
        <f t="shared" si="1233"/>
        <v>1019.875</v>
      </c>
      <c r="EL252" s="446"/>
      <c r="EM252" s="446">
        <v>1019.875</v>
      </c>
      <c r="EN252" s="2"/>
      <c r="EO252" s="2"/>
      <c r="EP252" s="2">
        <f t="shared" si="1234"/>
        <v>151.80216999999999</v>
      </c>
      <c r="EQ252" s="2"/>
      <c r="ER252" s="2">
        <v>151.80216999999999</v>
      </c>
      <c r="ES252" s="2"/>
      <c r="ET252" s="2">
        <v>151.80216999999999</v>
      </c>
      <c r="EU252" s="2"/>
      <c r="EV252" s="141"/>
      <c r="EW252" s="310"/>
      <c r="EX252" s="310"/>
      <c r="EY252" s="310"/>
      <c r="EZ252" s="396"/>
      <c r="FA252" s="396"/>
      <c r="FB252" s="310"/>
      <c r="FC252" s="310"/>
      <c r="FD252" s="310"/>
      <c r="FE252" s="396"/>
      <c r="FF252" s="396"/>
      <c r="FG252" s="396"/>
      <c r="FH252" s="311"/>
      <c r="FI252" s="310"/>
      <c r="FJ252" s="296" t="e">
        <f t="shared" si="1540"/>
        <v>#DIV/0!</v>
      </c>
      <c r="FK252" s="353">
        <f t="shared" si="1237"/>
        <v>1496.8999999999999</v>
      </c>
      <c r="FL252" s="353">
        <f>BA252</f>
        <v>1496.8999999999999</v>
      </c>
      <c r="FM252" s="353"/>
      <c r="FN252" s="388">
        <f t="shared" si="1542"/>
        <v>1</v>
      </c>
      <c r="FO252" s="388">
        <f t="shared" si="1543"/>
        <v>0</v>
      </c>
      <c r="FP252" s="353">
        <f t="shared" si="1238"/>
        <v>1171.6771699999999</v>
      </c>
      <c r="FQ252" s="353">
        <f t="shared" si="1544"/>
        <v>1019.875</v>
      </c>
      <c r="FR252" s="353">
        <f t="shared" si="1545"/>
        <v>151.80216999999999</v>
      </c>
      <c r="FS252" s="388">
        <f t="shared" si="1546"/>
        <v>0.87044027665060686</v>
      </c>
      <c r="FT252" s="388">
        <f t="shared" si="1547"/>
        <v>0.12955972334939325</v>
      </c>
      <c r="FU252" s="388"/>
      <c r="FV252" s="353">
        <f t="shared" si="1548"/>
        <v>1171.6771699999999</v>
      </c>
      <c r="FW252" s="353">
        <f t="shared" si="1239"/>
        <v>-151.80216999999993</v>
      </c>
      <c r="FX252" s="310"/>
      <c r="FY252" s="310"/>
      <c r="FZ252" s="310"/>
      <c r="GA252" s="396"/>
      <c r="GB252" s="396"/>
      <c r="GC252" s="310"/>
      <c r="GD252" s="310"/>
      <c r="GE252" s="310"/>
      <c r="GF252" s="396"/>
      <c r="GG252" s="396"/>
      <c r="GH252" s="396"/>
      <c r="GI252" s="311"/>
      <c r="GJ252" s="344"/>
      <c r="GK252" s="303">
        <f t="shared" si="1215"/>
        <v>0.68096080657007418</v>
      </c>
    </row>
    <row r="253" spans="2:193" s="37" customFormat="1" ht="15.75" customHeight="1" x14ac:dyDescent="0.25">
      <c r="B253" s="29"/>
      <c r="C253" s="30"/>
      <c r="D253" s="30">
        <v>1</v>
      </c>
      <c r="E253" s="493">
        <v>211</v>
      </c>
      <c r="F253" s="29"/>
      <c r="G253" s="30"/>
      <c r="H253" s="30"/>
      <c r="M253" s="493">
        <v>182</v>
      </c>
      <c r="N253" s="494" t="s">
        <v>243</v>
      </c>
      <c r="O253" s="494"/>
      <c r="P253" s="494">
        <f t="shared" si="1236"/>
        <v>0</v>
      </c>
      <c r="Q253" s="494"/>
      <c r="R253" s="494"/>
      <c r="S253" s="494">
        <v>382</v>
      </c>
      <c r="T253" s="156">
        <v>1</v>
      </c>
      <c r="U253" s="493"/>
      <c r="V253" s="2">
        <f t="shared" si="1216"/>
        <v>1216.0999999999999</v>
      </c>
      <c r="W253" s="2"/>
      <c r="X253" s="198">
        <f t="shared" si="1481"/>
        <v>1216.0999999999999</v>
      </c>
      <c r="Y253" s="198">
        <v>383.2</v>
      </c>
      <c r="Z253" s="42">
        <v>832.9</v>
      </c>
      <c r="AA253" s="2"/>
      <c r="AB253" s="567">
        <f t="shared" si="1521"/>
        <v>1216.0999999999999</v>
      </c>
      <c r="AC253" s="567"/>
      <c r="AD253" s="568">
        <f t="shared" si="1482"/>
        <v>1216.0999999999999</v>
      </c>
      <c r="AE253" s="568">
        <v>383.2</v>
      </c>
      <c r="AF253" s="569">
        <v>832.9</v>
      </c>
      <c r="AG253" s="567"/>
      <c r="AH253" s="573"/>
      <c r="AI253" s="567"/>
      <c r="AJ253" s="567"/>
      <c r="AK253" s="568"/>
      <c r="AL253" s="567"/>
      <c r="AM253" s="573"/>
      <c r="AN253" s="567"/>
      <c r="AO253" s="567"/>
      <c r="AP253" s="568"/>
      <c r="AQ253" s="567"/>
      <c r="AR253" s="573"/>
      <c r="AS253" s="567"/>
      <c r="AT253" s="567"/>
      <c r="AU253" s="568"/>
      <c r="AV253" s="567"/>
      <c r="AW253" s="567"/>
      <c r="AX253" s="409" t="s">
        <v>653</v>
      </c>
      <c r="AY253" s="567">
        <f t="shared" si="1522"/>
        <v>1216.0999999999999</v>
      </c>
      <c r="AZ253" s="567"/>
      <c r="BA253" s="567">
        <f t="shared" si="1523"/>
        <v>1216.0999999999999</v>
      </c>
      <c r="BB253" s="568">
        <v>383.2</v>
      </c>
      <c r="BC253" s="569">
        <v>832.9</v>
      </c>
      <c r="BD253" s="567"/>
      <c r="BE253" s="567"/>
      <c r="BF253" s="567">
        <f t="shared" si="1217"/>
        <v>0</v>
      </c>
      <c r="BG253" s="567">
        <f t="shared" si="1218"/>
        <v>0</v>
      </c>
      <c r="BH253" s="567">
        <f t="shared" si="1219"/>
        <v>0</v>
      </c>
      <c r="BI253" s="567">
        <f t="shared" si="1220"/>
        <v>0</v>
      </c>
      <c r="BJ253" s="567">
        <f t="shared" si="1221"/>
        <v>0</v>
      </c>
      <c r="BK253" s="567">
        <f t="shared" si="1222"/>
        <v>0</v>
      </c>
      <c r="BL253" s="567" t="e">
        <f>#REF!-BE253</f>
        <v>#REF!</v>
      </c>
      <c r="BM253" s="567">
        <f t="shared" si="1524"/>
        <v>0</v>
      </c>
      <c r="BN253" s="567"/>
      <c r="BO253" s="567"/>
      <c r="BP253" s="567"/>
      <c r="BQ253" s="567"/>
      <c r="BR253" s="567">
        <f t="shared" si="1525"/>
        <v>0</v>
      </c>
      <c r="BS253" s="567"/>
      <c r="BT253" s="567"/>
      <c r="BU253" s="567"/>
      <c r="BV253" s="567"/>
      <c r="BW253" s="567">
        <f t="shared" si="1526"/>
        <v>1210.0194999999999</v>
      </c>
      <c r="BX253" s="567"/>
      <c r="BY253" s="567">
        <f t="shared" si="1223"/>
        <v>1210.0194999999999</v>
      </c>
      <c r="BZ253" s="574">
        <f>381.27714-4.15764</f>
        <v>377.11949999999996</v>
      </c>
      <c r="CA253" s="574">
        <f>828.74236+4.15764</f>
        <v>832.9</v>
      </c>
      <c r="CB253" s="567"/>
      <c r="CC253" s="567"/>
      <c r="CD253" s="567">
        <f t="shared" si="1527"/>
        <v>1210.0194999999999</v>
      </c>
      <c r="CE253" s="567"/>
      <c r="CF253" s="567">
        <f t="shared" si="1224"/>
        <v>1210.0194999999999</v>
      </c>
      <c r="CG253" s="574">
        <f>381.27714-4.15764</f>
        <v>377.11949999999996</v>
      </c>
      <c r="CH253" s="574">
        <f>828.74236+4.15764</f>
        <v>832.9</v>
      </c>
      <c r="CI253" s="567"/>
      <c r="CJ253" s="567"/>
      <c r="CK253" s="567">
        <f t="shared" si="1528"/>
        <v>134.44738000000001</v>
      </c>
      <c r="CL253" s="567"/>
      <c r="CM253" s="567">
        <v>134.44738000000001</v>
      </c>
      <c r="CN253" s="567">
        <v>42.364370000000001</v>
      </c>
      <c r="CO253" s="567">
        <v>92.083010000000002</v>
      </c>
      <c r="CP253" s="567"/>
      <c r="CQ253" s="567"/>
      <c r="CR253" s="573">
        <f t="shared" si="1529"/>
        <v>1344.4668799999999</v>
      </c>
      <c r="CS253" s="567">
        <f t="shared" si="1226"/>
        <v>1344.4668799999999</v>
      </c>
      <c r="CT253" s="567">
        <f t="shared" si="1227"/>
        <v>0</v>
      </c>
      <c r="CU253" s="567">
        <f t="shared" si="1228"/>
        <v>1344.4668799999999</v>
      </c>
      <c r="CV253" s="567">
        <f t="shared" si="1229"/>
        <v>0</v>
      </c>
      <c r="CW253" s="567">
        <f t="shared" si="1530"/>
        <v>0</v>
      </c>
      <c r="CX253" s="567">
        <f t="shared" ca="1" si="1339"/>
        <v>0</v>
      </c>
      <c r="CY253" s="567">
        <f t="shared" si="1230"/>
        <v>0</v>
      </c>
      <c r="CZ253" s="567">
        <f t="shared" si="1231"/>
        <v>0</v>
      </c>
      <c r="DA253" s="567">
        <f t="shared" si="1232"/>
        <v>0</v>
      </c>
      <c r="DB253" s="2">
        <f t="shared" si="1531"/>
        <v>0</v>
      </c>
      <c r="DC253" s="76"/>
      <c r="DD253" s="253"/>
      <c r="DE253" s="253"/>
      <c r="DF253" s="2">
        <f t="shared" si="1532"/>
        <v>0</v>
      </c>
      <c r="DG253" s="2"/>
      <c r="DH253" s="2"/>
      <c r="DI253" s="2"/>
      <c r="DJ253" s="2"/>
      <c r="DK253" s="2">
        <f t="shared" si="1533"/>
        <v>0</v>
      </c>
      <c r="DL253" s="2"/>
      <c r="DM253" s="2"/>
      <c r="DN253" s="2"/>
      <c r="DO253" s="2"/>
      <c r="DP253" s="2">
        <f t="shared" si="1534"/>
        <v>0</v>
      </c>
      <c r="DQ253" s="2">
        <f t="shared" si="1541"/>
        <v>0</v>
      </c>
      <c r="DR253" s="2">
        <f t="shared" si="1541"/>
        <v>0</v>
      </c>
      <c r="DS253" s="2">
        <f t="shared" si="1541"/>
        <v>0</v>
      </c>
      <c r="DT253" s="2">
        <f t="shared" si="1541"/>
        <v>0</v>
      </c>
      <c r="DU253" s="2"/>
      <c r="DV253" s="2"/>
      <c r="DW253" s="2"/>
      <c r="DX253" s="2">
        <f t="shared" ca="1" si="1535"/>
        <v>0</v>
      </c>
      <c r="DY253" s="46"/>
      <c r="DZ253" s="2">
        <f t="shared" si="1536"/>
        <v>1210.0194999999999</v>
      </c>
      <c r="EA253" s="2">
        <f t="shared" si="1537"/>
        <v>1210.0194999999999</v>
      </c>
      <c r="EB253" s="46"/>
      <c r="EC253" s="2"/>
      <c r="ED253" s="2"/>
      <c r="EE253" s="46"/>
      <c r="EF253" s="2"/>
      <c r="EG253" s="46"/>
      <c r="EH253" s="46"/>
      <c r="EI253" s="23">
        <f t="shared" si="1496"/>
        <v>1210.0194999999999</v>
      </c>
      <c r="EJ253" s="2"/>
      <c r="EK253" s="2">
        <f t="shared" si="1233"/>
        <v>1210.0194999999999</v>
      </c>
      <c r="EL253" s="432">
        <f>381.27714-4.15764</f>
        <v>377.11949999999996</v>
      </c>
      <c r="EM253" s="432">
        <f>828.74236+4.15764</f>
        <v>832.9</v>
      </c>
      <c r="EN253" s="2"/>
      <c r="EO253" s="2"/>
      <c r="EP253" s="2">
        <f t="shared" si="1234"/>
        <v>134.44738000000001</v>
      </c>
      <c r="EQ253" s="2"/>
      <c r="ER253" s="2">
        <v>134.44738000000001</v>
      </c>
      <c r="ES253" s="2">
        <v>42.364370000000001</v>
      </c>
      <c r="ET253" s="2">
        <v>92.083010000000002</v>
      </c>
      <c r="EU253" s="2"/>
      <c r="EV253" s="141"/>
      <c r="EW253" s="310"/>
      <c r="EX253" s="310"/>
      <c r="EY253" s="310"/>
      <c r="EZ253" s="401"/>
      <c r="FA253" s="401"/>
      <c r="FB253" s="310"/>
      <c r="FC253" s="310"/>
      <c r="FD253" s="310"/>
      <c r="FE253" s="401"/>
      <c r="FF253" s="401"/>
      <c r="FG253" s="401"/>
      <c r="FH253" s="321"/>
      <c r="FI253" s="322"/>
      <c r="FJ253" s="302" t="e">
        <f t="shared" si="1540"/>
        <v>#DIV/0!</v>
      </c>
      <c r="FK253" s="353"/>
      <c r="FL253" s="353"/>
      <c r="FM253" s="353"/>
      <c r="FN253" s="395"/>
      <c r="FO253" s="395"/>
      <c r="FP253" s="353"/>
      <c r="FQ253" s="353"/>
      <c r="FR253" s="353"/>
      <c r="FS253" s="395"/>
      <c r="FT253" s="395"/>
      <c r="FU253" s="395"/>
      <c r="FV253" s="360"/>
      <c r="FW253" s="360">
        <f t="shared" si="1239"/>
        <v>0</v>
      </c>
      <c r="FX253" s="310"/>
      <c r="FY253" s="310"/>
      <c r="FZ253" s="310"/>
      <c r="GA253" s="401"/>
      <c r="GB253" s="401"/>
      <c r="GC253" s="310"/>
      <c r="GD253" s="310"/>
      <c r="GE253" s="310"/>
      <c r="GF253" s="401"/>
      <c r="GG253" s="401"/>
      <c r="GH253" s="401"/>
      <c r="GI253" s="321"/>
      <c r="GJ253" s="339"/>
      <c r="GK253" s="303">
        <f t="shared" si="1215"/>
        <v>0.995</v>
      </c>
    </row>
    <row r="254" spans="2:193" s="37" customFormat="1" ht="15.6" customHeight="1" x14ac:dyDescent="0.25">
      <c r="B254" s="29"/>
      <c r="C254" s="30">
        <v>1</v>
      </c>
      <c r="D254" s="30"/>
      <c r="E254" s="493">
        <v>212</v>
      </c>
      <c r="F254" s="29"/>
      <c r="G254" s="30">
        <v>1</v>
      </c>
      <c r="H254" s="30">
        <v>1</v>
      </c>
      <c r="I254" s="493"/>
      <c r="J254" s="494"/>
      <c r="K254" s="494"/>
      <c r="L254" s="53"/>
      <c r="M254" s="493">
        <v>183</v>
      </c>
      <c r="N254" s="494" t="s">
        <v>70</v>
      </c>
      <c r="O254" s="494"/>
      <c r="P254" s="494">
        <f t="shared" si="1236"/>
        <v>0</v>
      </c>
      <c r="Q254" s="494"/>
      <c r="R254" s="494"/>
      <c r="S254" s="494" t="s">
        <v>614</v>
      </c>
      <c r="T254" s="156">
        <v>4</v>
      </c>
      <c r="U254" s="493">
        <v>3</v>
      </c>
      <c r="V254" s="2">
        <f t="shared" si="1216"/>
        <v>45675.733999999997</v>
      </c>
      <c r="W254" s="236">
        <v>1275</v>
      </c>
      <c r="X254" s="198">
        <f t="shared" si="1481"/>
        <v>11604.2</v>
      </c>
      <c r="Y254" s="198">
        <v>3656.1</v>
      </c>
      <c r="Z254" s="198">
        <v>7948.1</v>
      </c>
      <c r="AA254" s="198">
        <v>32796.534</v>
      </c>
      <c r="AB254" s="567">
        <f t="shared" si="1521"/>
        <v>45675.733999999997</v>
      </c>
      <c r="AC254" s="577">
        <v>1275</v>
      </c>
      <c r="AD254" s="568">
        <f t="shared" si="1482"/>
        <v>11604.2</v>
      </c>
      <c r="AE254" s="568">
        <v>3656.1</v>
      </c>
      <c r="AF254" s="568">
        <v>7948.1</v>
      </c>
      <c r="AG254" s="568">
        <v>32796.534</v>
      </c>
      <c r="AH254" s="570"/>
      <c r="AI254" s="567"/>
      <c r="AJ254" s="570"/>
      <c r="AK254" s="568"/>
      <c r="AL254" s="568"/>
      <c r="AM254" s="570"/>
      <c r="AN254" s="567"/>
      <c r="AO254" s="570"/>
      <c r="AP254" s="568"/>
      <c r="AQ254" s="568"/>
      <c r="AR254" s="570"/>
      <c r="AS254" s="567"/>
      <c r="AT254" s="570"/>
      <c r="AU254" s="568"/>
      <c r="AV254" s="568"/>
      <c r="AW254" s="570"/>
      <c r="AX254" s="409" t="s">
        <v>725</v>
      </c>
      <c r="AY254" s="567">
        <f t="shared" si="1522"/>
        <v>45675.733590000003</v>
      </c>
      <c r="AZ254" s="573">
        <f>4274.99982-3000</f>
        <v>1274.99982</v>
      </c>
      <c r="BA254" s="568">
        <f t="shared" si="1523"/>
        <v>11604.2</v>
      </c>
      <c r="BB254" s="568">
        <v>3656.1</v>
      </c>
      <c r="BC254" s="568">
        <v>7948.1</v>
      </c>
      <c r="BD254" s="568">
        <v>32796.533770000002</v>
      </c>
      <c r="BE254" s="570"/>
      <c r="BF254" s="567">
        <f t="shared" si="1217"/>
        <v>4.0999999782798113E-4</v>
      </c>
      <c r="BG254" s="567">
        <f t="shared" si="1218"/>
        <v>1.8000000000029104E-4</v>
      </c>
      <c r="BH254" s="567">
        <f t="shared" si="1219"/>
        <v>0</v>
      </c>
      <c r="BI254" s="567">
        <f t="shared" si="1220"/>
        <v>0</v>
      </c>
      <c r="BJ254" s="567">
        <f t="shared" si="1221"/>
        <v>0</v>
      </c>
      <c r="BK254" s="567">
        <f t="shared" si="1222"/>
        <v>2.2999999782769009E-4</v>
      </c>
      <c r="BL254" s="567" t="e">
        <f>#REF!-BE254</f>
        <v>#REF!</v>
      </c>
      <c r="BM254" s="567">
        <f t="shared" si="1524"/>
        <v>4137.7</v>
      </c>
      <c r="BN254" s="573"/>
      <c r="BO254" s="568">
        <f>1500+2637.7</f>
        <v>4137.7</v>
      </c>
      <c r="BP254" s="568"/>
      <c r="BQ254" s="570"/>
      <c r="BR254" s="567">
        <f t="shared" si="1525"/>
        <v>0</v>
      </c>
      <c r="BS254" s="573"/>
      <c r="BT254" s="568"/>
      <c r="BU254" s="568"/>
      <c r="BV254" s="570"/>
      <c r="BW254" s="567">
        <f t="shared" si="1526"/>
        <v>43266.580799999996</v>
      </c>
      <c r="BX254" s="573">
        <f>4274.99982-3000</f>
        <v>1274.99982</v>
      </c>
      <c r="BY254" s="568">
        <f t="shared" si="1223"/>
        <v>10932.39919</v>
      </c>
      <c r="BZ254" s="578">
        <v>2984.5367200000001</v>
      </c>
      <c r="CA254" s="578">
        <f>2441.24616+5506.61631</f>
        <v>7947.86247</v>
      </c>
      <c r="CB254" s="577">
        <f>6741.04522+15711.13453+8607.00204</f>
        <v>31059.181789999999</v>
      </c>
      <c r="CC254" s="577"/>
      <c r="CD254" s="567">
        <f t="shared" si="1527"/>
        <v>43266.580799999996</v>
      </c>
      <c r="CE254" s="573">
        <f>4274.99982-3000</f>
        <v>1274.99982</v>
      </c>
      <c r="CF254" s="568">
        <f t="shared" si="1224"/>
        <v>10932.39919</v>
      </c>
      <c r="CG254" s="578">
        <v>2984.5367200000001</v>
      </c>
      <c r="CH254" s="578">
        <f>2441.24616+5506.61631</f>
        <v>7947.86247</v>
      </c>
      <c r="CI254" s="577">
        <f>6741.04522+15711.13453+8607.00204</f>
        <v>31059.181789999999</v>
      </c>
      <c r="CJ254" s="577"/>
      <c r="CK254" s="573">
        <f t="shared" si="1528"/>
        <v>4932.3483100000003</v>
      </c>
      <c r="CL254" s="573">
        <v>95.967730000000003</v>
      </c>
      <c r="CM254" s="573">
        <v>1764.59337</v>
      </c>
      <c r="CN254" s="573"/>
      <c r="CO254" s="573"/>
      <c r="CP254" s="573">
        <v>3071.78721</v>
      </c>
      <c r="CQ254" s="573"/>
      <c r="CR254" s="573">
        <f t="shared" si="1529"/>
        <v>48198.929109999997</v>
      </c>
      <c r="CS254" s="567">
        <f t="shared" si="1226"/>
        <v>48198.929109999997</v>
      </c>
      <c r="CT254" s="567">
        <f t="shared" si="1227"/>
        <v>1370.9675500000001</v>
      </c>
      <c r="CU254" s="567">
        <f t="shared" si="1228"/>
        <v>12696.992560000001</v>
      </c>
      <c r="CV254" s="567">
        <f t="shared" si="1229"/>
        <v>34130.968999999997</v>
      </c>
      <c r="CW254" s="567">
        <f t="shared" si="1530"/>
        <v>0</v>
      </c>
      <c r="CX254" s="567">
        <f t="shared" ca="1" si="1339"/>
        <v>0</v>
      </c>
      <c r="CY254" s="567">
        <f t="shared" si="1230"/>
        <v>0</v>
      </c>
      <c r="CZ254" s="567">
        <f t="shared" si="1231"/>
        <v>0</v>
      </c>
      <c r="DA254" s="567">
        <f t="shared" si="1232"/>
        <v>0</v>
      </c>
      <c r="DB254" s="2">
        <f t="shared" si="1531"/>
        <v>0</v>
      </c>
      <c r="DC254" s="76"/>
      <c r="DD254" s="253"/>
      <c r="DE254" s="253"/>
      <c r="DF254" s="2">
        <f t="shared" si="1532"/>
        <v>0</v>
      </c>
      <c r="DG254" s="23"/>
      <c r="DH254" s="198"/>
      <c r="DI254" s="198"/>
      <c r="DJ254" s="234"/>
      <c r="DK254" s="2">
        <f t="shared" si="1533"/>
        <v>0</v>
      </c>
      <c r="DL254" s="23"/>
      <c r="DM254" s="198"/>
      <c r="DN254" s="198"/>
      <c r="DO254" s="234"/>
      <c r="DP254" s="2">
        <f t="shared" si="1534"/>
        <v>0</v>
      </c>
      <c r="DQ254" s="2">
        <f t="shared" si="1541"/>
        <v>0</v>
      </c>
      <c r="DR254" s="2">
        <f t="shared" si="1541"/>
        <v>0</v>
      </c>
      <c r="DS254" s="2">
        <f t="shared" si="1541"/>
        <v>0</v>
      </c>
      <c r="DT254" s="2">
        <f t="shared" si="1541"/>
        <v>0</v>
      </c>
      <c r="DU254" s="23"/>
      <c r="DV254" s="23"/>
      <c r="DW254" s="195"/>
      <c r="DX254" s="23">
        <f t="shared" ca="1" si="1535"/>
        <v>0</v>
      </c>
      <c r="DY254" s="46"/>
      <c r="DZ254" s="2">
        <f t="shared" si="1536"/>
        <v>43266.580799999996</v>
      </c>
      <c r="EA254" s="2">
        <f t="shared" si="1537"/>
        <v>43266.580799999996</v>
      </c>
      <c r="EB254" s="46"/>
      <c r="EC254" s="23"/>
      <c r="ED254" s="23"/>
      <c r="EE254" s="46"/>
      <c r="EF254" s="23"/>
      <c r="EG254" s="46"/>
      <c r="EH254" s="46"/>
      <c r="EI254" s="23">
        <f t="shared" si="1496"/>
        <v>43266.580799999996</v>
      </c>
      <c r="EJ254" s="23">
        <f>4274.99982-3000</f>
        <v>1274.99982</v>
      </c>
      <c r="EK254" s="198">
        <f t="shared" si="1233"/>
        <v>10932.39919</v>
      </c>
      <c r="EL254" s="433">
        <v>2984.5367200000001</v>
      </c>
      <c r="EM254" s="433">
        <f>2441.24616+5506.61631</f>
        <v>7947.86247</v>
      </c>
      <c r="EN254" s="236">
        <f>6741.04522+15711.13453+8607.00204</f>
        <v>31059.181789999999</v>
      </c>
      <c r="EO254" s="236"/>
      <c r="EP254" s="23">
        <f t="shared" si="1234"/>
        <v>4932.3483100000003</v>
      </c>
      <c r="EQ254" s="23">
        <v>95.967730000000003</v>
      </c>
      <c r="ER254" s="23">
        <v>1764.59337</v>
      </c>
      <c r="ES254" s="23">
        <v>443.99484000000001</v>
      </c>
      <c r="ET254" s="23">
        <f>405.63184+914.96669</f>
        <v>1320.59853</v>
      </c>
      <c r="EU254" s="23">
        <v>3071.78721</v>
      </c>
      <c r="EV254" s="143"/>
      <c r="EW254" s="322"/>
      <c r="EX254" s="322"/>
      <c r="EY254" s="322"/>
      <c r="EZ254" s="401"/>
      <c r="FA254" s="401"/>
      <c r="FB254" s="322"/>
      <c r="FC254" s="322"/>
      <c r="FD254" s="322"/>
      <c r="FE254" s="401"/>
      <c r="FF254" s="401"/>
      <c r="FG254" s="401"/>
      <c r="FH254" s="321"/>
      <c r="FI254" s="322"/>
      <c r="FJ254" s="302" t="e">
        <f t="shared" si="1540"/>
        <v>#DIV/0!</v>
      </c>
      <c r="FK254" s="360">
        <f t="shared" si="1237"/>
        <v>11604.2</v>
      </c>
      <c r="FL254" s="360">
        <f t="shared" ref="FL254:FL260" si="1577">BA254</f>
        <v>11604.2</v>
      </c>
      <c r="FM254" s="360"/>
      <c r="FN254" s="395">
        <f t="shared" si="1542"/>
        <v>1</v>
      </c>
      <c r="FO254" s="395">
        <f t="shared" si="1543"/>
        <v>0</v>
      </c>
      <c r="FP254" s="360">
        <f t="shared" si="1238"/>
        <v>12696.992560000001</v>
      </c>
      <c r="FQ254" s="360">
        <f t="shared" si="1544"/>
        <v>10932.39919</v>
      </c>
      <c r="FR254" s="360">
        <f t="shared" si="1545"/>
        <v>1764.59337</v>
      </c>
      <c r="FS254" s="395">
        <f t="shared" si="1546"/>
        <v>0.86102272946437008</v>
      </c>
      <c r="FT254" s="395">
        <f t="shared" si="1547"/>
        <v>0.13897727053562989</v>
      </c>
      <c r="FU254" s="395"/>
      <c r="FV254" s="360">
        <f t="shared" si="1548"/>
        <v>12696.992560000001</v>
      </c>
      <c r="FW254" s="360">
        <f t="shared" si="1239"/>
        <v>-1764.5933700000005</v>
      </c>
      <c r="FX254" s="322"/>
      <c r="FY254" s="322"/>
      <c r="FZ254" s="322"/>
      <c r="GA254" s="401"/>
      <c r="GB254" s="401"/>
      <c r="GC254" s="322"/>
      <c r="GD254" s="322"/>
      <c r="GE254" s="322"/>
      <c r="GF254" s="401"/>
      <c r="GG254" s="401"/>
      <c r="GH254" s="401"/>
      <c r="GI254" s="321"/>
      <c r="GJ254" s="339"/>
      <c r="GK254" s="303">
        <f t="shared" si="1215"/>
        <v>0.94725529314974988</v>
      </c>
    </row>
    <row r="255" spans="2:193" s="37" customFormat="1" ht="15.75" customHeight="1" x14ac:dyDescent="0.25">
      <c r="B255" s="29"/>
      <c r="C255" s="30"/>
      <c r="D255" s="30">
        <v>1</v>
      </c>
      <c r="E255" s="493">
        <v>213</v>
      </c>
      <c r="F255" s="29"/>
      <c r="G255" s="30"/>
      <c r="H255" s="30">
        <v>1</v>
      </c>
      <c r="I255" s="493"/>
      <c r="J255" s="494"/>
      <c r="K255" s="494"/>
      <c r="L255" s="53"/>
      <c r="M255" s="493">
        <v>184</v>
      </c>
      <c r="N255" s="494" t="s">
        <v>154</v>
      </c>
      <c r="O255" s="494"/>
      <c r="P255" s="469">
        <f t="shared" si="1236"/>
        <v>0</v>
      </c>
      <c r="Q255" s="494" t="s">
        <v>705</v>
      </c>
      <c r="R255" s="469" t="s">
        <v>699</v>
      </c>
      <c r="S255" s="494" t="s">
        <v>642</v>
      </c>
      <c r="T255" s="156">
        <v>2</v>
      </c>
      <c r="U255" s="493"/>
      <c r="V255" s="2">
        <f t="shared" si="1216"/>
        <v>2099.4</v>
      </c>
      <c r="W255" s="23"/>
      <c r="X255" s="198">
        <f t="shared" si="1481"/>
        <v>2099.4</v>
      </c>
      <c r="Y255" s="198">
        <v>661.5</v>
      </c>
      <c r="Z255" s="198">
        <v>1437.9</v>
      </c>
      <c r="AA255" s="198"/>
      <c r="AB255" s="567">
        <f t="shared" si="1521"/>
        <v>2099.4</v>
      </c>
      <c r="AC255" s="573"/>
      <c r="AD255" s="568">
        <f t="shared" si="1482"/>
        <v>2099.4</v>
      </c>
      <c r="AE255" s="568">
        <v>661.5</v>
      </c>
      <c r="AF255" s="568">
        <v>1437.9</v>
      </c>
      <c r="AG255" s="568"/>
      <c r="AH255" s="568"/>
      <c r="AI255" s="567"/>
      <c r="AJ255" s="573"/>
      <c r="AK255" s="568"/>
      <c r="AL255" s="568"/>
      <c r="AM255" s="568"/>
      <c r="AN255" s="567"/>
      <c r="AO255" s="573"/>
      <c r="AP255" s="568"/>
      <c r="AQ255" s="568"/>
      <c r="AR255" s="568"/>
      <c r="AS255" s="567"/>
      <c r="AT255" s="573"/>
      <c r="AU255" s="568"/>
      <c r="AV255" s="568"/>
      <c r="AW255" s="568"/>
      <c r="AX255" s="409" t="s">
        <v>489</v>
      </c>
      <c r="AY255" s="567">
        <f t="shared" si="1522"/>
        <v>2099.3991000000001</v>
      </c>
      <c r="AZ255" s="573"/>
      <c r="BA255" s="568">
        <f t="shared" si="1523"/>
        <v>2099.3991000000001</v>
      </c>
      <c r="BB255" s="568">
        <f>661.5-0.0009</f>
        <v>661.4991</v>
      </c>
      <c r="BC255" s="568">
        <f>1437.8991+0.0009</f>
        <v>1437.9</v>
      </c>
      <c r="BD255" s="578"/>
      <c r="BE255" s="568"/>
      <c r="BF255" s="573">
        <f t="shared" si="1217"/>
        <v>9.0000000000145519E-4</v>
      </c>
      <c r="BG255" s="567">
        <f t="shared" si="1218"/>
        <v>0</v>
      </c>
      <c r="BH255" s="567">
        <f t="shared" si="1219"/>
        <v>9.0000000000145519E-4</v>
      </c>
      <c r="BI255" s="567">
        <f t="shared" si="1220"/>
        <v>9.0000000000145519E-4</v>
      </c>
      <c r="BJ255" s="567">
        <f t="shared" si="1221"/>
        <v>0</v>
      </c>
      <c r="BK255" s="567">
        <f t="shared" si="1222"/>
        <v>0</v>
      </c>
      <c r="BL255" s="567" t="e">
        <f>#REF!-BE255</f>
        <v>#REF!</v>
      </c>
      <c r="BM255" s="567">
        <f t="shared" si="1524"/>
        <v>839.5</v>
      </c>
      <c r="BN255" s="573"/>
      <c r="BO255" s="568">
        <v>839.5</v>
      </c>
      <c r="BP255" s="607"/>
      <c r="BQ255" s="568"/>
      <c r="BR255" s="567">
        <f t="shared" si="1525"/>
        <v>0</v>
      </c>
      <c r="BS255" s="573"/>
      <c r="BT255" s="568"/>
      <c r="BU255" s="607"/>
      <c r="BV255" s="568"/>
      <c r="BW255" s="567">
        <f t="shared" si="1526"/>
        <v>2099.3991000000001</v>
      </c>
      <c r="BX255" s="573"/>
      <c r="BY255" s="578">
        <f t="shared" si="1223"/>
        <v>2099.3991000000001</v>
      </c>
      <c r="BZ255" s="608">
        <f>661.5-0.0009</f>
        <v>661.4991</v>
      </c>
      <c r="CA255" s="608">
        <f>714.52343+723.37567+0.0009</f>
        <v>1437.9</v>
      </c>
      <c r="CB255" s="609"/>
      <c r="CC255" s="577"/>
      <c r="CD255" s="573">
        <f t="shared" si="1527"/>
        <v>2099.3991000000001</v>
      </c>
      <c r="CE255" s="573"/>
      <c r="CF255" s="578">
        <f t="shared" si="1224"/>
        <v>2099.3991000000001</v>
      </c>
      <c r="CG255" s="608">
        <f>661.5-0.0009</f>
        <v>661.4991</v>
      </c>
      <c r="CH255" s="608">
        <f>714.52343+723.37567+0.0009</f>
        <v>1437.9</v>
      </c>
      <c r="CI255" s="609"/>
      <c r="CJ255" s="577"/>
      <c r="CK255" s="573">
        <f t="shared" si="1528"/>
        <v>313.85989999999998</v>
      </c>
      <c r="CL255" s="573"/>
      <c r="CM255" s="568">
        <v>313.85989999999998</v>
      </c>
      <c r="CN255" s="607"/>
      <c r="CO255" s="607"/>
      <c r="CP255" s="568"/>
      <c r="CQ255" s="568"/>
      <c r="CR255" s="573">
        <f t="shared" si="1529"/>
        <v>2413.259</v>
      </c>
      <c r="CS255" s="567">
        <f t="shared" si="1226"/>
        <v>2413.259</v>
      </c>
      <c r="CT255" s="567">
        <f t="shared" si="1227"/>
        <v>0</v>
      </c>
      <c r="CU255" s="567">
        <f t="shared" si="1228"/>
        <v>2413.259</v>
      </c>
      <c r="CV255" s="567">
        <f t="shared" si="1229"/>
        <v>0</v>
      </c>
      <c r="CW255" s="567">
        <f t="shared" si="1530"/>
        <v>0</v>
      </c>
      <c r="CX255" s="567">
        <f t="shared" ca="1" si="1339"/>
        <v>0</v>
      </c>
      <c r="CY255" s="567">
        <f t="shared" si="1230"/>
        <v>0</v>
      </c>
      <c r="CZ255" s="567">
        <f t="shared" si="1231"/>
        <v>0</v>
      </c>
      <c r="DA255" s="567">
        <f t="shared" si="1232"/>
        <v>0</v>
      </c>
      <c r="DB255" s="2">
        <f t="shared" si="1531"/>
        <v>0</v>
      </c>
      <c r="DC255" s="76"/>
      <c r="DD255" s="256"/>
      <c r="DE255" s="256"/>
      <c r="DF255" s="2">
        <f t="shared" si="1532"/>
        <v>0</v>
      </c>
      <c r="DG255" s="23"/>
      <c r="DH255" s="198"/>
      <c r="DI255" s="45"/>
      <c r="DJ255" s="198"/>
      <c r="DK255" s="2">
        <f t="shared" si="1533"/>
        <v>0</v>
      </c>
      <c r="DL255" s="23"/>
      <c r="DM255" s="198"/>
      <c r="DN255" s="45"/>
      <c r="DO255" s="198"/>
      <c r="DP255" s="2">
        <f t="shared" si="1534"/>
        <v>0</v>
      </c>
      <c r="DQ255" s="2">
        <f t="shared" si="1541"/>
        <v>0</v>
      </c>
      <c r="DR255" s="2">
        <f t="shared" si="1541"/>
        <v>0</v>
      </c>
      <c r="DS255" s="2">
        <f t="shared" si="1541"/>
        <v>0</v>
      </c>
      <c r="DT255" s="2">
        <f t="shared" si="1541"/>
        <v>0</v>
      </c>
      <c r="DU255" s="45"/>
      <c r="DV255" s="45"/>
      <c r="DW255" s="45"/>
      <c r="DX255" s="23">
        <f t="shared" ca="1" si="1535"/>
        <v>0</v>
      </c>
      <c r="DY255" s="46"/>
      <c r="DZ255" s="2">
        <f t="shared" si="1536"/>
        <v>2099.3991000000001</v>
      </c>
      <c r="EA255" s="2">
        <f t="shared" si="1537"/>
        <v>2099.3991000000001</v>
      </c>
      <c r="EB255" s="46"/>
      <c r="EC255" s="23"/>
      <c r="ED255" s="23"/>
      <c r="EE255" s="46"/>
      <c r="EF255" s="23"/>
      <c r="EG255" s="46"/>
      <c r="EH255" s="46"/>
      <c r="EI255" s="23">
        <f t="shared" si="1496"/>
        <v>2099.3991000000001</v>
      </c>
      <c r="EJ255" s="23"/>
      <c r="EK255" s="433">
        <f t="shared" si="1233"/>
        <v>2099.3991000000001</v>
      </c>
      <c r="EL255" s="449">
        <f>661.5-0.0009</f>
        <v>661.4991</v>
      </c>
      <c r="EM255" s="449">
        <f>714.52343+723.37567+0.0009</f>
        <v>1437.9</v>
      </c>
      <c r="EN255" s="263"/>
      <c r="EO255" s="236"/>
      <c r="EP255" s="23">
        <f t="shared" si="1234"/>
        <v>313.85989999999998</v>
      </c>
      <c r="EQ255" s="23"/>
      <c r="ER255" s="198">
        <v>313.85989999999998</v>
      </c>
      <c r="ES255" s="198">
        <v>99</v>
      </c>
      <c r="ET255" s="198">
        <f>106.76857+108.09133</f>
        <v>214.85989999999998</v>
      </c>
      <c r="EU255" s="45"/>
      <c r="EV255" s="142"/>
      <c r="EW255" s="322"/>
      <c r="EX255" s="322"/>
      <c r="EY255" s="317"/>
      <c r="EZ255" s="402"/>
      <c r="FA255" s="402"/>
      <c r="FB255" s="322"/>
      <c r="FC255" s="322"/>
      <c r="FD255" s="317"/>
      <c r="FE255" s="402"/>
      <c r="FF255" s="402"/>
      <c r="FG255" s="402"/>
      <c r="FH255" s="323"/>
      <c r="FI255" s="312"/>
      <c r="FJ255" s="303" t="e">
        <f t="shared" si="1540"/>
        <v>#DIV/0!</v>
      </c>
      <c r="FK255" s="360">
        <f t="shared" si="1237"/>
        <v>2099.3991000000001</v>
      </c>
      <c r="FL255" s="360">
        <f t="shared" si="1577"/>
        <v>2099.3991000000001</v>
      </c>
      <c r="FM255" s="358"/>
      <c r="FN255" s="394">
        <f t="shared" si="1542"/>
        <v>1</v>
      </c>
      <c r="FO255" s="394">
        <f t="shared" si="1543"/>
        <v>0</v>
      </c>
      <c r="FP255" s="360">
        <f t="shared" si="1238"/>
        <v>2413.259</v>
      </c>
      <c r="FQ255" s="360">
        <f t="shared" si="1544"/>
        <v>2099.3991000000001</v>
      </c>
      <c r="FR255" s="358">
        <f t="shared" si="1545"/>
        <v>313.85989999999998</v>
      </c>
      <c r="FS255" s="394">
        <f t="shared" si="1546"/>
        <v>0.86994354936623053</v>
      </c>
      <c r="FT255" s="394">
        <f t="shared" si="1547"/>
        <v>0.1300564506337695</v>
      </c>
      <c r="FU255" s="394"/>
      <c r="FV255" s="354">
        <f t="shared" si="1548"/>
        <v>2413.259</v>
      </c>
      <c r="FW255" s="354">
        <f t="shared" si="1239"/>
        <v>-313.85989999999993</v>
      </c>
      <c r="FX255" s="322"/>
      <c r="FY255" s="322"/>
      <c r="FZ255" s="317"/>
      <c r="GA255" s="402"/>
      <c r="GB255" s="402"/>
      <c r="GC255" s="322"/>
      <c r="GD255" s="322"/>
      <c r="GE255" s="317"/>
      <c r="GF255" s="402"/>
      <c r="GG255" s="402"/>
      <c r="GH255" s="402"/>
      <c r="GI255" s="323"/>
      <c r="GJ255" s="456"/>
      <c r="GK255" s="303">
        <f t="shared" si="1215"/>
        <v>0.99999957130608741</v>
      </c>
    </row>
    <row r="256" spans="2:193" s="37" customFormat="1" ht="15.75" customHeight="1" x14ac:dyDescent="0.25">
      <c r="B256" s="29"/>
      <c r="C256" s="30">
        <v>1</v>
      </c>
      <c r="D256" s="30"/>
      <c r="E256" s="493">
        <v>214</v>
      </c>
      <c r="F256" s="29"/>
      <c r="G256" s="30">
        <v>1</v>
      </c>
      <c r="H256" s="30"/>
      <c r="I256" s="493"/>
      <c r="J256" s="494"/>
      <c r="K256" s="494"/>
      <c r="L256" s="53"/>
      <c r="M256" s="493">
        <v>185</v>
      </c>
      <c r="N256" s="494" t="s">
        <v>244</v>
      </c>
      <c r="O256" s="494" t="s">
        <v>338</v>
      </c>
      <c r="P256" s="494">
        <f t="shared" si="1236"/>
        <v>0</v>
      </c>
      <c r="Q256" s="494"/>
      <c r="R256" s="494"/>
      <c r="S256" s="494" t="s">
        <v>558</v>
      </c>
      <c r="T256" s="156">
        <v>2</v>
      </c>
      <c r="U256" s="493"/>
      <c r="V256" s="2">
        <f t="shared" si="1216"/>
        <v>6227.8</v>
      </c>
      <c r="W256" s="23"/>
      <c r="X256" s="198">
        <f t="shared" si="1481"/>
        <v>6227.8</v>
      </c>
      <c r="Y256" s="198">
        <v>1962.2</v>
      </c>
      <c r="Z256" s="198">
        <v>4265.6000000000004</v>
      </c>
      <c r="AA256" s="198"/>
      <c r="AB256" s="567">
        <f t="shared" si="1521"/>
        <v>6227.8</v>
      </c>
      <c r="AC256" s="573"/>
      <c r="AD256" s="568">
        <f t="shared" si="1482"/>
        <v>6227.8</v>
      </c>
      <c r="AE256" s="568">
        <v>1962.2</v>
      </c>
      <c r="AF256" s="568">
        <v>4265.6000000000004</v>
      </c>
      <c r="AG256" s="568"/>
      <c r="AH256" s="570"/>
      <c r="AI256" s="567"/>
      <c r="AJ256" s="573"/>
      <c r="AK256" s="568"/>
      <c r="AL256" s="568"/>
      <c r="AM256" s="570"/>
      <c r="AN256" s="567"/>
      <c r="AO256" s="573"/>
      <c r="AP256" s="568"/>
      <c r="AQ256" s="568"/>
      <c r="AR256" s="570"/>
      <c r="AS256" s="567"/>
      <c r="AT256" s="573"/>
      <c r="AU256" s="568"/>
      <c r="AV256" s="568"/>
      <c r="AW256" s="570"/>
      <c r="AX256" s="409" t="s">
        <v>427</v>
      </c>
      <c r="AY256" s="567">
        <f t="shared" si="1522"/>
        <v>6127.9057200000007</v>
      </c>
      <c r="AZ256" s="573"/>
      <c r="BA256" s="568">
        <f t="shared" si="1523"/>
        <v>6127.9057200000007</v>
      </c>
      <c r="BB256" s="568">
        <f>1962.2-99.89428</f>
        <v>1862.3057200000001</v>
      </c>
      <c r="BC256" s="568">
        <f>4165.70572+99.89428</f>
        <v>4265.6000000000004</v>
      </c>
      <c r="BD256" s="578"/>
      <c r="BE256" s="607"/>
      <c r="BF256" s="573">
        <f t="shared" si="1217"/>
        <v>99.894279999999981</v>
      </c>
      <c r="BG256" s="567">
        <f t="shared" si="1218"/>
        <v>0</v>
      </c>
      <c r="BH256" s="567">
        <f t="shared" si="1219"/>
        <v>99.894279999999981</v>
      </c>
      <c r="BI256" s="567">
        <f t="shared" si="1220"/>
        <v>99.894279999999981</v>
      </c>
      <c r="BJ256" s="567">
        <f t="shared" si="1221"/>
        <v>0</v>
      </c>
      <c r="BK256" s="567">
        <f t="shared" si="1222"/>
        <v>0</v>
      </c>
      <c r="BL256" s="567" t="e">
        <f>#REF!-BE256</f>
        <v>#REF!</v>
      </c>
      <c r="BM256" s="573">
        <f t="shared" si="1524"/>
        <v>2010.2</v>
      </c>
      <c r="BN256" s="573"/>
      <c r="BO256" s="568">
        <v>2010.2</v>
      </c>
      <c r="BP256" s="607"/>
      <c r="BQ256" s="607"/>
      <c r="BR256" s="567">
        <f t="shared" si="1525"/>
        <v>0</v>
      </c>
      <c r="BS256" s="573"/>
      <c r="BT256" s="568"/>
      <c r="BU256" s="607"/>
      <c r="BV256" s="607"/>
      <c r="BW256" s="573">
        <f t="shared" si="1526"/>
        <v>6127.9057200000007</v>
      </c>
      <c r="BX256" s="573"/>
      <c r="BY256" s="568">
        <f t="shared" si="1223"/>
        <v>6127.9057200000007</v>
      </c>
      <c r="BZ256" s="578">
        <f>1962.2-99.89428</f>
        <v>1862.3057200000001</v>
      </c>
      <c r="CA256" s="608">
        <f>4165.70572+99.89428</f>
        <v>4265.6000000000004</v>
      </c>
      <c r="CB256" s="609"/>
      <c r="CC256" s="609"/>
      <c r="CD256" s="573">
        <f t="shared" si="1527"/>
        <v>6127.9057200000007</v>
      </c>
      <c r="CE256" s="573"/>
      <c r="CF256" s="568">
        <f t="shared" si="1224"/>
        <v>6127.9057200000007</v>
      </c>
      <c r="CG256" s="578">
        <f>1962.2-99.89428</f>
        <v>1862.3057200000001</v>
      </c>
      <c r="CH256" s="608">
        <f>4165.70572+99.89428</f>
        <v>4265.6000000000004</v>
      </c>
      <c r="CI256" s="609"/>
      <c r="CJ256" s="609"/>
      <c r="CK256" s="573">
        <f t="shared" si="1528"/>
        <v>757.58827999999994</v>
      </c>
      <c r="CL256" s="573"/>
      <c r="CM256" s="568">
        <f t="shared" si="1225"/>
        <v>757.58827999999994</v>
      </c>
      <c r="CN256" s="568">
        <v>395.35300000000001</v>
      </c>
      <c r="CO256" s="568">
        <v>362.23527999999999</v>
      </c>
      <c r="CP256" s="568"/>
      <c r="CQ256" s="568"/>
      <c r="CR256" s="573">
        <f t="shared" si="1529"/>
        <v>6885.4940000000006</v>
      </c>
      <c r="CS256" s="567">
        <f t="shared" si="1226"/>
        <v>6885.4940000000006</v>
      </c>
      <c r="CT256" s="567">
        <f t="shared" si="1227"/>
        <v>0</v>
      </c>
      <c r="CU256" s="567">
        <f t="shared" si="1228"/>
        <v>6885.4940000000006</v>
      </c>
      <c r="CV256" s="567">
        <f t="shared" si="1229"/>
        <v>0</v>
      </c>
      <c r="CW256" s="567">
        <f t="shared" si="1530"/>
        <v>0</v>
      </c>
      <c r="CX256" s="567">
        <f t="shared" ca="1" si="1339"/>
        <v>0</v>
      </c>
      <c r="CY256" s="567">
        <f t="shared" si="1230"/>
        <v>0</v>
      </c>
      <c r="CZ256" s="567">
        <f t="shared" si="1231"/>
        <v>0</v>
      </c>
      <c r="DA256" s="567">
        <f t="shared" si="1232"/>
        <v>0</v>
      </c>
      <c r="DB256" s="2">
        <f t="shared" si="1531"/>
        <v>0</v>
      </c>
      <c r="DC256" s="76"/>
      <c r="DD256" s="256"/>
      <c r="DE256" s="256"/>
      <c r="DF256" s="2">
        <f t="shared" si="1532"/>
        <v>0</v>
      </c>
      <c r="DG256" s="23"/>
      <c r="DH256" s="198"/>
      <c r="DI256" s="45"/>
      <c r="DJ256" s="45"/>
      <c r="DK256" s="2">
        <f t="shared" si="1533"/>
        <v>0</v>
      </c>
      <c r="DL256" s="23"/>
      <c r="DM256" s="198"/>
      <c r="DN256" s="45"/>
      <c r="DO256" s="45"/>
      <c r="DP256" s="23">
        <f t="shared" si="1534"/>
        <v>0</v>
      </c>
      <c r="DQ256" s="2">
        <f t="shared" si="1541"/>
        <v>0</v>
      </c>
      <c r="DR256" s="2">
        <f t="shared" si="1541"/>
        <v>0</v>
      </c>
      <c r="DS256" s="2">
        <f t="shared" si="1541"/>
        <v>0</v>
      </c>
      <c r="DT256" s="2">
        <f t="shared" si="1541"/>
        <v>0</v>
      </c>
      <c r="DU256" s="45"/>
      <c r="DV256" s="45"/>
      <c r="DW256" s="45"/>
      <c r="DX256" s="23">
        <f t="shared" ca="1" si="1535"/>
        <v>0</v>
      </c>
      <c r="DY256" s="46"/>
      <c r="DZ256" s="2">
        <f t="shared" si="1536"/>
        <v>6127.9057200000007</v>
      </c>
      <c r="EA256" s="2">
        <f t="shared" si="1537"/>
        <v>6127.9057200000007</v>
      </c>
      <c r="EB256" s="46"/>
      <c r="EC256" s="23"/>
      <c r="ED256" s="23"/>
      <c r="EE256" s="46"/>
      <c r="EF256" s="23"/>
      <c r="EG256" s="46"/>
      <c r="EH256" s="46"/>
      <c r="EI256" s="23">
        <f t="shared" si="1496"/>
        <v>6127.9057200000007</v>
      </c>
      <c r="EJ256" s="23"/>
      <c r="EK256" s="198">
        <f t="shared" si="1233"/>
        <v>6127.9057200000007</v>
      </c>
      <c r="EL256" s="433">
        <f>1962.2-99.89428</f>
        <v>1862.3057200000001</v>
      </c>
      <c r="EM256" s="449">
        <f>4165.70572+99.89428</f>
        <v>4265.6000000000004</v>
      </c>
      <c r="EN256" s="263"/>
      <c r="EO256" s="236"/>
      <c r="EP256" s="23">
        <f t="shared" si="1234"/>
        <v>757.58827999999994</v>
      </c>
      <c r="EQ256" s="23"/>
      <c r="ER256" s="198">
        <f t="shared" si="1235"/>
        <v>757.58827999999994</v>
      </c>
      <c r="ES256" s="198">
        <v>395.35300000000001</v>
      </c>
      <c r="ET256" s="198">
        <v>362.23527999999999</v>
      </c>
      <c r="EU256" s="45"/>
      <c r="EV256" s="142"/>
      <c r="EW256" s="322"/>
      <c r="EX256" s="322"/>
      <c r="EY256" s="317"/>
      <c r="EZ256" s="402"/>
      <c r="FA256" s="402"/>
      <c r="FB256" s="322"/>
      <c r="FC256" s="322"/>
      <c r="FD256" s="317"/>
      <c r="FE256" s="402"/>
      <c r="FF256" s="402"/>
      <c r="FG256" s="402"/>
      <c r="FH256" s="323"/>
      <c r="FI256" s="312"/>
      <c r="FJ256" s="303" t="e">
        <f t="shared" si="1540"/>
        <v>#DIV/0!</v>
      </c>
      <c r="FK256" s="360">
        <f t="shared" si="1237"/>
        <v>6127.9057200000007</v>
      </c>
      <c r="FL256" s="360">
        <f t="shared" si="1577"/>
        <v>6127.9057200000007</v>
      </c>
      <c r="FM256" s="358"/>
      <c r="FN256" s="394">
        <f t="shared" si="1542"/>
        <v>1</v>
      </c>
      <c r="FO256" s="394">
        <f t="shared" si="1543"/>
        <v>0</v>
      </c>
      <c r="FP256" s="360">
        <f t="shared" si="1238"/>
        <v>6885.4940000000006</v>
      </c>
      <c r="FQ256" s="360">
        <f t="shared" si="1544"/>
        <v>6127.9057200000007</v>
      </c>
      <c r="FR256" s="358">
        <f t="shared" si="1545"/>
        <v>757.58827999999994</v>
      </c>
      <c r="FS256" s="394">
        <f t="shared" si="1546"/>
        <v>0.88997328586736113</v>
      </c>
      <c r="FT256" s="394">
        <f t="shared" si="1547"/>
        <v>0.11002671413263883</v>
      </c>
      <c r="FU256" s="394"/>
      <c r="FV256" s="354">
        <f t="shared" si="1548"/>
        <v>6885.4940000000006</v>
      </c>
      <c r="FW256" s="354">
        <f t="shared" si="1239"/>
        <v>-757.58827999999994</v>
      </c>
      <c r="FX256" s="322"/>
      <c r="FY256" s="322"/>
      <c r="FZ256" s="317"/>
      <c r="GA256" s="402"/>
      <c r="GB256" s="402"/>
      <c r="GC256" s="322"/>
      <c r="GD256" s="322"/>
      <c r="GE256" s="317"/>
      <c r="GF256" s="402"/>
      <c r="GG256" s="402"/>
      <c r="GH256" s="402"/>
      <c r="GI256" s="323"/>
      <c r="GJ256" s="456"/>
      <c r="GK256" s="303">
        <f t="shared" si="1215"/>
        <v>0.98395994091011285</v>
      </c>
    </row>
    <row r="257" spans="2:193" s="37" customFormat="1" ht="15.6" customHeight="1" x14ac:dyDescent="0.25">
      <c r="B257" s="29"/>
      <c r="C257" s="30"/>
      <c r="D257" s="30">
        <v>1</v>
      </c>
      <c r="E257" s="493">
        <v>215</v>
      </c>
      <c r="F257" s="29"/>
      <c r="G257" s="30"/>
      <c r="H257" s="30"/>
      <c r="I257" s="493"/>
      <c r="J257" s="494"/>
      <c r="K257" s="494"/>
      <c r="L257" s="53"/>
      <c r="M257" s="493">
        <v>186</v>
      </c>
      <c r="N257" s="494" t="s">
        <v>326</v>
      </c>
      <c r="O257" s="494"/>
      <c r="P257" s="494">
        <f t="shared" si="1236"/>
        <v>0</v>
      </c>
      <c r="Q257" s="494" t="s">
        <v>701</v>
      </c>
      <c r="R257" s="469" t="s">
        <v>699</v>
      </c>
      <c r="S257" s="494" t="s">
        <v>579</v>
      </c>
      <c r="T257" s="156">
        <v>3</v>
      </c>
      <c r="U257" s="493"/>
      <c r="V257" s="2">
        <f t="shared" si="1216"/>
        <v>4852.1189999999997</v>
      </c>
      <c r="W257" s="23"/>
      <c r="X257" s="198">
        <f t="shared" si="1481"/>
        <v>2060.8999999999996</v>
      </c>
      <c r="Y257" s="198">
        <v>649.29999999999995</v>
      </c>
      <c r="Z257" s="198">
        <v>1411.6</v>
      </c>
      <c r="AA257" s="198">
        <v>2791.2190000000001</v>
      </c>
      <c r="AB257" s="567">
        <f t="shared" si="1521"/>
        <v>4852.1189999999997</v>
      </c>
      <c r="AC257" s="573"/>
      <c r="AD257" s="568">
        <f t="shared" si="1482"/>
        <v>2060.8999999999996</v>
      </c>
      <c r="AE257" s="568">
        <v>649.29999999999995</v>
      </c>
      <c r="AF257" s="568">
        <v>1411.6</v>
      </c>
      <c r="AG257" s="568">
        <v>2791.2190000000001</v>
      </c>
      <c r="AH257" s="570"/>
      <c r="AI257" s="567"/>
      <c r="AJ257" s="573"/>
      <c r="AK257" s="568"/>
      <c r="AL257" s="568"/>
      <c r="AM257" s="570"/>
      <c r="AN257" s="567"/>
      <c r="AO257" s="573"/>
      <c r="AP257" s="568"/>
      <c r="AQ257" s="568"/>
      <c r="AR257" s="570"/>
      <c r="AS257" s="567"/>
      <c r="AT257" s="573"/>
      <c r="AU257" s="568"/>
      <c r="AV257" s="568"/>
      <c r="AW257" s="570"/>
      <c r="AX257" s="410" t="s">
        <v>437</v>
      </c>
      <c r="AY257" s="567">
        <f>AZ257+BA257+BD257+BE257</f>
        <v>4852.1189999999997</v>
      </c>
      <c r="AZ257" s="573"/>
      <c r="BA257" s="568">
        <f t="shared" si="1523"/>
        <v>2060.8999999999996</v>
      </c>
      <c r="BB257" s="568">
        <v>649.29999999999995</v>
      </c>
      <c r="BC257" s="568">
        <v>1411.6</v>
      </c>
      <c r="BD257" s="578">
        <v>2791.2190000000001</v>
      </c>
      <c r="BE257" s="568"/>
      <c r="BF257" s="573">
        <f t="shared" si="1217"/>
        <v>0</v>
      </c>
      <c r="BG257" s="567">
        <f t="shared" si="1218"/>
        <v>0</v>
      </c>
      <c r="BH257" s="567">
        <f t="shared" si="1219"/>
        <v>0</v>
      </c>
      <c r="BI257" s="567">
        <f t="shared" si="1220"/>
        <v>0</v>
      </c>
      <c r="BJ257" s="567">
        <f t="shared" si="1221"/>
        <v>0</v>
      </c>
      <c r="BK257" s="567">
        <f t="shared" si="1222"/>
        <v>0</v>
      </c>
      <c r="BL257" s="567" t="e">
        <f>#REF!-BE257</f>
        <v>#REF!</v>
      </c>
      <c r="BM257" s="567">
        <f t="shared" si="1524"/>
        <v>524.4</v>
      </c>
      <c r="BN257" s="573"/>
      <c r="BO257" s="568">
        <f>228+296.4</f>
        <v>524.4</v>
      </c>
      <c r="BP257" s="607"/>
      <c r="BQ257" s="568"/>
      <c r="BR257" s="567">
        <f t="shared" si="1525"/>
        <v>0</v>
      </c>
      <c r="BS257" s="573"/>
      <c r="BT257" s="568"/>
      <c r="BU257" s="607"/>
      <c r="BV257" s="568"/>
      <c r="BW257" s="567">
        <f t="shared" si="1526"/>
        <v>4792.3049099999998</v>
      </c>
      <c r="BX257" s="573"/>
      <c r="BY257" s="568">
        <f t="shared" si="1223"/>
        <v>2057.6534999999999</v>
      </c>
      <c r="BZ257" s="608">
        <v>646.05349999999999</v>
      </c>
      <c r="CA257" s="608">
        <v>1411.6</v>
      </c>
      <c r="CB257" s="609">
        <v>2734.6514099999999</v>
      </c>
      <c r="CC257" s="577"/>
      <c r="CD257" s="573">
        <f t="shared" si="1527"/>
        <v>4792.3049099999998</v>
      </c>
      <c r="CE257" s="573"/>
      <c r="CF257" s="568">
        <f t="shared" si="1224"/>
        <v>2057.6534999999999</v>
      </c>
      <c r="CG257" s="608">
        <v>646.05349999999999</v>
      </c>
      <c r="CH257" s="608">
        <v>1411.6</v>
      </c>
      <c r="CI257" s="609">
        <v>2734.6514099999999</v>
      </c>
      <c r="CJ257" s="577"/>
      <c r="CK257" s="573">
        <f t="shared" si="1528"/>
        <v>4625.2859200000003</v>
      </c>
      <c r="CL257" s="573"/>
      <c r="CM257" s="568">
        <v>3508.3152</v>
      </c>
      <c r="CN257" s="607">
        <v>2396.39788</v>
      </c>
      <c r="CO257" s="607"/>
      <c r="CP257" s="577">
        <v>1116.97072</v>
      </c>
      <c r="CQ257" s="568"/>
      <c r="CR257" s="573">
        <f t="shared" si="1529"/>
        <v>9417.5908299999992</v>
      </c>
      <c r="CS257" s="567">
        <f t="shared" si="1226"/>
        <v>9417.5908299999992</v>
      </c>
      <c r="CT257" s="567">
        <f t="shared" si="1227"/>
        <v>0</v>
      </c>
      <c r="CU257" s="567">
        <f t="shared" si="1228"/>
        <v>5565.9686999999994</v>
      </c>
      <c r="CV257" s="567">
        <f t="shared" si="1229"/>
        <v>3851.6221299999997</v>
      </c>
      <c r="CW257" s="567">
        <f t="shared" si="1530"/>
        <v>0</v>
      </c>
      <c r="CX257" s="567">
        <f t="shared" ca="1" si="1339"/>
        <v>0</v>
      </c>
      <c r="CY257" s="567">
        <f t="shared" si="1230"/>
        <v>0</v>
      </c>
      <c r="CZ257" s="567">
        <f t="shared" si="1231"/>
        <v>0</v>
      </c>
      <c r="DA257" s="567">
        <f t="shared" si="1232"/>
        <v>0</v>
      </c>
      <c r="DB257" s="2">
        <f t="shared" si="1531"/>
        <v>0</v>
      </c>
      <c r="DC257" s="76"/>
      <c r="DD257" s="256"/>
      <c r="DE257" s="256"/>
      <c r="DF257" s="2">
        <f t="shared" si="1532"/>
        <v>0</v>
      </c>
      <c r="DG257" s="23"/>
      <c r="DH257" s="198"/>
      <c r="DI257" s="45"/>
      <c r="DJ257" s="198"/>
      <c r="DK257" s="2">
        <f t="shared" si="1533"/>
        <v>0</v>
      </c>
      <c r="DL257" s="23"/>
      <c r="DM257" s="198"/>
      <c r="DN257" s="45"/>
      <c r="DO257" s="198"/>
      <c r="DP257" s="23">
        <f t="shared" si="1534"/>
        <v>0</v>
      </c>
      <c r="DQ257" s="2">
        <f t="shared" si="1541"/>
        <v>0</v>
      </c>
      <c r="DR257" s="2">
        <f t="shared" si="1541"/>
        <v>0</v>
      </c>
      <c r="DS257" s="2">
        <f t="shared" si="1541"/>
        <v>0</v>
      </c>
      <c r="DT257" s="2">
        <f t="shared" si="1541"/>
        <v>0</v>
      </c>
      <c r="DU257" s="45"/>
      <c r="DV257" s="45"/>
      <c r="DW257" s="45"/>
      <c r="DX257" s="23">
        <f t="shared" ca="1" si="1535"/>
        <v>0</v>
      </c>
      <c r="DY257" s="46"/>
      <c r="DZ257" s="2">
        <f t="shared" si="1536"/>
        <v>4792.3049099999998</v>
      </c>
      <c r="EA257" s="2">
        <f t="shared" si="1537"/>
        <v>4792.3049099999998</v>
      </c>
      <c r="EB257" s="46"/>
      <c r="EC257" s="23"/>
      <c r="ED257" s="23"/>
      <c r="EE257" s="46"/>
      <c r="EF257" s="23"/>
      <c r="EG257" s="46"/>
      <c r="EH257" s="46"/>
      <c r="EI257" s="23">
        <f t="shared" si="1496"/>
        <v>4792.3049099999998</v>
      </c>
      <c r="EJ257" s="23"/>
      <c r="EK257" s="198">
        <f t="shared" si="1233"/>
        <v>2057.6534999999999</v>
      </c>
      <c r="EL257" s="449">
        <v>646.05349999999999</v>
      </c>
      <c r="EM257" s="449">
        <v>1411.6</v>
      </c>
      <c r="EN257" s="263">
        <v>2734.6514099999999</v>
      </c>
      <c r="EO257" s="236"/>
      <c r="EP257" s="23">
        <f t="shared" si="1234"/>
        <v>4625.2859200000003</v>
      </c>
      <c r="EQ257" s="23"/>
      <c r="ER257" s="198">
        <v>3508.3152</v>
      </c>
      <c r="ES257" s="45">
        <v>2396.39788</v>
      </c>
      <c r="ET257" s="45">
        <v>1111.91732</v>
      </c>
      <c r="EU257" s="263">
        <v>1116.97072</v>
      </c>
      <c r="EV257" s="142"/>
      <c r="EW257" s="322"/>
      <c r="EX257" s="322"/>
      <c r="EY257" s="317"/>
      <c r="EZ257" s="557"/>
      <c r="FA257" s="557"/>
      <c r="FB257" s="322"/>
      <c r="FC257" s="322"/>
      <c r="FD257" s="317"/>
      <c r="FE257" s="557"/>
      <c r="FF257" s="557"/>
      <c r="FG257" s="557"/>
      <c r="FH257" s="558"/>
      <c r="FI257" s="456"/>
      <c r="FJ257" s="559" t="e">
        <f t="shared" si="1540"/>
        <v>#DIV/0!</v>
      </c>
      <c r="FK257" s="360">
        <f t="shared" si="1237"/>
        <v>2060.8999999999996</v>
      </c>
      <c r="FL257" s="360">
        <f t="shared" si="1577"/>
        <v>2060.8999999999996</v>
      </c>
      <c r="FM257" s="358"/>
      <c r="FN257" s="560">
        <f t="shared" si="1542"/>
        <v>1</v>
      </c>
      <c r="FO257" s="560">
        <f t="shared" si="1543"/>
        <v>0</v>
      </c>
      <c r="FP257" s="360">
        <f t="shared" si="1238"/>
        <v>5565.9686999999994</v>
      </c>
      <c r="FQ257" s="360">
        <f t="shared" si="1544"/>
        <v>2057.6534999999999</v>
      </c>
      <c r="FR257" s="358">
        <f t="shared" si="1545"/>
        <v>3508.3152</v>
      </c>
      <c r="FS257" s="560">
        <f t="shared" si="1546"/>
        <v>0.36968470555718363</v>
      </c>
      <c r="FT257" s="560">
        <f t="shared" si="1547"/>
        <v>0.63031529444281642</v>
      </c>
      <c r="FU257" s="560"/>
      <c r="FV257" s="526">
        <f t="shared" si="1548"/>
        <v>5565.9686999999994</v>
      </c>
      <c r="FW257" s="526">
        <f t="shared" si="1239"/>
        <v>-3508.3151999999995</v>
      </c>
      <c r="FX257" s="322">
        <f t="shared" ref="FX257" si="1578">FY257+FZ257</f>
        <v>2791.2190000000001</v>
      </c>
      <c r="FY257" s="322">
        <f>BD257</f>
        <v>2791.2190000000001</v>
      </c>
      <c r="FZ257" s="317"/>
      <c r="GA257" s="557">
        <f t="shared" ref="GA257" si="1579">FY257/FX257</f>
        <v>1</v>
      </c>
      <c r="GB257" s="557">
        <f t="shared" ref="GB257" si="1580">FZ257/FX257</f>
        <v>0</v>
      </c>
      <c r="GC257" s="322">
        <f t="shared" si="1298"/>
        <v>3851.6221299999997</v>
      </c>
      <c r="GD257" s="322">
        <f t="shared" si="1343"/>
        <v>2734.6514099999999</v>
      </c>
      <c r="GE257" s="317">
        <f t="shared" si="1344"/>
        <v>1116.97072</v>
      </c>
      <c r="GF257" s="557">
        <f t="shared" ref="GF257" si="1581">GD257/GC257</f>
        <v>0.70999992151358837</v>
      </c>
      <c r="GG257" s="557">
        <f t="shared" ref="GG257" si="1582">GE257/GC257</f>
        <v>0.29000007848641168</v>
      </c>
      <c r="GH257" s="557"/>
      <c r="GI257" s="558">
        <f t="shared" si="1495"/>
        <v>3851.6221299999997</v>
      </c>
      <c r="GJ257" s="456">
        <f t="shared" si="1299"/>
        <v>-1116.9707199999998</v>
      </c>
      <c r="GK257" s="303">
        <f t="shared" si="1215"/>
        <v>0.98767258387521006</v>
      </c>
    </row>
    <row r="258" spans="2:193" s="37" customFormat="1" ht="15.6" customHeight="1" x14ac:dyDescent="0.25">
      <c r="B258" s="29"/>
      <c r="C258" s="30">
        <v>1</v>
      </c>
      <c r="D258" s="30"/>
      <c r="E258" s="493">
        <v>216</v>
      </c>
      <c r="F258" s="29"/>
      <c r="G258" s="30">
        <v>1</v>
      </c>
      <c r="H258" s="30">
        <v>1</v>
      </c>
      <c r="I258" s="493"/>
      <c r="J258" s="494"/>
      <c r="K258" s="494"/>
      <c r="L258" s="53"/>
      <c r="M258" s="493">
        <v>187</v>
      </c>
      <c r="N258" s="494" t="s">
        <v>71</v>
      </c>
      <c r="O258" s="494"/>
      <c r="P258" s="494">
        <f t="shared" si="1236"/>
        <v>0</v>
      </c>
      <c r="Q258" s="494"/>
      <c r="R258" s="494"/>
      <c r="S258" s="494" t="s">
        <v>526</v>
      </c>
      <c r="T258" s="156">
        <v>3</v>
      </c>
      <c r="U258" s="493"/>
      <c r="V258" s="2">
        <f t="shared" si="1216"/>
        <v>5050.7699999999995</v>
      </c>
      <c r="W258" s="23"/>
      <c r="X258" s="198">
        <f t="shared" si="1481"/>
        <v>1043.3</v>
      </c>
      <c r="Y258" s="198">
        <v>328.7</v>
      </c>
      <c r="Z258" s="198">
        <v>714.6</v>
      </c>
      <c r="AA258" s="198">
        <v>4007.47</v>
      </c>
      <c r="AB258" s="567">
        <f t="shared" si="1521"/>
        <v>5050.7699999999995</v>
      </c>
      <c r="AC258" s="573"/>
      <c r="AD258" s="568">
        <f t="shared" si="1482"/>
        <v>1043.3</v>
      </c>
      <c r="AE258" s="568">
        <v>328.7</v>
      </c>
      <c r="AF258" s="568">
        <v>714.6</v>
      </c>
      <c r="AG258" s="568">
        <v>4007.47</v>
      </c>
      <c r="AH258" s="570"/>
      <c r="AI258" s="567"/>
      <c r="AJ258" s="573"/>
      <c r="AK258" s="568"/>
      <c r="AL258" s="568"/>
      <c r="AM258" s="570"/>
      <c r="AN258" s="567"/>
      <c r="AO258" s="573"/>
      <c r="AP258" s="568"/>
      <c r="AQ258" s="568"/>
      <c r="AR258" s="570"/>
      <c r="AS258" s="567"/>
      <c r="AT258" s="573"/>
      <c r="AU258" s="568"/>
      <c r="AV258" s="568"/>
      <c r="AW258" s="570"/>
      <c r="AX258" s="410" t="s">
        <v>398</v>
      </c>
      <c r="AY258" s="567">
        <f>AZ258+BA258+BD258+BE258</f>
        <v>4970.3704200000002</v>
      </c>
      <c r="AZ258" s="573"/>
      <c r="BA258" s="568">
        <f t="shared" si="1523"/>
        <v>1043.3</v>
      </c>
      <c r="BB258" s="568">
        <v>328.7</v>
      </c>
      <c r="BC258" s="568">
        <v>714.6</v>
      </c>
      <c r="BD258" s="578">
        <v>3927.07042</v>
      </c>
      <c r="BE258" s="568"/>
      <c r="BF258" s="573">
        <f t="shared" si="1217"/>
        <v>80.399579999999787</v>
      </c>
      <c r="BG258" s="567">
        <f t="shared" si="1218"/>
        <v>0</v>
      </c>
      <c r="BH258" s="567">
        <f t="shared" si="1219"/>
        <v>0</v>
      </c>
      <c r="BI258" s="567">
        <f t="shared" si="1220"/>
        <v>0</v>
      </c>
      <c r="BJ258" s="567">
        <f t="shared" si="1221"/>
        <v>0</v>
      </c>
      <c r="BK258" s="567">
        <f t="shared" si="1222"/>
        <v>80.399579999999787</v>
      </c>
      <c r="BL258" s="567" t="e">
        <f>#REF!-BE258</f>
        <v>#REF!</v>
      </c>
      <c r="BM258" s="567">
        <f t="shared" si="1524"/>
        <v>338.1</v>
      </c>
      <c r="BN258" s="573"/>
      <c r="BO258" s="568">
        <f>142+196.1</f>
        <v>338.1</v>
      </c>
      <c r="BP258" s="607"/>
      <c r="BQ258" s="568"/>
      <c r="BR258" s="567">
        <f t="shared" si="1525"/>
        <v>0</v>
      </c>
      <c r="BS258" s="573"/>
      <c r="BT258" s="568"/>
      <c r="BU258" s="607"/>
      <c r="BV258" s="568"/>
      <c r="BW258" s="567">
        <f t="shared" si="1526"/>
        <v>4126.0502699999997</v>
      </c>
      <c r="BX258" s="573"/>
      <c r="BY258" s="568">
        <f t="shared" si="1223"/>
        <v>1043.3</v>
      </c>
      <c r="BZ258" s="578">
        <v>328.7</v>
      </c>
      <c r="CA258" s="578">
        <v>714.6</v>
      </c>
      <c r="CB258" s="609">
        <v>3082.75027</v>
      </c>
      <c r="CC258" s="577"/>
      <c r="CD258" s="573">
        <f t="shared" si="1527"/>
        <v>4126.0502699999997</v>
      </c>
      <c r="CE258" s="573"/>
      <c r="CF258" s="568">
        <f t="shared" si="1224"/>
        <v>1043.3</v>
      </c>
      <c r="CG258" s="578">
        <v>328.7</v>
      </c>
      <c r="CH258" s="578">
        <v>714.6</v>
      </c>
      <c r="CI258" s="609">
        <v>3082.75027</v>
      </c>
      <c r="CJ258" s="577"/>
      <c r="CK258" s="573">
        <f t="shared" si="1528"/>
        <v>574.83118999999999</v>
      </c>
      <c r="CL258" s="573"/>
      <c r="CM258" s="568">
        <f t="shared" si="1225"/>
        <v>269.94378999999998</v>
      </c>
      <c r="CN258" s="568">
        <v>70.474249999999998</v>
      </c>
      <c r="CO258" s="568">
        <v>199.46953999999999</v>
      </c>
      <c r="CP258" s="568">
        <v>304.88740000000001</v>
      </c>
      <c r="CQ258" s="568"/>
      <c r="CR258" s="573">
        <f t="shared" si="1529"/>
        <v>4700.8814600000005</v>
      </c>
      <c r="CS258" s="567">
        <f t="shared" si="1226"/>
        <v>4700.8814600000005</v>
      </c>
      <c r="CT258" s="567">
        <f t="shared" si="1227"/>
        <v>0</v>
      </c>
      <c r="CU258" s="567">
        <f t="shared" si="1228"/>
        <v>1313.24379</v>
      </c>
      <c r="CV258" s="567">
        <f t="shared" si="1229"/>
        <v>3387.6376700000001</v>
      </c>
      <c r="CW258" s="567">
        <f t="shared" si="1530"/>
        <v>0</v>
      </c>
      <c r="CX258" s="567">
        <f t="shared" ca="1" si="1339"/>
        <v>0</v>
      </c>
      <c r="CY258" s="567">
        <f t="shared" si="1230"/>
        <v>0</v>
      </c>
      <c r="CZ258" s="567">
        <f t="shared" si="1231"/>
        <v>0</v>
      </c>
      <c r="DA258" s="567">
        <f t="shared" si="1232"/>
        <v>0</v>
      </c>
      <c r="DB258" s="2">
        <f t="shared" si="1531"/>
        <v>0</v>
      </c>
      <c r="DC258" s="76"/>
      <c r="DD258" s="256"/>
      <c r="DE258" s="256"/>
      <c r="DF258" s="2">
        <f t="shared" si="1532"/>
        <v>0</v>
      </c>
      <c r="DG258" s="23"/>
      <c r="DH258" s="198"/>
      <c r="DI258" s="45"/>
      <c r="DJ258" s="198"/>
      <c r="DK258" s="2">
        <f t="shared" si="1533"/>
        <v>0</v>
      </c>
      <c r="DL258" s="23"/>
      <c r="DM258" s="198"/>
      <c r="DN258" s="45"/>
      <c r="DO258" s="198"/>
      <c r="DP258" s="23">
        <f t="shared" si="1534"/>
        <v>0</v>
      </c>
      <c r="DQ258" s="2">
        <f t="shared" si="1541"/>
        <v>0</v>
      </c>
      <c r="DR258" s="2">
        <f t="shared" si="1541"/>
        <v>0</v>
      </c>
      <c r="DS258" s="2">
        <f t="shared" si="1541"/>
        <v>0</v>
      </c>
      <c r="DT258" s="2">
        <f t="shared" si="1541"/>
        <v>0</v>
      </c>
      <c r="DU258" s="45"/>
      <c r="DV258" s="45"/>
      <c r="DW258" s="45"/>
      <c r="DX258" s="23">
        <f t="shared" ca="1" si="1535"/>
        <v>0</v>
      </c>
      <c r="DY258" s="46"/>
      <c r="DZ258" s="2">
        <f t="shared" si="1536"/>
        <v>4126.0502699999997</v>
      </c>
      <c r="EA258" s="2">
        <f t="shared" si="1537"/>
        <v>4126.0502699999997</v>
      </c>
      <c r="EB258" s="46"/>
      <c r="EC258" s="23"/>
      <c r="ED258" s="23"/>
      <c r="EE258" s="46"/>
      <c r="EF258" s="23"/>
      <c r="EG258" s="46"/>
      <c r="EH258" s="46"/>
      <c r="EI258" s="23">
        <f t="shared" si="1496"/>
        <v>4126.0502699999997</v>
      </c>
      <c r="EJ258" s="23"/>
      <c r="EK258" s="198">
        <f t="shared" si="1233"/>
        <v>1043.3</v>
      </c>
      <c r="EL258" s="433">
        <v>328.7</v>
      </c>
      <c r="EM258" s="433">
        <v>714.6</v>
      </c>
      <c r="EN258" s="263">
        <v>3082.75027</v>
      </c>
      <c r="EO258" s="236"/>
      <c r="EP258" s="23">
        <f t="shared" si="1234"/>
        <v>574.83118999999999</v>
      </c>
      <c r="EQ258" s="23"/>
      <c r="ER258" s="198">
        <f t="shared" si="1235"/>
        <v>269.94378999999998</v>
      </c>
      <c r="ES258" s="198">
        <v>70.474249999999998</v>
      </c>
      <c r="ET258" s="198">
        <v>199.46953999999999</v>
      </c>
      <c r="EU258" s="198">
        <v>304.88740000000001</v>
      </c>
      <c r="EV258" s="142"/>
      <c r="EW258" s="322"/>
      <c r="EX258" s="322"/>
      <c r="EY258" s="317"/>
      <c r="EZ258" s="402"/>
      <c r="FA258" s="402"/>
      <c r="FB258" s="322"/>
      <c r="FC258" s="322"/>
      <c r="FD258" s="317"/>
      <c r="FE258" s="402"/>
      <c r="FF258" s="402"/>
      <c r="FG258" s="402"/>
      <c r="FH258" s="323"/>
      <c r="FI258" s="312"/>
      <c r="FJ258" s="303" t="e">
        <f t="shared" si="1540"/>
        <v>#DIV/0!</v>
      </c>
      <c r="FK258" s="360">
        <f t="shared" si="1237"/>
        <v>1043.3</v>
      </c>
      <c r="FL258" s="360">
        <f t="shared" si="1577"/>
        <v>1043.3</v>
      </c>
      <c r="FM258" s="358"/>
      <c r="FN258" s="394">
        <f t="shared" si="1542"/>
        <v>1</v>
      </c>
      <c r="FO258" s="394">
        <f t="shared" si="1543"/>
        <v>0</v>
      </c>
      <c r="FP258" s="360">
        <f t="shared" si="1238"/>
        <v>1313.24379</v>
      </c>
      <c r="FQ258" s="360">
        <f t="shared" si="1544"/>
        <v>1043.3</v>
      </c>
      <c r="FR258" s="358">
        <f t="shared" si="1545"/>
        <v>269.94378999999998</v>
      </c>
      <c r="FS258" s="394">
        <f t="shared" si="1546"/>
        <v>0.79444502836750519</v>
      </c>
      <c r="FT258" s="394">
        <f t="shared" si="1547"/>
        <v>0.20555497163249481</v>
      </c>
      <c r="FU258" s="394"/>
      <c r="FV258" s="354">
        <f t="shared" si="1548"/>
        <v>1313.24379</v>
      </c>
      <c r="FW258" s="354">
        <f t="shared" si="1239"/>
        <v>-269.94379000000004</v>
      </c>
      <c r="FX258" s="322"/>
      <c r="FY258" s="322"/>
      <c r="FZ258" s="317"/>
      <c r="GA258" s="402"/>
      <c r="GB258" s="402"/>
      <c r="GC258" s="322"/>
      <c r="GD258" s="322"/>
      <c r="GE258" s="317"/>
      <c r="GF258" s="402"/>
      <c r="GG258" s="402"/>
      <c r="GH258" s="402"/>
      <c r="GI258" s="323"/>
      <c r="GJ258" s="456"/>
      <c r="GK258" s="303">
        <f t="shared" si="1215"/>
        <v>0.81691509809395402</v>
      </c>
    </row>
    <row r="259" spans="2:193" s="37" customFormat="1" ht="15.75" customHeight="1" x14ac:dyDescent="0.25">
      <c r="B259" s="29"/>
      <c r="C259" s="30"/>
      <c r="D259" s="30">
        <v>1</v>
      </c>
      <c r="E259" s="493">
        <v>217</v>
      </c>
      <c r="F259" s="29"/>
      <c r="G259" s="30"/>
      <c r="H259" s="30">
        <v>1</v>
      </c>
      <c r="I259" s="493"/>
      <c r="J259" s="494"/>
      <c r="K259" s="494"/>
      <c r="L259" s="53"/>
      <c r="M259" s="493">
        <v>188</v>
      </c>
      <c r="N259" s="494" t="s">
        <v>155</v>
      </c>
      <c r="O259" s="494"/>
      <c r="P259" s="469">
        <f t="shared" si="1236"/>
        <v>0</v>
      </c>
      <c r="Q259" s="494" t="s">
        <v>701</v>
      </c>
      <c r="R259" s="494" t="s">
        <v>699</v>
      </c>
      <c r="S259" s="494" t="s">
        <v>633</v>
      </c>
      <c r="T259" s="156">
        <v>2</v>
      </c>
      <c r="U259" s="493">
        <v>1</v>
      </c>
      <c r="V259" s="2">
        <f t="shared" si="1216"/>
        <v>2323.4</v>
      </c>
      <c r="W259" s="23"/>
      <c r="X259" s="198">
        <f t="shared" si="1481"/>
        <v>2323.4</v>
      </c>
      <c r="Y259" s="198">
        <v>732</v>
      </c>
      <c r="Z259" s="198">
        <v>1591.4</v>
      </c>
      <c r="AA259" s="198"/>
      <c r="AB259" s="567">
        <f t="shared" si="1521"/>
        <v>2323.4</v>
      </c>
      <c r="AC259" s="573"/>
      <c r="AD259" s="568">
        <f t="shared" si="1482"/>
        <v>2323.4</v>
      </c>
      <c r="AE259" s="568">
        <v>732</v>
      </c>
      <c r="AF259" s="568">
        <v>1591.4</v>
      </c>
      <c r="AG259" s="568"/>
      <c r="AH259" s="570"/>
      <c r="AI259" s="567"/>
      <c r="AJ259" s="573"/>
      <c r="AK259" s="568"/>
      <c r="AL259" s="568"/>
      <c r="AM259" s="570"/>
      <c r="AN259" s="567"/>
      <c r="AO259" s="573"/>
      <c r="AP259" s="568"/>
      <c r="AQ259" s="568"/>
      <c r="AR259" s="570"/>
      <c r="AS259" s="567"/>
      <c r="AT259" s="573"/>
      <c r="AU259" s="568"/>
      <c r="AV259" s="568"/>
      <c r="AW259" s="570"/>
      <c r="AX259" s="409" t="s">
        <v>686</v>
      </c>
      <c r="AY259" s="567">
        <f t="shared" si="1522"/>
        <v>2323.4</v>
      </c>
      <c r="AZ259" s="573"/>
      <c r="BA259" s="568">
        <f t="shared" si="1523"/>
        <v>2323.4</v>
      </c>
      <c r="BB259" s="568">
        <f>708.16876+23.83124</f>
        <v>732</v>
      </c>
      <c r="BC259" s="568">
        <v>1591.4</v>
      </c>
      <c r="BD259" s="568"/>
      <c r="BE259" s="570"/>
      <c r="BF259" s="573">
        <f t="shared" si="1217"/>
        <v>0</v>
      </c>
      <c r="BG259" s="567">
        <f t="shared" si="1218"/>
        <v>0</v>
      </c>
      <c r="BH259" s="567">
        <f t="shared" si="1219"/>
        <v>0</v>
      </c>
      <c r="BI259" s="567">
        <f t="shared" si="1220"/>
        <v>0</v>
      </c>
      <c r="BJ259" s="567">
        <f t="shared" si="1221"/>
        <v>0</v>
      </c>
      <c r="BK259" s="567">
        <f t="shared" si="1222"/>
        <v>0</v>
      </c>
      <c r="BL259" s="567" t="e">
        <f>#REF!-BE259</f>
        <v>#REF!</v>
      </c>
      <c r="BM259" s="567">
        <f t="shared" si="1524"/>
        <v>671.6</v>
      </c>
      <c r="BN259" s="573"/>
      <c r="BO259" s="568">
        <f>292+379.6</f>
        <v>671.6</v>
      </c>
      <c r="BP259" s="568"/>
      <c r="BQ259" s="570"/>
      <c r="BR259" s="567">
        <f t="shared" si="1525"/>
        <v>0</v>
      </c>
      <c r="BS259" s="573"/>
      <c r="BT259" s="568"/>
      <c r="BU259" s="568"/>
      <c r="BV259" s="570"/>
      <c r="BW259" s="567">
        <f t="shared" si="1526"/>
        <v>2209.4015100000001</v>
      </c>
      <c r="BX259" s="573"/>
      <c r="BY259" s="568">
        <f t="shared" si="1223"/>
        <v>2209.4015100000001</v>
      </c>
      <c r="BZ259" s="578">
        <f>594.17027+23.83124</f>
        <v>618.00150999999994</v>
      </c>
      <c r="CA259" s="578">
        <v>1591.4</v>
      </c>
      <c r="CB259" s="577"/>
      <c r="CC259" s="577"/>
      <c r="CD259" s="567">
        <f t="shared" si="1527"/>
        <v>2209.4015100000001</v>
      </c>
      <c r="CE259" s="573"/>
      <c r="CF259" s="568">
        <f t="shared" si="1224"/>
        <v>2209.4015100000001</v>
      </c>
      <c r="CG259" s="578">
        <f>594.17027+23.83124</f>
        <v>618.00150999999994</v>
      </c>
      <c r="CH259" s="578">
        <v>1591.4</v>
      </c>
      <c r="CI259" s="577"/>
      <c r="CJ259" s="577"/>
      <c r="CK259" s="573">
        <f t="shared" si="1528"/>
        <v>714.12559999999996</v>
      </c>
      <c r="CL259" s="573"/>
      <c r="CM259" s="568">
        <v>714.12559999999996</v>
      </c>
      <c r="CN259" s="568">
        <f>187.63272</f>
        <v>187.63272000000001</v>
      </c>
      <c r="CO259" s="607"/>
      <c r="CP259" s="568"/>
      <c r="CQ259" s="568"/>
      <c r="CR259" s="573">
        <f t="shared" si="1529"/>
        <v>2923.52711</v>
      </c>
      <c r="CS259" s="567">
        <f t="shared" si="1226"/>
        <v>2923.52711</v>
      </c>
      <c r="CT259" s="567">
        <f t="shared" si="1227"/>
        <v>0</v>
      </c>
      <c r="CU259" s="567">
        <f t="shared" si="1228"/>
        <v>2923.52711</v>
      </c>
      <c r="CV259" s="567">
        <f t="shared" si="1229"/>
        <v>0</v>
      </c>
      <c r="CW259" s="567">
        <f t="shared" si="1530"/>
        <v>0</v>
      </c>
      <c r="CX259" s="567">
        <f t="shared" ca="1" si="1339"/>
        <v>0</v>
      </c>
      <c r="CY259" s="567">
        <f t="shared" si="1230"/>
        <v>0</v>
      </c>
      <c r="CZ259" s="567">
        <f t="shared" si="1231"/>
        <v>0</v>
      </c>
      <c r="DA259" s="567">
        <f t="shared" si="1232"/>
        <v>0</v>
      </c>
      <c r="DB259" s="2">
        <f t="shared" si="1531"/>
        <v>0</v>
      </c>
      <c r="DC259" s="76"/>
      <c r="DD259" s="256"/>
      <c r="DE259" s="256"/>
      <c r="DF259" s="2">
        <f t="shared" si="1532"/>
        <v>0</v>
      </c>
      <c r="DG259" s="23"/>
      <c r="DH259" s="198"/>
      <c r="DI259" s="198"/>
      <c r="DJ259" s="234"/>
      <c r="DK259" s="2">
        <f t="shared" si="1533"/>
        <v>0</v>
      </c>
      <c r="DL259" s="23"/>
      <c r="DM259" s="198"/>
      <c r="DN259" s="198"/>
      <c r="DO259" s="234"/>
      <c r="DP259" s="23">
        <f t="shared" si="1534"/>
        <v>0</v>
      </c>
      <c r="DQ259" s="2">
        <f t="shared" si="1541"/>
        <v>0</v>
      </c>
      <c r="DR259" s="2">
        <f t="shared" si="1541"/>
        <v>0</v>
      </c>
      <c r="DS259" s="2">
        <f t="shared" si="1541"/>
        <v>0</v>
      </c>
      <c r="DT259" s="2">
        <f t="shared" si="1541"/>
        <v>0</v>
      </c>
      <c r="DU259" s="45"/>
      <c r="DV259" s="45"/>
      <c r="DW259" s="45"/>
      <c r="DX259" s="23">
        <f t="shared" ca="1" si="1535"/>
        <v>0</v>
      </c>
      <c r="DY259" s="46"/>
      <c r="DZ259" s="2">
        <f t="shared" si="1536"/>
        <v>2209.4015100000001</v>
      </c>
      <c r="EA259" s="2">
        <f t="shared" si="1537"/>
        <v>2209.4015100000001</v>
      </c>
      <c r="EB259" s="46"/>
      <c r="EC259" s="23"/>
      <c r="ED259" s="23"/>
      <c r="EE259" s="46"/>
      <c r="EF259" s="23"/>
      <c r="EG259" s="46"/>
      <c r="EH259" s="46"/>
      <c r="EI259" s="23">
        <f t="shared" si="1496"/>
        <v>2209.4015100000001</v>
      </c>
      <c r="EJ259" s="23"/>
      <c r="EK259" s="198">
        <f t="shared" si="1233"/>
        <v>2209.4015100000001</v>
      </c>
      <c r="EL259" s="433">
        <f>594.17027+23.83124</f>
        <v>618.00150999999994</v>
      </c>
      <c r="EM259" s="433">
        <v>1591.4</v>
      </c>
      <c r="EN259" s="236"/>
      <c r="EO259" s="236"/>
      <c r="EP259" s="2">
        <f t="shared" si="1234"/>
        <v>714.12559999999996</v>
      </c>
      <c r="EQ259" s="23"/>
      <c r="ER259" s="198">
        <v>714.12559999999996</v>
      </c>
      <c r="ES259" s="198">
        <f>187.63272+77.67</f>
        <v>265.30272000000002</v>
      </c>
      <c r="ET259" s="198">
        <f>20.76626+151.90966+22.16838+46.07214+51.13244+40.1313+194.3127-77.67</f>
        <v>448.82288</v>
      </c>
      <c r="EU259" s="45"/>
      <c r="EV259" s="142"/>
      <c r="EW259" s="310"/>
      <c r="EX259" s="322"/>
      <c r="EY259" s="317"/>
      <c r="EZ259" s="402"/>
      <c r="FA259" s="402"/>
      <c r="FB259" s="310"/>
      <c r="FC259" s="322"/>
      <c r="FD259" s="317"/>
      <c r="FE259" s="402"/>
      <c r="FF259" s="402"/>
      <c r="FG259" s="402"/>
      <c r="FH259" s="323"/>
      <c r="FI259" s="312"/>
      <c r="FJ259" s="303" t="e">
        <f t="shared" si="1540"/>
        <v>#DIV/0!</v>
      </c>
      <c r="FK259" s="353">
        <f t="shared" si="1237"/>
        <v>2323.4</v>
      </c>
      <c r="FL259" s="360">
        <f t="shared" si="1577"/>
        <v>2323.4</v>
      </c>
      <c r="FM259" s="358"/>
      <c r="FN259" s="394">
        <f t="shared" si="1542"/>
        <v>1</v>
      </c>
      <c r="FO259" s="394">
        <f t="shared" si="1543"/>
        <v>0</v>
      </c>
      <c r="FP259" s="353">
        <f t="shared" si="1238"/>
        <v>2923.52711</v>
      </c>
      <c r="FQ259" s="360">
        <f t="shared" si="1544"/>
        <v>2209.4015100000001</v>
      </c>
      <c r="FR259" s="358">
        <f t="shared" si="1545"/>
        <v>714.12559999999996</v>
      </c>
      <c r="FS259" s="394">
        <f t="shared" si="1546"/>
        <v>0.75573149379825666</v>
      </c>
      <c r="FT259" s="394">
        <f t="shared" si="1547"/>
        <v>0.2442685062017434</v>
      </c>
      <c r="FU259" s="394"/>
      <c r="FV259" s="354">
        <f t="shared" si="1548"/>
        <v>2923.52711</v>
      </c>
      <c r="FW259" s="354">
        <f t="shared" si="1239"/>
        <v>-714.12559999999985</v>
      </c>
      <c r="FX259" s="310"/>
      <c r="FY259" s="322"/>
      <c r="FZ259" s="317"/>
      <c r="GA259" s="402"/>
      <c r="GB259" s="402"/>
      <c r="GC259" s="310"/>
      <c r="GD259" s="322"/>
      <c r="GE259" s="317"/>
      <c r="GF259" s="402"/>
      <c r="GG259" s="402"/>
      <c r="GH259" s="402"/>
      <c r="GI259" s="323"/>
      <c r="GJ259" s="456"/>
      <c r="GK259" s="303">
        <f t="shared" si="1215"/>
        <v>0.95093462597916845</v>
      </c>
    </row>
    <row r="260" spans="2:193" s="115" customFormat="1" ht="15.75" customHeight="1" thickBot="1" x14ac:dyDescent="0.3">
      <c r="B260" s="118">
        <f>SUM(B8:B259)</f>
        <v>18</v>
      </c>
      <c r="C260" s="118">
        <f>SUM(C8:C259)</f>
        <v>60</v>
      </c>
      <c r="D260" s="118">
        <f>SUM(D8:D259)</f>
        <v>139</v>
      </c>
      <c r="E260" s="119"/>
      <c r="F260" s="118">
        <f>SUM(F8:F259)</f>
        <v>8</v>
      </c>
      <c r="G260" s="118">
        <f>SUM(G8:G259)</f>
        <v>53</v>
      </c>
      <c r="H260" s="118">
        <f>SUM(H8:H259)</f>
        <v>165</v>
      </c>
      <c r="I260" s="120"/>
      <c r="J260" s="121"/>
      <c r="K260" s="121"/>
      <c r="L260" s="116"/>
      <c r="M260" s="119"/>
      <c r="N260" s="114" t="s">
        <v>250</v>
      </c>
      <c r="O260" s="114"/>
      <c r="P260" s="114">
        <f t="shared" si="1236"/>
        <v>0.10000000009313226</v>
      </c>
      <c r="Q260" s="114"/>
      <c r="R260" s="114"/>
      <c r="S260" s="114"/>
      <c r="T260" s="158">
        <f t="shared" ref="T260:AH260" si="1583">T8+T10+T22+T41+T59+T81+T96+T116+T130+T139+T153+T161+T179+T197+T205+T222+T232+T244</f>
        <v>390</v>
      </c>
      <c r="U260" s="158">
        <f>U8+U10+U22+U41+U59+U81+U96+U116+U130+U139+U153+U161+U179+U197+U205+U222+U232+U244</f>
        <v>65</v>
      </c>
      <c r="V260" s="57">
        <f t="shared" si="1216"/>
        <v>1457353.3503399999</v>
      </c>
      <c r="W260" s="57">
        <f t="shared" ref="W260:AA260" si="1584">W8+W10+W22+W41+W59+W81+W96+W116+W130+W139+W153+W161+W179+W197+W205+W222+W232+W244</f>
        <v>185344.31854000001</v>
      </c>
      <c r="X260" s="57">
        <f t="shared" si="1584"/>
        <v>720855.7</v>
      </c>
      <c r="Y260" s="57">
        <f t="shared" si="1584"/>
        <v>228431.10000000003</v>
      </c>
      <c r="Z260" s="57">
        <f t="shared" si="1584"/>
        <v>492424.6</v>
      </c>
      <c r="AA260" s="57">
        <f t="shared" si="1584"/>
        <v>551153.33180000004</v>
      </c>
      <c r="AB260" s="564">
        <f>AB8+AB10+AB22+AB41+AB59+AB81+AB96+AB116+AB130+AB139+AB153+AB161+AB179+AB197+AB205+AB222+AB232+AB244-0.1</f>
        <v>1457353.2503399998</v>
      </c>
      <c r="AC260" s="564">
        <v>185344.3</v>
      </c>
      <c r="AD260" s="564">
        <f t="shared" si="1583"/>
        <v>720855.7</v>
      </c>
      <c r="AE260" s="564">
        <f t="shared" si="1583"/>
        <v>228431.10000000003</v>
      </c>
      <c r="AF260" s="564">
        <f t="shared" si="1583"/>
        <v>492424.6</v>
      </c>
      <c r="AG260" s="564">
        <f t="shared" si="1583"/>
        <v>551153.33180000004</v>
      </c>
      <c r="AH260" s="564">
        <f t="shared" si="1583"/>
        <v>0</v>
      </c>
      <c r="AI260" s="564">
        <f t="shared" ref="AI260:AM260" si="1585">AI8+AI10+AI22+AI41+AI59+AI81+AI96+AI116+AI130+AI139+AI153+AI161+AI179+AI197+AI205+AI222+AI232+AI244</f>
        <v>375074.23799999995</v>
      </c>
      <c r="AJ260" s="564">
        <f t="shared" si="1585"/>
        <v>96373.05799999999</v>
      </c>
      <c r="AK260" s="564">
        <f t="shared" si="1585"/>
        <v>102879</v>
      </c>
      <c r="AL260" s="564">
        <f t="shared" si="1585"/>
        <v>175822.18</v>
      </c>
      <c r="AM260" s="564">
        <f t="shared" si="1585"/>
        <v>0</v>
      </c>
      <c r="AN260" s="564">
        <f t="shared" ref="AN260:AR260" si="1586">AN8+AN10+AN22+AN41+AN59+AN81+AN96+AN116+AN130+AN139+AN153+AN161+AN179+AN197+AN205+AN222+AN232+AN244</f>
        <v>309603.4439999999</v>
      </c>
      <c r="AO260" s="564">
        <f t="shared" si="1586"/>
        <v>96373.05799999999</v>
      </c>
      <c r="AP260" s="564">
        <f t="shared" si="1586"/>
        <v>102879</v>
      </c>
      <c r="AQ260" s="564">
        <f t="shared" si="1586"/>
        <v>110351.386</v>
      </c>
      <c r="AR260" s="564">
        <f t="shared" si="1586"/>
        <v>0</v>
      </c>
      <c r="AS260" s="566">
        <f t="shared" ref="AS260:AW260" si="1587">AS8+AS10+AS22+AS41+AS59+AS81+AS96+AS116+AS130+AS139+AS153+AS161+AS179+AS197+AS205+AS222+AS232+AS244</f>
        <v>251454.44399999999</v>
      </c>
      <c r="AT260" s="564">
        <f t="shared" si="1587"/>
        <v>96373.05799999999</v>
      </c>
      <c r="AU260" s="564">
        <f t="shared" si="1587"/>
        <v>44730</v>
      </c>
      <c r="AV260" s="564">
        <f t="shared" si="1587"/>
        <v>110351.386</v>
      </c>
      <c r="AW260" s="564">
        <f t="shared" si="1587"/>
        <v>0</v>
      </c>
      <c r="AX260" s="610"/>
      <c r="AY260" s="564">
        <f>AZ260+BA260+BD260</f>
        <v>1450529.0882600001</v>
      </c>
      <c r="AZ260" s="564">
        <f t="shared" ref="AZ260:BD260" si="1588">AZ8+AZ10+AZ22+AZ41+AZ59+AZ81+AZ96+AZ116+AZ130+AZ139+AZ153+AZ161+AZ179+AZ197+AZ205+AZ222+AZ232+AZ244</f>
        <v>185344.31763999999</v>
      </c>
      <c r="BA260" s="564">
        <f t="shared" si="1588"/>
        <v>716239.26753999991</v>
      </c>
      <c r="BB260" s="564">
        <f t="shared" ref="BB260:BC260" si="1589">BB8+BB10+BB22+BB41+BB59+BB81+BB96+BB116+BB130+BB139+BB153+BB161+BB179+BB197+BB205+BB222+BB232+BB244</f>
        <v>223814.66754000002</v>
      </c>
      <c r="BC260" s="564">
        <f t="shared" si="1589"/>
        <v>492424.6</v>
      </c>
      <c r="BD260" s="564">
        <f t="shared" si="1588"/>
        <v>548945.50308000005</v>
      </c>
      <c r="BE260" s="564">
        <f>BE8+BE10+BE22+BE41+BE59+BE81+BE96+BE116+BE130+BE139+BE153+BE161+BE179+BE197+BE205+BE222+BE232+BE244</f>
        <v>0</v>
      </c>
      <c r="BF260" s="564">
        <f t="shared" si="1217"/>
        <v>6824.2435399999958</v>
      </c>
      <c r="BG260" s="564">
        <f t="shared" si="1218"/>
        <v>-1.764000000548549E-2</v>
      </c>
      <c r="BH260" s="564">
        <f t="shared" si="1219"/>
        <v>4616.4324600000109</v>
      </c>
      <c r="BI260" s="564">
        <f t="shared" si="1220"/>
        <v>4616.4324600000109</v>
      </c>
      <c r="BJ260" s="564">
        <f t="shared" si="1221"/>
        <v>0</v>
      </c>
      <c r="BK260" s="564">
        <f t="shared" si="1222"/>
        <v>2207.8287199999904</v>
      </c>
      <c r="BL260" s="564" t="e">
        <f t="shared" ref="BL260:CQ260" si="1590">BL8+BL10+BL22+BL41+BL59+BL81+BL96+BL116+BL130+BL139+BL153+BL161+BL179+BL197+BL205+BL222+BL232+BL244</f>
        <v>#REF!</v>
      </c>
      <c r="BM260" s="564">
        <f t="shared" si="1590"/>
        <v>642445.59033999988</v>
      </c>
      <c r="BN260" s="564">
        <f t="shared" si="1590"/>
        <v>163796.96234</v>
      </c>
      <c r="BO260" s="564">
        <f t="shared" si="1590"/>
        <v>223922.57699999999</v>
      </c>
      <c r="BP260" s="564">
        <f t="shared" si="1590"/>
        <v>254726.05100000004</v>
      </c>
      <c r="BQ260" s="564">
        <f t="shared" si="1590"/>
        <v>0</v>
      </c>
      <c r="BR260" s="564">
        <f t="shared" si="1590"/>
        <v>0</v>
      </c>
      <c r="BS260" s="564">
        <f t="shared" si="1590"/>
        <v>0</v>
      </c>
      <c r="BT260" s="564">
        <f t="shared" si="1590"/>
        <v>0</v>
      </c>
      <c r="BU260" s="564">
        <f t="shared" si="1590"/>
        <v>0</v>
      </c>
      <c r="BV260" s="564">
        <f t="shared" si="1590"/>
        <v>0</v>
      </c>
      <c r="BW260" s="564">
        <f t="shared" si="1590"/>
        <v>1342011.3527200003</v>
      </c>
      <c r="BX260" s="564">
        <f t="shared" si="1590"/>
        <v>166842.99281</v>
      </c>
      <c r="BY260" s="564">
        <f t="shared" si="1223"/>
        <v>654667.08874000004</v>
      </c>
      <c r="BZ260" s="564">
        <f t="shared" si="1590"/>
        <v>202012.05953000003</v>
      </c>
      <c r="CA260" s="564">
        <f t="shared" si="1590"/>
        <v>452655.02921000007</v>
      </c>
      <c r="CB260" s="564">
        <f t="shared" si="1590"/>
        <v>520501.27117000002</v>
      </c>
      <c r="CC260" s="564">
        <f t="shared" si="1590"/>
        <v>0</v>
      </c>
      <c r="CD260" s="564">
        <f>CD8+CD10+CD22+CD41+CD59+CD81+CD96+CD116+CD130+CD139+CD153+CD161+CD179+CD197+CD205+CD222+CD232+CD244-0.1</f>
        <v>1342011.2527200002</v>
      </c>
      <c r="CE260" s="564">
        <f t="shared" ref="CE260" si="1591">CE8+CE10+CE22+CE41+CE59+CE81+CE96+CE116+CE130+CE139+CE153+CE161+CE179+CE197+CE205+CE222+CE232+CE244</f>
        <v>166842.99281</v>
      </c>
      <c r="CF260" s="564">
        <f t="shared" si="1224"/>
        <v>654667.08874000004</v>
      </c>
      <c r="CG260" s="564">
        <f t="shared" ref="CG260:CH260" si="1592">CG8+CG10+CG22+CG41+CG59+CG81+CG96+CG116+CG130+CG139+CG153+CG161+CG179+CG197+CG205+CG222+CG232+CG244</f>
        <v>202012.05953000003</v>
      </c>
      <c r="CH260" s="564">
        <f t="shared" si="1592"/>
        <v>452655.02921000007</v>
      </c>
      <c r="CI260" s="564">
        <f>CI8+CI10+CI22+CI41+CI59+CI81+CI96+CI116+CI130+CI139+CI153+CI161+CI179+CI197+CI205+CI222+CI232+CI244-0.1</f>
        <v>520501.17117000005</v>
      </c>
      <c r="CJ260" s="564">
        <f t="shared" si="1590"/>
        <v>0</v>
      </c>
      <c r="CK260" s="566">
        <v>238908.79999999999</v>
      </c>
      <c r="CL260" s="564">
        <f t="shared" si="1590"/>
        <v>11836.477760000002</v>
      </c>
      <c r="CM260" s="564">
        <f t="shared" si="1590"/>
        <v>168059.98470999996</v>
      </c>
      <c r="CN260" s="564">
        <f t="shared" si="1590"/>
        <v>28695.317720000006</v>
      </c>
      <c r="CO260" s="564">
        <f t="shared" si="1590"/>
        <v>45806.000700000004</v>
      </c>
      <c r="CP260" s="564">
        <f t="shared" si="1590"/>
        <v>59012.272929999999</v>
      </c>
      <c r="CQ260" s="564">
        <f t="shared" si="1590"/>
        <v>0</v>
      </c>
      <c r="CR260" s="564"/>
      <c r="CS260" s="564">
        <f t="shared" si="1226"/>
        <v>1580919.9881200001</v>
      </c>
      <c r="CT260" s="564">
        <f t="shared" si="1227"/>
        <v>178679.47057</v>
      </c>
      <c r="CU260" s="564">
        <f t="shared" si="1228"/>
        <v>822727.07345000003</v>
      </c>
      <c r="CV260" s="564">
        <f t="shared" si="1229"/>
        <v>579513.44410000008</v>
      </c>
      <c r="CW260" s="564">
        <f t="shared" ref="CW260:DB260" si="1593">CW8+CW10+CW22+CW41+CW59+CW81+CW96+CW116+CW130+CW139+CW153+CW161+CW179+CW197+CW205+CW222+CW232+CW244</f>
        <v>0</v>
      </c>
      <c r="CX260" s="564">
        <f t="shared" ca="1" si="1339"/>
        <v>0</v>
      </c>
      <c r="CY260" s="564">
        <f t="shared" si="1230"/>
        <v>0</v>
      </c>
      <c r="CZ260" s="564">
        <f t="shared" si="1231"/>
        <v>0</v>
      </c>
      <c r="DA260" s="564">
        <f t="shared" si="1232"/>
        <v>9.9999999976716936E-2</v>
      </c>
      <c r="DB260" s="57">
        <f t="shared" si="1593"/>
        <v>0</v>
      </c>
      <c r="DC260" s="225"/>
      <c r="DD260" s="226">
        <f t="shared" ref="DD260:DX260" si="1594">DD8+DD10+DD22+DD41+DD59+DD81+DD96+DD116+DD130+DD139+DD153+DD161+DD179+DD197+DD205+DD222+DD232+DD244</f>
        <v>705003.46490000002</v>
      </c>
      <c r="DE260" s="226">
        <f t="shared" si="1594"/>
        <v>693110.76489999995</v>
      </c>
      <c r="DF260" s="57">
        <f t="shared" si="1594"/>
        <v>0</v>
      </c>
      <c r="DG260" s="57">
        <f t="shared" si="1594"/>
        <v>0</v>
      </c>
      <c r="DH260" s="57">
        <f t="shared" si="1594"/>
        <v>0</v>
      </c>
      <c r="DI260" s="57">
        <f t="shared" si="1594"/>
        <v>0</v>
      </c>
      <c r="DJ260" s="57">
        <f t="shared" si="1594"/>
        <v>0</v>
      </c>
      <c r="DK260" s="57">
        <f t="shared" si="1594"/>
        <v>0</v>
      </c>
      <c r="DL260" s="57">
        <f t="shared" si="1594"/>
        <v>0</v>
      </c>
      <c r="DM260" s="57">
        <f t="shared" si="1594"/>
        <v>0</v>
      </c>
      <c r="DN260" s="57">
        <f t="shared" si="1594"/>
        <v>0</v>
      </c>
      <c r="DO260" s="57">
        <f t="shared" si="1594"/>
        <v>0</v>
      </c>
      <c r="DP260" s="293">
        <f t="shared" si="1594"/>
        <v>0</v>
      </c>
      <c r="DQ260" s="293">
        <f t="shared" si="1594"/>
        <v>0</v>
      </c>
      <c r="DR260" s="293">
        <f t="shared" si="1594"/>
        <v>0</v>
      </c>
      <c r="DS260" s="293">
        <f t="shared" si="1594"/>
        <v>0</v>
      </c>
      <c r="DT260" s="293">
        <f t="shared" si="1594"/>
        <v>0</v>
      </c>
      <c r="DU260" s="293">
        <f t="shared" si="1594"/>
        <v>0</v>
      </c>
      <c r="DV260" s="293">
        <f t="shared" si="1594"/>
        <v>0</v>
      </c>
      <c r="DW260" s="293">
        <f t="shared" si="1594"/>
        <v>0</v>
      </c>
      <c r="DX260" s="57">
        <f t="shared" ca="1" si="1594"/>
        <v>0</v>
      </c>
      <c r="DY260" s="124"/>
      <c r="DZ260" s="57">
        <f>DZ8+DZ10+DZ22+DZ41+DZ59+DZ81+DZ96+DZ116+DZ130+DZ139+DZ153+DZ161+DZ179+DZ197+DZ205+DZ222+DZ232+DZ244</f>
        <v>1342011.3527200003</v>
      </c>
      <c r="EA260" s="57">
        <f>EA8+EA10+EA22+EA41+EA59+EA81+EA96+EA116+EA130+EA139+EA153+EA161+EA179+EA197+EA205+EA222+EA232+EA244</f>
        <v>1342011.3527200003</v>
      </c>
      <c r="EB260" s="124"/>
      <c r="EC260" s="57">
        <f>EC8+EC10+EC22+EC41+EC59+EC81+EC96+EC116+EC130+EC139+EC153+EC161+EC179+EC197+EC205+EC222+EC232+EC244</f>
        <v>1342011.3527200003</v>
      </c>
      <c r="ED260" s="57">
        <f ca="1">ED8+ED10+ED22+ED41+ED59+ED81+ED96+ED116+ED130+ED139+ED153+ED161+ED179+ED197+ED205+ED222+ED232+ED244</f>
        <v>0</v>
      </c>
      <c r="EE260" s="124"/>
      <c r="EF260" s="57">
        <f>EF8+EF10+EF22+EF41+EF59+EF81+EF96+EF116+EF130+EF139+EF153+EF161+EF179+EF197+EF205+EF222+EF232+EF244</f>
        <v>-648900.58782000002</v>
      </c>
      <c r="EG260" s="124"/>
      <c r="EH260" s="124"/>
      <c r="EI260" s="57">
        <f t="shared" si="1496"/>
        <v>1342011.3527200001</v>
      </c>
      <c r="EJ260" s="57">
        <f t="shared" ref="EJ260:EN260" si="1595">EJ8+EJ10+EJ22+EJ41+EJ59+EJ81+EJ96+EJ116+EJ130+EJ139+EJ153+EJ161+EJ179+EJ197+EJ205+EJ222+EJ232+EJ244</f>
        <v>166842.99281</v>
      </c>
      <c r="EK260" s="57">
        <f t="shared" si="1233"/>
        <v>654667.08874000004</v>
      </c>
      <c r="EL260" s="57">
        <f t="shared" ref="EL260:EM260" si="1596">EL8+EL10+EL22+EL41+EL59+EL81+EL96+EL116+EL130+EL139+EL153+EL161+EL179+EL197+EL205+EL222+EL232+EL244</f>
        <v>202012.05953000003</v>
      </c>
      <c r="EM260" s="57">
        <f t="shared" si="1596"/>
        <v>452655.02921000007</v>
      </c>
      <c r="EN260" s="57">
        <f t="shared" si="1595"/>
        <v>520501.27117000002</v>
      </c>
      <c r="EO260" s="77">
        <f t="shared" ref="EO260" si="1597">EO8+EO10+EO22+EO41+EO59+EO81+EO96+EO116+EO130+EO139+EO153+EO161+EO179+EO197+EO205+EO222+EO232+EO244</f>
        <v>0</v>
      </c>
      <c r="EP260" s="57">
        <f t="shared" si="1234"/>
        <v>238908.73539999998</v>
      </c>
      <c r="EQ260" s="57">
        <f t="shared" ref="EQ260:ER260" si="1598">EQ8+EQ10+EQ22+EQ41+EQ59+EQ81+EQ96+EQ116+EQ130+EQ139+EQ153+EQ161+EQ179+EQ197+EQ205+EQ222+EQ232+EQ244</f>
        <v>11836.477760000002</v>
      </c>
      <c r="ER260" s="57">
        <f t="shared" si="1598"/>
        <v>168059.98470999996</v>
      </c>
      <c r="ES260" s="57">
        <f t="shared" ref="ES260:EU260" si="1599">ES8+ES10+ES22+ES41+ES59+ES81+ES96+ES116+ES130+ES139+ES153+ES161+ES179+ES197+ES205+ES222+ES232+ES244</f>
        <v>68865.676649999994</v>
      </c>
      <c r="ET260" s="57">
        <f t="shared" si="1599"/>
        <v>100988.87749799997</v>
      </c>
      <c r="EU260" s="57">
        <f t="shared" si="1599"/>
        <v>59012.272929999999</v>
      </c>
      <c r="EV260" s="57">
        <f t="shared" ref="EV260" si="1600">EV8+EV10+EV22+EV41+EV59+EV81+EV96+EV116+EV130+EV139+EV153+EV161+EV179+EV197+EV205+EV222+EV232+EV244</f>
        <v>0</v>
      </c>
      <c r="EW260" s="57">
        <f t="shared" si="1289"/>
        <v>182401.98835999999</v>
      </c>
      <c r="EX260" s="57">
        <f t="shared" ref="EX260:EY260" si="1601">EX8+EX10+EX22+EX41+EX59+EX81+EX96+EX116+EX130+EX139+EX153+EX161+EX179+EX197+EX205+EX222+EX232+EX244</f>
        <v>182401.98835999999</v>
      </c>
      <c r="EY260" s="57">
        <f t="shared" si="1601"/>
        <v>0</v>
      </c>
      <c r="EZ260" s="390"/>
      <c r="FA260" s="390"/>
      <c r="FB260" s="57">
        <f t="shared" si="1291"/>
        <v>18505.173989999999</v>
      </c>
      <c r="FC260" s="57">
        <f t="shared" ref="FC260:FD260" si="1602">FC8+FC10+FC22+FC41+FC59+FC81+FC96+FC116+FC130+FC139+FC153+FC161+FC179+FC197+FC205+FC222+FC232+FC244</f>
        <v>17907.296999999999</v>
      </c>
      <c r="FD260" s="57">
        <f t="shared" si="1602"/>
        <v>597.87699000000009</v>
      </c>
      <c r="FE260" s="390"/>
      <c r="FF260" s="390"/>
      <c r="FG260" s="390"/>
      <c r="FH260" s="304"/>
      <c r="FI260" s="304"/>
      <c r="FJ260" s="295"/>
      <c r="FK260" s="57">
        <f t="shared" si="1237"/>
        <v>716239.26753999991</v>
      </c>
      <c r="FL260" s="57">
        <f t="shared" si="1577"/>
        <v>716239.26753999991</v>
      </c>
      <c r="FM260" s="57">
        <f t="shared" ref="FM260" si="1603">FM8+FM10+FM22+FM41+FM59+FM81+FM96+FM116+FM130+FM139+FM153+FM161+FM179+FM197+FM205+FM222+FM232+FM244</f>
        <v>0</v>
      </c>
      <c r="FN260" s="390"/>
      <c r="FO260" s="390"/>
      <c r="FP260" s="57">
        <f t="shared" si="1238"/>
        <v>200309.28535999998</v>
      </c>
      <c r="FQ260" s="57">
        <f t="shared" ref="FQ260" si="1604">EX260</f>
        <v>182401.98835999999</v>
      </c>
      <c r="FR260" s="57">
        <f t="shared" ref="FR260" si="1605">FC260</f>
        <v>17907.296999999999</v>
      </c>
      <c r="FS260" s="390"/>
      <c r="FT260" s="390"/>
      <c r="FU260" s="390"/>
      <c r="FV260" s="57"/>
      <c r="FW260" s="304"/>
      <c r="FX260" s="57">
        <f t="shared" ref="FX260" si="1606">FY260+FZ260+GA260</f>
        <v>548945.50308000005</v>
      </c>
      <c r="FY260" s="57">
        <f>BD260</f>
        <v>548945.50308000005</v>
      </c>
      <c r="FZ260" s="57">
        <f t="shared" ref="FZ260" si="1607">FZ8+FZ10+FZ22+FZ41+FZ59+FZ81+FZ96+FZ116+FZ130+FZ139+FZ153+FZ161+FZ179+FZ197+FZ205+FZ222+FZ232+FZ244</f>
        <v>0</v>
      </c>
      <c r="GA260" s="390"/>
      <c r="GB260" s="390"/>
      <c r="GC260" s="57">
        <f t="shared" si="1298"/>
        <v>579513.54410000006</v>
      </c>
      <c r="GD260" s="57">
        <f t="shared" si="1343"/>
        <v>520501.27117000002</v>
      </c>
      <c r="GE260" s="57">
        <f t="shared" si="1344"/>
        <v>59012.272929999999</v>
      </c>
      <c r="GF260" s="390"/>
      <c r="GG260" s="390"/>
      <c r="GH260" s="390"/>
      <c r="GI260" s="304"/>
      <c r="GJ260" s="77"/>
      <c r="GK260" s="462">
        <f t="shared" si="1215"/>
        <v>0.92085522326650027</v>
      </c>
    </row>
    <row r="261" spans="2:193" s="214" customFormat="1" ht="18.600000000000001" hidden="1" customHeight="1" thickTop="1" thickBot="1" x14ac:dyDescent="0.3">
      <c r="B261" s="204"/>
      <c r="C261" s="205"/>
      <c r="D261" s="204"/>
      <c r="E261" s="206"/>
      <c r="F261" s="204"/>
      <c r="G261" s="205"/>
      <c r="H261" s="204"/>
      <c r="I261" s="207"/>
      <c r="J261" s="208"/>
      <c r="K261" s="208"/>
      <c r="L261" s="209"/>
      <c r="M261" s="210"/>
      <c r="N261" s="211" t="s">
        <v>251</v>
      </c>
      <c r="O261" s="211"/>
      <c r="P261" s="211"/>
      <c r="Q261" s="211"/>
      <c r="R261" s="211"/>
      <c r="S261" s="211"/>
      <c r="T261" s="211"/>
      <c r="U261" s="211"/>
      <c r="V261" s="265">
        <f>W261</f>
        <v>0</v>
      </c>
      <c r="W261" s="265">
        <v>0</v>
      </c>
      <c r="X261" s="212">
        <v>0</v>
      </c>
      <c r="Y261" s="212"/>
      <c r="Z261" s="212"/>
      <c r="AA261" s="265"/>
      <c r="AB261" s="611">
        <f>AC261</f>
        <v>0</v>
      </c>
      <c r="AC261" s="611">
        <v>0</v>
      </c>
      <c r="AD261" s="611">
        <v>0</v>
      </c>
      <c r="AE261" s="611"/>
      <c r="AF261" s="611"/>
      <c r="AG261" s="611"/>
      <c r="AH261" s="612"/>
      <c r="AI261" s="611">
        <v>0</v>
      </c>
      <c r="AJ261" s="611">
        <v>0</v>
      </c>
      <c r="AK261" s="611">
        <v>0</v>
      </c>
      <c r="AL261" s="611">
        <v>0</v>
      </c>
      <c r="AM261" s="612"/>
      <c r="AN261" s="611">
        <f>AO261+AP261+AQ261+AR261</f>
        <v>161270.64899999998</v>
      </c>
      <c r="AO261" s="611">
        <v>68113.297999999995</v>
      </c>
      <c r="AP261" s="611">
        <v>0</v>
      </c>
      <c r="AQ261" s="611">
        <v>93157.350999999995</v>
      </c>
      <c r="AR261" s="612"/>
      <c r="AS261" s="613">
        <f>AT261+AU261+AV261+AW261</f>
        <v>0</v>
      </c>
      <c r="AT261" s="611"/>
      <c r="AU261" s="611"/>
      <c r="AV261" s="611">
        <v>0</v>
      </c>
      <c r="AW261" s="611"/>
      <c r="AX261" s="614"/>
      <c r="AY261" s="613">
        <f t="shared" ref="AY261" si="1608">AZ261+BA261+BD261+BE261</f>
        <v>0</v>
      </c>
      <c r="AZ261" s="615"/>
      <c r="BA261" s="615"/>
      <c r="BB261" s="615"/>
      <c r="BC261" s="615"/>
      <c r="BD261" s="615"/>
      <c r="BE261" s="615"/>
      <c r="BF261" s="611">
        <f t="shared" si="1217"/>
        <v>0</v>
      </c>
      <c r="BG261" s="616">
        <f t="shared" si="1218"/>
        <v>0</v>
      </c>
      <c r="BH261" s="616">
        <f t="shared" si="1219"/>
        <v>0</v>
      </c>
      <c r="BI261" s="616">
        <f t="shared" si="1220"/>
        <v>0</v>
      </c>
      <c r="BJ261" s="616">
        <f t="shared" si="1221"/>
        <v>0</v>
      </c>
      <c r="BK261" s="616">
        <f t="shared" si="1222"/>
        <v>0</v>
      </c>
      <c r="BL261" s="616" t="e">
        <f>#REF!-BE261</f>
        <v>#REF!</v>
      </c>
      <c r="BM261" s="613">
        <f t="shared" ref="BM261" si="1609">BN261+BO261+BP261+BQ261</f>
        <v>0</v>
      </c>
      <c r="BN261" s="615"/>
      <c r="BO261" s="615"/>
      <c r="BP261" s="615"/>
      <c r="BQ261" s="615"/>
      <c r="BR261" s="613">
        <f t="shared" ref="BR261" si="1610">BS261+BT261+BU261+BV261</f>
        <v>0</v>
      </c>
      <c r="BS261" s="615"/>
      <c r="BT261" s="615"/>
      <c r="BU261" s="615"/>
      <c r="BV261" s="615"/>
      <c r="BW261" s="613"/>
      <c r="BX261" s="615"/>
      <c r="BY261" s="615"/>
      <c r="BZ261" s="615"/>
      <c r="CA261" s="615"/>
      <c r="CB261" s="615"/>
      <c r="CC261" s="615"/>
      <c r="CD261" s="613">
        <f>CE261+CF261+CI261+CJ261</f>
        <v>0</v>
      </c>
      <c r="CE261" s="615"/>
      <c r="CF261" s="615"/>
      <c r="CG261" s="615"/>
      <c r="CH261" s="615"/>
      <c r="CI261" s="615"/>
      <c r="CJ261" s="615"/>
      <c r="CK261" s="617"/>
      <c r="CL261" s="615"/>
      <c r="CM261" s="615"/>
      <c r="CN261" s="615"/>
      <c r="CO261" s="615"/>
      <c r="CP261" s="615"/>
      <c r="CQ261" s="615"/>
      <c r="CR261" s="611">
        <f>CS261</f>
        <v>0</v>
      </c>
      <c r="CS261" s="613">
        <f t="shared" si="1226"/>
        <v>0</v>
      </c>
      <c r="CT261" s="613">
        <f t="shared" si="1227"/>
        <v>0</v>
      </c>
      <c r="CU261" s="613">
        <f t="shared" si="1228"/>
        <v>0</v>
      </c>
      <c r="CV261" s="613">
        <f t="shared" si="1229"/>
        <v>0</v>
      </c>
      <c r="CW261" s="613">
        <f>CJ261+CQ261</f>
        <v>0</v>
      </c>
      <c r="CX261" s="611">
        <f t="shared" ca="1" si="1339"/>
        <v>0</v>
      </c>
      <c r="CY261" s="613">
        <f t="shared" si="1230"/>
        <v>0</v>
      </c>
      <c r="CZ261" s="613">
        <f t="shared" si="1231"/>
        <v>0</v>
      </c>
      <c r="DA261" s="616">
        <f t="shared" si="1232"/>
        <v>0</v>
      </c>
      <c r="DB261" s="267">
        <f>BQ261-CJ261</f>
        <v>0</v>
      </c>
      <c r="DC261" s="268"/>
      <c r="DD261" s="269"/>
      <c r="DE261" s="269"/>
      <c r="DF261" s="266">
        <f t="shared" ref="DF261" si="1611">DG261+DH261+DI261+DJ261</f>
        <v>0</v>
      </c>
      <c r="DG261" s="264"/>
      <c r="DH261" s="264"/>
      <c r="DI261" s="264"/>
      <c r="DJ261" s="264"/>
      <c r="DK261" s="266">
        <f t="shared" ref="DK261" si="1612">DL261+DM261+DN261+DO261</f>
        <v>0</v>
      </c>
      <c r="DL261" s="264"/>
      <c r="DM261" s="264"/>
      <c r="DN261" s="264"/>
      <c r="DO261" s="264"/>
      <c r="DP261" s="264"/>
      <c r="DQ261" s="264"/>
      <c r="DR261" s="264"/>
      <c r="DS261" s="264"/>
      <c r="DT261" s="264"/>
      <c r="DU261" s="264"/>
      <c r="DV261" s="264"/>
      <c r="DW261" s="264"/>
      <c r="DX261" s="213"/>
      <c r="DY261" s="270"/>
      <c r="DZ261" s="213"/>
      <c r="EA261" s="213"/>
      <c r="EB261" s="270"/>
      <c r="EC261" s="215"/>
      <c r="ED261" s="215"/>
      <c r="EE261" s="270"/>
      <c r="EF261" s="215"/>
      <c r="EG261" s="270"/>
      <c r="EH261" s="270"/>
      <c r="EI261" s="215"/>
      <c r="EJ261" s="215"/>
      <c r="EK261" s="465"/>
      <c r="EL261" s="465"/>
      <c r="EM261" s="465"/>
      <c r="EN261" s="264"/>
      <c r="EO261" s="216"/>
      <c r="EP261" s="215"/>
      <c r="EQ261" s="264"/>
      <c r="ER261" s="264"/>
      <c r="ES261" s="215"/>
      <c r="ET261" s="215"/>
      <c r="EU261" s="264"/>
      <c r="EV261" s="215"/>
      <c r="EW261" s="324"/>
      <c r="EX261" s="324"/>
      <c r="EY261" s="324"/>
      <c r="EZ261" s="324"/>
      <c r="FA261" s="324"/>
      <c r="FB261" s="324"/>
      <c r="FC261" s="324"/>
      <c r="FD261" s="324"/>
      <c r="FE261" s="324"/>
      <c r="FF261" s="324"/>
      <c r="FG261" s="324"/>
      <c r="FH261" s="324"/>
      <c r="FI261" s="324"/>
      <c r="FJ261" s="215"/>
      <c r="FK261" s="361"/>
      <c r="FL261" s="361"/>
      <c r="FM261" s="361"/>
      <c r="FN261" s="361"/>
      <c r="FO261" s="361"/>
      <c r="FP261" s="361"/>
      <c r="FQ261" s="361"/>
      <c r="FR261" s="361"/>
      <c r="FS261" s="361"/>
      <c r="FT261" s="361"/>
      <c r="FU261" s="361"/>
      <c r="FV261" s="361"/>
      <c r="FW261" s="361"/>
      <c r="FX261" s="324"/>
      <c r="FY261" s="324"/>
      <c r="FZ261" s="324"/>
      <c r="GA261" s="324"/>
      <c r="GB261" s="324"/>
      <c r="GC261" s="324"/>
      <c r="GD261" s="324"/>
      <c r="GE261" s="324"/>
      <c r="GF261" s="324"/>
      <c r="GG261" s="324"/>
      <c r="GH261" s="324"/>
      <c r="GI261" s="324"/>
      <c r="GJ261" s="457"/>
      <c r="GK261" s="464" t="e">
        <f t="shared" si="1215"/>
        <v>#DIV/0!</v>
      </c>
    </row>
    <row r="262" spans="2:193" s="504" customFormat="1" ht="87.6" customHeight="1" thickTop="1" thickBot="1" x14ac:dyDescent="0.25">
      <c r="B262" s="505"/>
      <c r="C262" s="506"/>
      <c r="D262" s="505"/>
      <c r="E262" s="507"/>
      <c r="F262" s="505"/>
      <c r="G262" s="506"/>
      <c r="H262" s="505"/>
      <c r="I262" s="508"/>
      <c r="J262" s="508"/>
      <c r="K262" s="508"/>
      <c r="L262" s="508"/>
      <c r="M262" s="726" t="s">
        <v>356</v>
      </c>
      <c r="N262" s="727"/>
      <c r="O262" s="293"/>
      <c r="P262" s="293"/>
      <c r="Q262" s="293"/>
      <c r="R262" s="293"/>
      <c r="S262" s="293"/>
      <c r="T262" s="293"/>
      <c r="U262" s="293"/>
      <c r="V262" s="636">
        <f t="shared" si="1216"/>
        <v>1457353.3503399999</v>
      </c>
      <c r="W262" s="636">
        <f>W260+W261</f>
        <v>185344.31854000001</v>
      </c>
      <c r="X262" s="636">
        <f>X260+X261</f>
        <v>720855.7</v>
      </c>
      <c r="Y262" s="636">
        <f t="shared" ref="Y262:Z262" si="1613">Y260+Y261</f>
        <v>228431.10000000003</v>
      </c>
      <c r="Z262" s="636">
        <f t="shared" si="1613"/>
        <v>492424.6</v>
      </c>
      <c r="AA262" s="636">
        <f>AA260+AA261</f>
        <v>551153.33180000004</v>
      </c>
      <c r="AB262" s="637">
        <f>AC262+AD262+AG262+AH262</f>
        <v>1457353.3318</v>
      </c>
      <c r="AC262" s="637">
        <f>AC260+AC261</f>
        <v>185344.3</v>
      </c>
      <c r="AD262" s="637">
        <f>AD260+AD261</f>
        <v>720855.7</v>
      </c>
      <c r="AE262" s="637">
        <f t="shared" ref="AE262:AF262" si="1614">AE260+AE261</f>
        <v>228431.10000000003</v>
      </c>
      <c r="AF262" s="637">
        <f t="shared" si="1614"/>
        <v>492424.6</v>
      </c>
      <c r="AG262" s="637">
        <f>AG260+AG261</f>
        <v>551153.33180000004</v>
      </c>
      <c r="AH262" s="638">
        <f>AH260+AH261</f>
        <v>0</v>
      </c>
      <c r="AI262" s="637">
        <f>AJ262+AK262+AL262+AM262</f>
        <v>375074.23800000001</v>
      </c>
      <c r="AJ262" s="637">
        <f>AJ260+AJ261</f>
        <v>96373.05799999999</v>
      </c>
      <c r="AK262" s="637">
        <f>AK260+AK261</f>
        <v>102879</v>
      </c>
      <c r="AL262" s="637">
        <f>AL260+AL261</f>
        <v>175822.18</v>
      </c>
      <c r="AM262" s="638">
        <f>AM260+AM261</f>
        <v>0</v>
      </c>
      <c r="AN262" s="637">
        <f>AO262+AP262+AQ262+AR262</f>
        <v>470874.09299999999</v>
      </c>
      <c r="AO262" s="637">
        <f>AO260+AO261</f>
        <v>164486.35599999997</v>
      </c>
      <c r="AP262" s="637">
        <f>AP260+AP261</f>
        <v>102879</v>
      </c>
      <c r="AQ262" s="637">
        <f>AQ260+AQ261</f>
        <v>203508.73699999999</v>
      </c>
      <c r="AR262" s="638">
        <f>AR260+AR261</f>
        <v>0</v>
      </c>
      <c r="AS262" s="639">
        <f>AT262+AU262+AV262+AW262</f>
        <v>251454.44399999999</v>
      </c>
      <c r="AT262" s="637">
        <f>AT260+AT261</f>
        <v>96373.05799999999</v>
      </c>
      <c r="AU262" s="637">
        <f>AU260+AU261</f>
        <v>44730</v>
      </c>
      <c r="AV262" s="637">
        <f>AV260+AV261</f>
        <v>110351.386</v>
      </c>
      <c r="AW262" s="637">
        <f>AW260+AW261</f>
        <v>0</v>
      </c>
      <c r="AX262" s="640"/>
      <c r="AY262" s="637">
        <f>AZ262+BA262+BD262+BE262</f>
        <v>1450529.0882600001</v>
      </c>
      <c r="AZ262" s="637">
        <f>AZ260+AZ261</f>
        <v>185344.31763999999</v>
      </c>
      <c r="BA262" s="637">
        <f>BA260+BA261</f>
        <v>716239.26753999991</v>
      </c>
      <c r="BB262" s="637">
        <f t="shared" ref="BB262:BC262" si="1615">BB260+BB261</f>
        <v>223814.66754000002</v>
      </c>
      <c r="BC262" s="637">
        <f t="shared" si="1615"/>
        <v>492424.6</v>
      </c>
      <c r="BD262" s="637">
        <f>BD260+BD261</f>
        <v>548945.50308000005</v>
      </c>
      <c r="BE262" s="637">
        <f>BE260+BE261</f>
        <v>0</v>
      </c>
      <c r="BF262" s="637">
        <f t="shared" si="1217"/>
        <v>6824.2435399999958</v>
      </c>
      <c r="BG262" s="637">
        <f t="shared" si="1218"/>
        <v>-1.764000000548549E-2</v>
      </c>
      <c r="BH262" s="637">
        <f t="shared" si="1219"/>
        <v>4616.4324600000109</v>
      </c>
      <c r="BI262" s="637">
        <f t="shared" si="1220"/>
        <v>4616.4324600000109</v>
      </c>
      <c r="BJ262" s="637">
        <f t="shared" si="1221"/>
        <v>0</v>
      </c>
      <c r="BK262" s="637">
        <f t="shared" si="1222"/>
        <v>2207.8287199999904</v>
      </c>
      <c r="BL262" s="637" t="e">
        <f>BL260+BL261</f>
        <v>#REF!</v>
      </c>
      <c r="BM262" s="637">
        <f>BN262+BO262+BP262+BQ262</f>
        <v>642445.59034000011</v>
      </c>
      <c r="BN262" s="637">
        <f>BN260+BN261</f>
        <v>163796.96234</v>
      </c>
      <c r="BO262" s="637">
        <f>BO260+BO261</f>
        <v>223922.57699999999</v>
      </c>
      <c r="BP262" s="637">
        <f>BP260+BP261</f>
        <v>254726.05100000004</v>
      </c>
      <c r="BQ262" s="637">
        <f>BQ260+BQ261</f>
        <v>0</v>
      </c>
      <c r="BR262" s="637">
        <f>BS262+BT262+BU262+BV262</f>
        <v>0</v>
      </c>
      <c r="BS262" s="637">
        <f>BS260+BS261</f>
        <v>0</v>
      </c>
      <c r="BT262" s="637">
        <f>BT260+BT261</f>
        <v>0</v>
      </c>
      <c r="BU262" s="637">
        <f>BU260+BU261</f>
        <v>0</v>
      </c>
      <c r="BV262" s="637">
        <f>BV260+BV261</f>
        <v>0</v>
      </c>
      <c r="BW262" s="637">
        <f>BX262+BY262+CB262+CC262</f>
        <v>1342011.3527200001</v>
      </c>
      <c r="BX262" s="637">
        <f>BX260+BX261</f>
        <v>166842.99281</v>
      </c>
      <c r="BY262" s="637">
        <f>BY260+BY261</f>
        <v>654667.08874000004</v>
      </c>
      <c r="BZ262" s="637">
        <f t="shared" ref="BZ262:CA262" si="1616">BZ260+BZ261</f>
        <v>202012.05953000003</v>
      </c>
      <c r="CA262" s="637">
        <f t="shared" si="1616"/>
        <v>452655.02921000007</v>
      </c>
      <c r="CB262" s="637">
        <f>CB260+CB261</f>
        <v>520501.27117000002</v>
      </c>
      <c r="CC262" s="637">
        <f>CC260+CC261</f>
        <v>0</v>
      </c>
      <c r="CD262" s="637">
        <f>CE262+CF262+CI262+CJ262</f>
        <v>1342011.25272</v>
      </c>
      <c r="CE262" s="637">
        <f>CE260+CE261</f>
        <v>166842.99281</v>
      </c>
      <c r="CF262" s="637">
        <f>CF260+CF261</f>
        <v>654667.08874000004</v>
      </c>
      <c r="CG262" s="637">
        <f t="shared" ref="CG262:CH262" si="1617">CG260+CG261</f>
        <v>202012.05953000003</v>
      </c>
      <c r="CH262" s="637">
        <f t="shared" si="1617"/>
        <v>452655.02921000007</v>
      </c>
      <c r="CI262" s="637">
        <f>CI260+CI261</f>
        <v>520501.17117000005</v>
      </c>
      <c r="CJ262" s="637">
        <f>CJ260+CJ261</f>
        <v>0</v>
      </c>
      <c r="CK262" s="637">
        <v>238908.79999999999</v>
      </c>
      <c r="CL262" s="637">
        <f>CL260+CL261</f>
        <v>11836.477760000002</v>
      </c>
      <c r="CM262" s="637">
        <f>CM260+CM261</f>
        <v>168059.98470999996</v>
      </c>
      <c r="CN262" s="637">
        <f t="shared" ref="CN262:CO262" si="1618">CN260+CN261</f>
        <v>28695.317720000006</v>
      </c>
      <c r="CO262" s="637">
        <f t="shared" si="1618"/>
        <v>45806.000700000004</v>
      </c>
      <c r="CP262" s="637">
        <f>CP260+CP261</f>
        <v>59012.272929999999</v>
      </c>
      <c r="CQ262" s="637">
        <f>CQ260+CQ261</f>
        <v>0</v>
      </c>
      <c r="CR262" s="637">
        <f>CS262</f>
        <v>1580919.9881200001</v>
      </c>
      <c r="CS262" s="637">
        <f t="shared" si="1226"/>
        <v>1580919.9881200001</v>
      </c>
      <c r="CT262" s="637">
        <f t="shared" si="1227"/>
        <v>178679.47057</v>
      </c>
      <c r="CU262" s="637">
        <f t="shared" si="1228"/>
        <v>822727.07345000003</v>
      </c>
      <c r="CV262" s="637">
        <f t="shared" si="1229"/>
        <v>579513.44410000008</v>
      </c>
      <c r="CW262" s="618">
        <f>CW260+CW261</f>
        <v>0</v>
      </c>
      <c r="CX262" s="618">
        <f t="shared" ca="1" si="1339"/>
        <v>0</v>
      </c>
      <c r="CY262" s="618">
        <f t="shared" si="1230"/>
        <v>0</v>
      </c>
      <c r="CZ262" s="618">
        <f t="shared" si="1231"/>
        <v>0</v>
      </c>
      <c r="DA262" s="619">
        <f t="shared" si="1232"/>
        <v>9.9999999976716936E-2</v>
      </c>
      <c r="DB262" s="516">
        <f>DB260+DB261</f>
        <v>0</v>
      </c>
      <c r="DC262" s="510"/>
      <c r="DD262" s="535">
        <f>DD260+DD261</f>
        <v>705003.46490000002</v>
      </c>
      <c r="DE262" s="535">
        <f>DE260+DE261</f>
        <v>693110.76489999995</v>
      </c>
      <c r="DF262" s="509">
        <f>DG262+DH262+DI262+DJ262</f>
        <v>0</v>
      </c>
      <c r="DG262" s="509">
        <f>DG260+DG261</f>
        <v>0</v>
      </c>
      <c r="DH262" s="509">
        <f>DH260+DH261</f>
        <v>0</v>
      </c>
      <c r="DI262" s="509">
        <f>DI260+DI261</f>
        <v>0</v>
      </c>
      <c r="DJ262" s="509">
        <f>DJ260+DJ261</f>
        <v>0</v>
      </c>
      <c r="DK262" s="509">
        <f>DL262+DM262+DN262+DO262</f>
        <v>0</v>
      </c>
      <c r="DL262" s="509">
        <f>DL260+DL261</f>
        <v>0</v>
      </c>
      <c r="DM262" s="509">
        <f>DM260+DM261</f>
        <v>0</v>
      </c>
      <c r="DN262" s="509">
        <f>DN260+DN261</f>
        <v>0</v>
      </c>
      <c r="DO262" s="509">
        <f>DO260+DO261</f>
        <v>0</v>
      </c>
      <c r="DP262" s="536">
        <f>DQ262+DR262+DS262+DT262</f>
        <v>0</v>
      </c>
      <c r="DQ262" s="536">
        <f t="shared" ref="DQ262:DX262" si="1619">DQ260+DQ261</f>
        <v>0</v>
      </c>
      <c r="DR262" s="536">
        <f t="shared" si="1619"/>
        <v>0</v>
      </c>
      <c r="DS262" s="536">
        <f t="shared" si="1619"/>
        <v>0</v>
      </c>
      <c r="DT262" s="536">
        <f t="shared" si="1619"/>
        <v>0</v>
      </c>
      <c r="DU262" s="536">
        <f t="shared" si="1619"/>
        <v>0</v>
      </c>
      <c r="DV262" s="536">
        <f t="shared" si="1619"/>
        <v>0</v>
      </c>
      <c r="DW262" s="537">
        <f t="shared" si="1619"/>
        <v>0</v>
      </c>
      <c r="DX262" s="538">
        <f t="shared" ca="1" si="1619"/>
        <v>0</v>
      </c>
      <c r="DY262" s="511"/>
      <c r="DZ262" s="538">
        <f>DZ260+DZ261</f>
        <v>1342011.3527200003</v>
      </c>
      <c r="EA262" s="538">
        <f>EA260+EA261</f>
        <v>1342011.3527200003</v>
      </c>
      <c r="EB262" s="512"/>
      <c r="EC262" s="516">
        <f>EC260+EC261</f>
        <v>1342011.3527200003</v>
      </c>
      <c r="ED262" s="516">
        <f ca="1">ED260+ED261</f>
        <v>0</v>
      </c>
      <c r="EE262" s="512"/>
      <c r="EF262" s="516">
        <f>EF260+EF261</f>
        <v>-648900.58782000002</v>
      </c>
      <c r="EG262" s="512"/>
      <c r="EH262" s="512"/>
      <c r="EI262" s="516">
        <f>EJ262+EK262+EN262+EO262</f>
        <v>1342011.3527200001</v>
      </c>
      <c r="EJ262" s="516">
        <f>EJ260+EJ261</f>
        <v>166842.99281</v>
      </c>
      <c r="EK262" s="509">
        <f>EK260+EK261</f>
        <v>654667.08874000004</v>
      </c>
      <c r="EL262" s="509">
        <f t="shared" ref="EL262:EM262" si="1620">EL260+EL261</f>
        <v>202012.05953000003</v>
      </c>
      <c r="EM262" s="509">
        <f t="shared" si="1620"/>
        <v>452655.02921000007</v>
      </c>
      <c r="EN262" s="509">
        <f>EN260+EN261</f>
        <v>520501.27117000002</v>
      </c>
      <c r="EO262" s="539">
        <f>EO260+EO261</f>
        <v>0</v>
      </c>
      <c r="EP262" s="516">
        <f t="shared" si="1234"/>
        <v>238908.73539999998</v>
      </c>
      <c r="EQ262" s="509">
        <f>EQ260+EQ261</f>
        <v>11836.477760000002</v>
      </c>
      <c r="ER262" s="509">
        <f>ER260+ER261</f>
        <v>168059.98470999996</v>
      </c>
      <c r="ES262" s="516">
        <f t="shared" ref="ES262:ET262" si="1621">ES260+ES261</f>
        <v>68865.676649999994</v>
      </c>
      <c r="ET262" s="516">
        <f t="shared" si="1621"/>
        <v>100988.87749799997</v>
      </c>
      <c r="EU262" s="509">
        <f>EU260+EU261</f>
        <v>59012.272929999999</v>
      </c>
      <c r="EV262" s="516">
        <f>EV260+EV261</f>
        <v>0</v>
      </c>
      <c r="EW262" s="516">
        <f t="shared" ref="EW262" si="1622">EX262+EY262+EZ262</f>
        <v>182401.98835999999</v>
      </c>
      <c r="EX262" s="516">
        <f>EX260+EX261</f>
        <v>182401.98835999999</v>
      </c>
      <c r="EY262" s="516">
        <f>EY260+EY261</f>
        <v>0</v>
      </c>
      <c r="EZ262" s="516"/>
      <c r="FA262" s="516"/>
      <c r="FB262" s="516">
        <f t="shared" ref="FB262" si="1623">FC262+FD262+FE262</f>
        <v>18505.173989999999</v>
      </c>
      <c r="FC262" s="516">
        <f t="shared" ref="FC262:FJ262" si="1624">FC260+FC261</f>
        <v>17907.296999999999</v>
      </c>
      <c r="FD262" s="516">
        <f t="shared" si="1624"/>
        <v>597.87699000000009</v>
      </c>
      <c r="FE262" s="516"/>
      <c r="FF262" s="516"/>
      <c r="FG262" s="516"/>
      <c r="FH262" s="516"/>
      <c r="FI262" s="516"/>
      <c r="FJ262" s="516">
        <f t="shared" si="1624"/>
        <v>0</v>
      </c>
      <c r="FK262" s="516">
        <f t="shared" ref="FK262" si="1625">FL262+FM262+FN262</f>
        <v>716239.26753999991</v>
      </c>
      <c r="FL262" s="516">
        <f>FL260+FL261</f>
        <v>716239.26753999991</v>
      </c>
      <c r="FM262" s="516">
        <f>FM260+FM261</f>
        <v>0</v>
      </c>
      <c r="FN262" s="516"/>
      <c r="FO262" s="516"/>
      <c r="FP262" s="516">
        <f t="shared" ref="FP262" si="1626">FQ262+FR262+FS262</f>
        <v>200309.28535999998</v>
      </c>
      <c r="FQ262" s="516">
        <f t="shared" ref="FQ262:FR262" si="1627">FQ260+FQ261</f>
        <v>182401.98835999999</v>
      </c>
      <c r="FR262" s="516">
        <f t="shared" si="1627"/>
        <v>17907.296999999999</v>
      </c>
      <c r="FS262" s="516"/>
      <c r="FT262" s="516"/>
      <c r="FU262" s="516"/>
      <c r="FV262" s="516"/>
      <c r="FW262" s="516"/>
      <c r="FX262" s="516">
        <f t="shared" ref="FX262" si="1628">FY262+FZ262+GA262</f>
        <v>548945.50308000005</v>
      </c>
      <c r="FY262" s="516">
        <f>FY260+FY261</f>
        <v>548945.50308000005</v>
      </c>
      <c r="FZ262" s="516">
        <f>FZ260+FZ261</f>
        <v>0</v>
      </c>
      <c r="GA262" s="516">
        <f>GA260+GA261</f>
        <v>0</v>
      </c>
      <c r="GB262" s="516">
        <f>GB260+GB261</f>
        <v>0</v>
      </c>
      <c r="GC262" s="516">
        <f t="shared" ref="GC262" si="1629">GD262+GE262+GF262</f>
        <v>579513.54410000006</v>
      </c>
      <c r="GD262" s="516">
        <f t="shared" ref="GD262:GE262" si="1630">GD260+GD261</f>
        <v>520501.27117000002</v>
      </c>
      <c r="GE262" s="516">
        <f t="shared" si="1630"/>
        <v>59012.272929999999</v>
      </c>
      <c r="GF262" s="516"/>
      <c r="GG262" s="516"/>
      <c r="GH262" s="516"/>
      <c r="GI262" s="516"/>
      <c r="GJ262" s="539"/>
      <c r="GK262" s="514">
        <f t="shared" si="1215"/>
        <v>0.92085517179451648</v>
      </c>
    </row>
    <row r="263" spans="2:193" s="37" customFormat="1" ht="30" hidden="1" customHeight="1" thickTop="1" x14ac:dyDescent="0.25">
      <c r="B263" s="32"/>
      <c r="C263" s="33"/>
      <c r="D263" s="32"/>
      <c r="E263" s="39"/>
      <c r="F263" s="32"/>
      <c r="G263" s="33"/>
      <c r="H263" s="32"/>
      <c r="I263" s="32"/>
      <c r="J263" s="32"/>
      <c r="K263" s="32"/>
      <c r="L263" s="32"/>
      <c r="M263" s="40" t="s">
        <v>256</v>
      </c>
      <c r="N263" s="41" t="s">
        <v>246</v>
      </c>
      <c r="O263" s="41"/>
      <c r="P263" s="41"/>
      <c r="Q263" s="41"/>
      <c r="R263" s="41"/>
      <c r="S263" s="41"/>
      <c r="T263" s="41"/>
      <c r="U263" s="41"/>
      <c r="V263" s="149">
        <f>W263+X263+AA263+AB263</f>
        <v>0</v>
      </c>
      <c r="W263" s="149">
        <f>W12+W98+W118+W141+W155+W163+W181+W234</f>
        <v>0</v>
      </c>
      <c r="X263" s="149">
        <f>X12+X98+X118+X141+X155+X163+X181+X234</f>
        <v>0</v>
      </c>
      <c r="Y263" s="149"/>
      <c r="Z263" s="149"/>
      <c r="AA263" s="149">
        <f>AA12+AA98+AA118+AA141+AA155+AA163+AA181+AA234</f>
        <v>0</v>
      </c>
      <c r="AB263" s="620">
        <f>AC263+AD263+AG263+AH263</f>
        <v>0</v>
      </c>
      <c r="AC263" s="620">
        <f>AC12+AC98+AC118+AC141+AC155+AC163+AC181+AC234</f>
        <v>0</v>
      </c>
      <c r="AD263" s="620">
        <f>AD12+AD98+AD118+AD141+AD155+AD163+AD181+AD234</f>
        <v>0</v>
      </c>
      <c r="AE263" s="620"/>
      <c r="AF263" s="620"/>
      <c r="AG263" s="620">
        <f>AG12+AG98+AG118+AG141+AG155+AG163+AG181+AG234</f>
        <v>0</v>
      </c>
      <c r="AH263" s="573">
        <f>AH12+AH98+AH118+AH141+AH155+AH163+AH181+AH234</f>
        <v>0</v>
      </c>
      <c r="AI263" s="620">
        <f>AJ263+AK263+AL263+AM263</f>
        <v>0</v>
      </c>
      <c r="AJ263" s="620">
        <f>AJ12+AJ98+AJ118+AJ141+AJ155+AJ163+AJ181+AJ234</f>
        <v>0</v>
      </c>
      <c r="AK263" s="620">
        <f>AK12+AK98+AK118+AK141+AK155+AK163+AK181+AK234</f>
        <v>0</v>
      </c>
      <c r="AL263" s="620">
        <f>AL12+AL98+AL118+AL141+AL155+AL163+AL181+AL234</f>
        <v>0</v>
      </c>
      <c r="AM263" s="573">
        <f>AM12+AM98+AM118+AM141+AM155+AM163+AM181+AM234</f>
        <v>0</v>
      </c>
      <c r="AN263" s="620">
        <f>AO263+AP263+AQ263+AR263</f>
        <v>0</v>
      </c>
      <c r="AO263" s="620">
        <f>AO12+AO98+AO118+AO141+AO155+AO163+AO181+AO234</f>
        <v>0</v>
      </c>
      <c r="AP263" s="620">
        <f>AP12+AP98+AP118+AP141+AP155+AP163+AP181+AP234</f>
        <v>0</v>
      </c>
      <c r="AQ263" s="620">
        <f>AQ12+AQ98+AQ118+AQ141+AQ155+AQ163+AQ181+AQ234</f>
        <v>0</v>
      </c>
      <c r="AR263" s="573">
        <f>AR12+AR98+AR118+AR141+AR155+AR163+AR181+AR234</f>
        <v>0</v>
      </c>
      <c r="AS263" s="621">
        <f>AT263+AU263+AV263+AW263</f>
        <v>0</v>
      </c>
      <c r="AT263" s="620">
        <f>AT12+AT98+AT118+AT141+AT155+AT163+AT181+AT234</f>
        <v>0</v>
      </c>
      <c r="AU263" s="620">
        <f>AU12+AU98+AU118+AU141+AU155+AU163+AU181+AU234</f>
        <v>0</v>
      </c>
      <c r="AV263" s="620">
        <f>AV12+AV98+AV118+AV141+AV155+AV163+AV181+AV234</f>
        <v>0</v>
      </c>
      <c r="AW263" s="620">
        <f>AW12+AW98+AW118+AW141+AW155+AW163+AW181+AW234</f>
        <v>0</v>
      </c>
      <c r="AX263" s="622"/>
      <c r="AY263" s="620">
        <f>AZ263+BA263+BD263+BE263</f>
        <v>0</v>
      </c>
      <c r="AZ263" s="620">
        <f>AZ12+AZ98+AZ118+AZ141+AZ155+AZ163+AZ181+AZ234</f>
        <v>0</v>
      </c>
      <c r="BA263" s="620">
        <f>BA12+BA98+BA118+BA141+BA155+BA163+BA181+BA234</f>
        <v>0</v>
      </c>
      <c r="BB263" s="620"/>
      <c r="BC263" s="620"/>
      <c r="BD263" s="620">
        <f>BD12+BD98+BD118+BD141+BD155+BD163+BD181+BD234</f>
        <v>0</v>
      </c>
      <c r="BE263" s="620">
        <f>BE12+BE98+BE118+BE141+BE155+BE163+BE181+BE234</f>
        <v>0</v>
      </c>
      <c r="BF263" s="573">
        <f t="shared" si="1217"/>
        <v>0</v>
      </c>
      <c r="BG263" s="573">
        <f t="shared" si="1218"/>
        <v>0</v>
      </c>
      <c r="BH263" s="573">
        <f t="shared" si="1219"/>
        <v>0</v>
      </c>
      <c r="BI263" s="573">
        <f t="shared" si="1220"/>
        <v>0</v>
      </c>
      <c r="BJ263" s="573">
        <f t="shared" si="1221"/>
        <v>0</v>
      </c>
      <c r="BK263" s="573">
        <f t="shared" si="1222"/>
        <v>0</v>
      </c>
      <c r="BL263" s="573" t="e">
        <f>BL12+BL98+BL118+BL141+BL155+BL163+BL181+BL234</f>
        <v>#REF!</v>
      </c>
      <c r="BM263" s="620">
        <f>BN263+BO263+BP263+BQ263</f>
        <v>0</v>
      </c>
      <c r="BN263" s="620">
        <f>BN12+BN98+BN118+BN141+BN155+BN163+BN181+BN234</f>
        <v>0</v>
      </c>
      <c r="BO263" s="620">
        <f>BO12+BO98+BO118+BO141+BO155+BO163+BO181+BO234</f>
        <v>0</v>
      </c>
      <c r="BP263" s="620">
        <f>BP12+BP98+BP118+BP141+BP155+BP163+BP181+BP234</f>
        <v>0</v>
      </c>
      <c r="BQ263" s="620">
        <f>BQ12+BQ98+BQ118+BQ141+BQ155+BQ163+BQ181+BQ234</f>
        <v>0</v>
      </c>
      <c r="BR263" s="620">
        <f>BS263+BT263+BU263+BV263</f>
        <v>0</v>
      </c>
      <c r="BS263" s="620">
        <f>BS12+BS98+BS118+BS141+BS155+BS163+BS181+BS234</f>
        <v>0</v>
      </c>
      <c r="BT263" s="620">
        <f>BT12+BT98+BT118+BT141+BT155+BT163+BT181+BT234</f>
        <v>0</v>
      </c>
      <c r="BU263" s="620">
        <f>BU12+BU98+BU118+BU141+BU155+BU163+BU181+BU234</f>
        <v>0</v>
      </c>
      <c r="BV263" s="620">
        <f>BV12+BV98+BV118+BV141+BV155+BV163+BV181+BV234</f>
        <v>0</v>
      </c>
      <c r="BW263" s="620">
        <f>BX263+BY263+CB263+CC263</f>
        <v>0</v>
      </c>
      <c r="BX263" s="620">
        <f>BX12+BX98+BX118+BX141+BX155+BX163+BX181+BX234</f>
        <v>0</v>
      </c>
      <c r="BY263" s="620">
        <f>BY12+BY98+BY118+BY141+BY155+BY163+BY181+BY234</f>
        <v>0</v>
      </c>
      <c r="BZ263" s="620"/>
      <c r="CA263" s="620"/>
      <c r="CB263" s="620">
        <f>CB12+CB98+CB118+CB141+CB155+CB163+CB181+CB234</f>
        <v>0</v>
      </c>
      <c r="CC263" s="620">
        <f>CC12+CC98+CC118+CC141+CC155+CC163+CC181+CC234</f>
        <v>0</v>
      </c>
      <c r="CD263" s="620">
        <f>CE263+CF263+CI263+CJ263</f>
        <v>0</v>
      </c>
      <c r="CE263" s="620">
        <f>CE12+CE98+CE118+CE141+CE155+CE163+CE181+CE234</f>
        <v>0</v>
      </c>
      <c r="CF263" s="620">
        <f>CF12+CF98+CF118+CF141+CF155+CF163+CF181+CF234</f>
        <v>0</v>
      </c>
      <c r="CG263" s="620"/>
      <c r="CH263" s="620"/>
      <c r="CI263" s="620">
        <f>CI12+CI98+CI118+CI141+CI155+CI163+CI181+CI234</f>
        <v>0</v>
      </c>
      <c r="CJ263" s="620">
        <f>CJ12+CJ98+CJ118+CJ141+CJ155+CJ163+CJ181+CJ234</f>
        <v>0</v>
      </c>
      <c r="CK263" s="620">
        <f>CL263+CM263+CP263+CQ263</f>
        <v>0</v>
      </c>
      <c r="CL263" s="620">
        <f>CL12+CL98+CL118+CL141+CL155+CL163+CL181+CL234</f>
        <v>0</v>
      </c>
      <c r="CM263" s="620">
        <f>CM12+CM98+CM118+CM141+CM155+CM163+CM181+CM234</f>
        <v>0</v>
      </c>
      <c r="CN263" s="620"/>
      <c r="CO263" s="620"/>
      <c r="CP263" s="620">
        <f>CP12+CP98+CP118+CP141+CP155+CP163+CP181+CP234</f>
        <v>0</v>
      </c>
      <c r="CQ263" s="623">
        <f>CQ12+CQ98+CQ118+CQ141+CQ155+CQ163+CQ181+CQ234</f>
        <v>0</v>
      </c>
      <c r="CR263" s="620">
        <f>CS263</f>
        <v>0</v>
      </c>
      <c r="CS263" s="620">
        <f t="shared" si="1226"/>
        <v>0</v>
      </c>
      <c r="CT263" s="620">
        <f t="shared" si="1227"/>
        <v>0</v>
      </c>
      <c r="CU263" s="620">
        <f t="shared" si="1228"/>
        <v>0</v>
      </c>
      <c r="CV263" s="620">
        <f t="shared" si="1229"/>
        <v>0</v>
      </c>
      <c r="CW263" s="623">
        <f>CW12+CW98+CW118+CW141+CW155+CW163+CW181+CW234</f>
        <v>0</v>
      </c>
      <c r="CX263" s="620">
        <f t="shared" ca="1" si="1339"/>
        <v>0</v>
      </c>
      <c r="CY263" s="620">
        <f t="shared" si="1230"/>
        <v>0</v>
      </c>
      <c r="CZ263" s="620">
        <f t="shared" si="1231"/>
        <v>0</v>
      </c>
      <c r="DA263" s="573">
        <f t="shared" si="1232"/>
        <v>0</v>
      </c>
      <c r="DB263" s="7">
        <f>DB12+DB98+DB118+DB141+DB155+DB163+DB181+DB234</f>
        <v>0</v>
      </c>
      <c r="DC263" s="76"/>
      <c r="DD263" s="271">
        <f>DD12+DD24+DD43+DD61+DD83+DD98+DD118+DD132+DD141+DD155+DD163+DD181+DD199+DD207+DD224+DD234+DD246</f>
        <v>0</v>
      </c>
      <c r="DE263" s="271">
        <f>DE12+DE24+DE43+DE61+DE83+DE98+DE118+DE132+DE141+DE155+DE163+DE181+DE199+DE207+DE224+DE234+DE246</f>
        <v>0</v>
      </c>
      <c r="DF263" s="93">
        <f>DG263+DH263+DI263+DJ263</f>
        <v>0</v>
      </c>
      <c r="DG263" s="93">
        <f>DG12+DG98+DG118+DG141+DG155+DG163+DG181+DG234</f>
        <v>0</v>
      </c>
      <c r="DH263" s="93">
        <f>DH12+DH98+DH118+DH141+DH155+DH163+DH181+DH234</f>
        <v>0</v>
      </c>
      <c r="DI263" s="93">
        <f>DI12+DI98+DI118+DI141+DI155+DI163+DI181+DI234</f>
        <v>0</v>
      </c>
      <c r="DJ263" s="93">
        <f>DJ12+DJ98+DJ118+DJ141+DJ155+DJ163+DJ181+DJ234</f>
        <v>0</v>
      </c>
      <c r="DK263" s="93">
        <f>DL263+DM263+DN263+DO263</f>
        <v>0</v>
      </c>
      <c r="DL263" s="93">
        <f>DL12+DL98+DL118+DL141+DL155+DL163+DL181+DL234</f>
        <v>0</v>
      </c>
      <c r="DM263" s="93">
        <f>DM12+DM98+DM118+DM141+DM155+DM163+DM181+DM234</f>
        <v>0</v>
      </c>
      <c r="DN263" s="93">
        <f>DN12+DN98+DN118+DN141+DN155+DN163+DN181+DN234</f>
        <v>0</v>
      </c>
      <c r="DO263" s="93">
        <f>DO12+DO98+DO118+DO141+DO155+DO163+DO181+DO234</f>
        <v>0</v>
      </c>
      <c r="DP263" s="93">
        <f>DQ263+DR263+DS263+DT263</f>
        <v>0</v>
      </c>
      <c r="DQ263" s="93">
        <f t="shared" ref="DQ263:DX263" si="1631">DQ12+DQ24+DQ43+DQ61+DQ83+DQ98+DQ118+DQ132+DQ141+DQ155+DQ163+DQ181+DQ199+DQ207+DQ224+DQ234+DQ246</f>
        <v>0</v>
      </c>
      <c r="DR263" s="93">
        <f t="shared" si="1631"/>
        <v>0</v>
      </c>
      <c r="DS263" s="93">
        <f t="shared" si="1631"/>
        <v>0</v>
      </c>
      <c r="DT263" s="93">
        <f t="shared" si="1631"/>
        <v>0</v>
      </c>
      <c r="DU263" s="93">
        <f t="shared" si="1631"/>
        <v>0</v>
      </c>
      <c r="DV263" s="93">
        <f t="shared" si="1631"/>
        <v>0</v>
      </c>
      <c r="DW263" s="245">
        <f t="shared" si="1631"/>
        <v>0</v>
      </c>
      <c r="DX263" s="93">
        <f t="shared" ca="1" si="1631"/>
        <v>0</v>
      </c>
      <c r="DY263" s="76"/>
      <c r="DZ263" s="93">
        <f>DZ12+DZ24+DZ43+DZ61+DZ83+DZ98+DZ118+DZ132+DZ141+DZ155+DZ163+DZ181+DZ199+DZ207+DZ224+DZ234+DZ246</f>
        <v>0</v>
      </c>
      <c r="EA263" s="93">
        <f>EA12+EA24+EA43+EA61+EA83+EA98+EA118+EA132+EA141+EA155+EA163+EA181+EA199+EA207+EA224+EA234+EA246</f>
        <v>0</v>
      </c>
      <c r="EB263" s="46"/>
      <c r="EC263" s="7"/>
      <c r="ED263" s="7"/>
      <c r="EE263" s="46"/>
      <c r="EF263" s="7"/>
      <c r="EG263" s="46"/>
      <c r="EH263" s="46"/>
      <c r="EI263" s="7"/>
      <c r="EJ263" s="7"/>
      <c r="EK263" s="93">
        <f>EK12+EK98+EK118+EK141+EK155+EK163+EK181+EK234</f>
        <v>0</v>
      </c>
      <c r="EL263" s="93"/>
      <c r="EM263" s="93"/>
      <c r="EN263" s="93">
        <f>EN12+EN98+EN118+EN141+EN155+EN163+EN181+EN234</f>
        <v>0</v>
      </c>
      <c r="EO263" s="8"/>
      <c r="EP263" s="7"/>
      <c r="EQ263" s="93">
        <f>EQ12+EQ98+EQ118+EQ141+EQ155+EQ163+EQ181+EQ234</f>
        <v>0</v>
      </c>
      <c r="ER263" s="93">
        <f>ER12+ER98+ER118+ER141+ER155+ER163+ER181+ER234</f>
        <v>0</v>
      </c>
      <c r="ES263" s="7"/>
      <c r="ET263" s="7"/>
      <c r="EU263" s="93">
        <f>EU12+EU98+EU118+EU141+EU155+EU163+EU181+EU234</f>
        <v>0</v>
      </c>
      <c r="EV263" s="7"/>
      <c r="EW263" s="325"/>
      <c r="EX263" s="325"/>
      <c r="EY263" s="325"/>
      <c r="EZ263" s="325"/>
      <c r="FA263" s="325"/>
      <c r="FB263" s="325"/>
      <c r="FC263" s="325"/>
      <c r="FD263" s="325"/>
      <c r="FE263" s="325"/>
      <c r="FF263" s="325"/>
      <c r="FG263" s="325"/>
      <c r="FH263" s="325"/>
      <c r="FI263" s="325"/>
      <c r="FJ263" s="7"/>
      <c r="FK263" s="362"/>
      <c r="FL263" s="362"/>
      <c r="FM263" s="362"/>
      <c r="FN263" s="362"/>
      <c r="FO263" s="362"/>
      <c r="FP263" s="362"/>
      <c r="FQ263" s="362"/>
      <c r="FR263" s="362"/>
      <c r="FS263" s="362"/>
      <c r="FT263" s="362"/>
      <c r="FU263" s="362"/>
      <c r="FV263" s="362"/>
      <c r="FW263" s="362"/>
      <c r="FX263" s="325"/>
      <c r="FY263" s="325"/>
      <c r="FZ263" s="325"/>
      <c r="GA263" s="325"/>
      <c r="GB263" s="325"/>
      <c r="GC263" s="325"/>
      <c r="GD263" s="325"/>
      <c r="GE263" s="325"/>
      <c r="GF263" s="325"/>
      <c r="GG263" s="325"/>
      <c r="GH263" s="325"/>
      <c r="GI263" s="325"/>
      <c r="GJ263" s="327"/>
      <c r="GK263" s="303" t="e">
        <f t="shared" si="1215"/>
        <v>#DIV/0!</v>
      </c>
    </row>
    <row r="264" spans="2:193" s="37" customFormat="1" ht="15.75" hidden="1" customHeight="1" thickBot="1" x14ac:dyDescent="0.3">
      <c r="B264" s="32"/>
      <c r="C264" s="33"/>
      <c r="D264" s="32"/>
      <c r="E264" s="39"/>
      <c r="F264" s="32"/>
      <c r="G264" s="33"/>
      <c r="H264" s="32"/>
      <c r="I264" s="32"/>
      <c r="J264" s="32"/>
      <c r="K264" s="32"/>
      <c r="L264" s="32"/>
      <c r="M264" s="39" t="s">
        <v>257</v>
      </c>
      <c r="N264" s="478" t="s">
        <v>253</v>
      </c>
      <c r="O264" s="478"/>
      <c r="P264" s="478"/>
      <c r="Q264" s="478"/>
      <c r="R264" s="478"/>
      <c r="S264" s="478"/>
      <c r="T264" s="478"/>
      <c r="U264" s="478"/>
      <c r="V264" s="23">
        <f t="shared" si="1216"/>
        <v>1457353.3503399999</v>
      </c>
      <c r="W264" s="23">
        <f>W262-W263</f>
        <v>185344.31854000001</v>
      </c>
      <c r="X264" s="23">
        <f>X262-X263</f>
        <v>720855.7</v>
      </c>
      <c r="Y264" s="23">
        <f t="shared" ref="Y264:Z264" si="1632">Y262-Y263</f>
        <v>228431.10000000003</v>
      </c>
      <c r="Z264" s="23">
        <f t="shared" si="1632"/>
        <v>492424.6</v>
      </c>
      <c r="AA264" s="23">
        <f>AA262-AA263</f>
        <v>551153.33180000004</v>
      </c>
      <c r="AB264" s="573">
        <f>AC264+AD264+AG264+AH264</f>
        <v>1457353.3318</v>
      </c>
      <c r="AC264" s="573">
        <f>AC262-AC263</f>
        <v>185344.3</v>
      </c>
      <c r="AD264" s="573">
        <f>AD262-AD263</f>
        <v>720855.7</v>
      </c>
      <c r="AE264" s="573">
        <f t="shared" ref="AE264:AF264" si="1633">AE262-AE263</f>
        <v>228431.10000000003</v>
      </c>
      <c r="AF264" s="573">
        <f t="shared" si="1633"/>
        <v>492424.6</v>
      </c>
      <c r="AG264" s="573">
        <f>AG262-AG263</f>
        <v>551153.33180000004</v>
      </c>
      <c r="AH264" s="573">
        <f>AH262-AH263</f>
        <v>0</v>
      </c>
      <c r="AI264" s="573">
        <f>AJ264+AK264+AL264+AM264</f>
        <v>375074.23800000001</v>
      </c>
      <c r="AJ264" s="573">
        <f>AJ262-AJ263</f>
        <v>96373.05799999999</v>
      </c>
      <c r="AK264" s="573">
        <f>AK262-AK263</f>
        <v>102879</v>
      </c>
      <c r="AL264" s="573">
        <f>AL262-AL263</f>
        <v>175822.18</v>
      </c>
      <c r="AM264" s="573">
        <f>AM262-AM263</f>
        <v>0</v>
      </c>
      <c r="AN264" s="573">
        <f>AO264+AP264+AQ264+AR264</f>
        <v>470874.09299999999</v>
      </c>
      <c r="AO264" s="573">
        <f>AO262-AO263</f>
        <v>164486.35599999997</v>
      </c>
      <c r="AP264" s="573">
        <f>AP262-AP263</f>
        <v>102879</v>
      </c>
      <c r="AQ264" s="573">
        <f>AQ262-AQ263</f>
        <v>203508.73699999999</v>
      </c>
      <c r="AR264" s="573">
        <f>AR262-AR263</f>
        <v>0</v>
      </c>
      <c r="AS264" s="567">
        <f>AT264+AU264+AV264+AW264</f>
        <v>251454.44399999999</v>
      </c>
      <c r="AT264" s="573">
        <f>AT262-AT263</f>
        <v>96373.05799999999</v>
      </c>
      <c r="AU264" s="573">
        <f>AU262-AU263</f>
        <v>44730</v>
      </c>
      <c r="AV264" s="573">
        <f>AV262-AV263</f>
        <v>110351.386</v>
      </c>
      <c r="AW264" s="573">
        <f>AW262-AW263</f>
        <v>0</v>
      </c>
      <c r="AX264" s="410"/>
      <c r="AY264" s="573"/>
      <c r="AZ264" s="573">
        <f t="shared" ref="AZ264:DM264" si="1634">AZ262-AZ263</f>
        <v>185344.31763999999</v>
      </c>
      <c r="BA264" s="573">
        <f t="shared" si="1634"/>
        <v>716239.26753999991</v>
      </c>
      <c r="BB264" s="573">
        <f t="shared" si="1634"/>
        <v>223814.66754000002</v>
      </c>
      <c r="BC264" s="573">
        <f t="shared" si="1634"/>
        <v>492424.6</v>
      </c>
      <c r="BD264" s="573">
        <f t="shared" si="1634"/>
        <v>548945.50308000005</v>
      </c>
      <c r="BE264" s="573">
        <f t="shared" si="1634"/>
        <v>0</v>
      </c>
      <c r="BF264" s="573">
        <f t="shared" si="1217"/>
        <v>6824.2435399999958</v>
      </c>
      <c r="BG264" s="573">
        <f t="shared" si="1218"/>
        <v>-1.764000000548549E-2</v>
      </c>
      <c r="BH264" s="573">
        <f t="shared" si="1219"/>
        <v>4616.4324600000109</v>
      </c>
      <c r="BI264" s="573">
        <f t="shared" si="1220"/>
        <v>4616.4324600000109</v>
      </c>
      <c r="BJ264" s="573">
        <f t="shared" si="1221"/>
        <v>0</v>
      </c>
      <c r="BK264" s="573">
        <f t="shared" si="1222"/>
        <v>2207.8287199999904</v>
      </c>
      <c r="BL264" s="573" t="e">
        <f t="shared" si="1634"/>
        <v>#REF!</v>
      </c>
      <c r="BM264" s="573">
        <f t="shared" si="1634"/>
        <v>642445.59034000011</v>
      </c>
      <c r="BN264" s="573">
        <f t="shared" si="1634"/>
        <v>163796.96234</v>
      </c>
      <c r="BO264" s="573">
        <f t="shared" si="1634"/>
        <v>223922.57699999999</v>
      </c>
      <c r="BP264" s="573">
        <f t="shared" si="1634"/>
        <v>254726.05100000004</v>
      </c>
      <c r="BQ264" s="573">
        <f t="shared" si="1634"/>
        <v>0</v>
      </c>
      <c r="BR264" s="573">
        <f t="shared" si="1634"/>
        <v>0</v>
      </c>
      <c r="BS264" s="573">
        <f t="shared" si="1634"/>
        <v>0</v>
      </c>
      <c r="BT264" s="573">
        <f t="shared" si="1634"/>
        <v>0</v>
      </c>
      <c r="BU264" s="573">
        <f t="shared" si="1634"/>
        <v>0</v>
      </c>
      <c r="BV264" s="573">
        <f t="shared" si="1634"/>
        <v>0</v>
      </c>
      <c r="BW264" s="573">
        <f t="shared" si="1634"/>
        <v>1342011.3527200001</v>
      </c>
      <c r="BX264" s="573">
        <f t="shared" si="1634"/>
        <v>166842.99281</v>
      </c>
      <c r="BY264" s="573">
        <f t="shared" si="1634"/>
        <v>654667.08874000004</v>
      </c>
      <c r="BZ264" s="573">
        <f t="shared" si="1634"/>
        <v>202012.05953000003</v>
      </c>
      <c r="CA264" s="573">
        <f t="shared" si="1634"/>
        <v>452655.02921000007</v>
      </c>
      <c r="CB264" s="573">
        <f t="shared" si="1634"/>
        <v>520501.27117000002</v>
      </c>
      <c r="CC264" s="573">
        <f t="shared" si="1634"/>
        <v>0</v>
      </c>
      <c r="CD264" s="573">
        <f t="shared" si="1634"/>
        <v>1342011.25272</v>
      </c>
      <c r="CE264" s="573">
        <f t="shared" ref="CE264:CI264" si="1635">CE262-CE263</f>
        <v>166842.99281</v>
      </c>
      <c r="CF264" s="573">
        <f t="shared" si="1635"/>
        <v>654667.08874000004</v>
      </c>
      <c r="CG264" s="573">
        <f t="shared" si="1635"/>
        <v>202012.05953000003</v>
      </c>
      <c r="CH264" s="573">
        <f t="shared" si="1635"/>
        <v>452655.02921000007</v>
      </c>
      <c r="CI264" s="573">
        <f t="shared" si="1635"/>
        <v>520501.17117000005</v>
      </c>
      <c r="CJ264" s="573">
        <f t="shared" si="1634"/>
        <v>0</v>
      </c>
      <c r="CK264" s="573">
        <f t="shared" si="1634"/>
        <v>238908.79999999999</v>
      </c>
      <c r="CL264" s="573">
        <f t="shared" si="1634"/>
        <v>11836.477760000002</v>
      </c>
      <c r="CM264" s="573">
        <f t="shared" si="1634"/>
        <v>168059.98470999996</v>
      </c>
      <c r="CN264" s="573">
        <f t="shared" si="1634"/>
        <v>28695.317720000006</v>
      </c>
      <c r="CO264" s="573">
        <f t="shared" si="1634"/>
        <v>45806.000700000004</v>
      </c>
      <c r="CP264" s="573">
        <f t="shared" si="1634"/>
        <v>59012.272929999999</v>
      </c>
      <c r="CQ264" s="568">
        <f t="shared" si="1634"/>
        <v>0</v>
      </c>
      <c r="CR264" s="573">
        <f t="shared" si="1634"/>
        <v>1580919.9881200001</v>
      </c>
      <c r="CS264" s="573">
        <f t="shared" si="1226"/>
        <v>1580919.9881200001</v>
      </c>
      <c r="CT264" s="573">
        <f t="shared" si="1227"/>
        <v>178679.47057</v>
      </c>
      <c r="CU264" s="573">
        <f t="shared" si="1228"/>
        <v>822727.07345000003</v>
      </c>
      <c r="CV264" s="573">
        <f t="shared" si="1229"/>
        <v>579513.44410000008</v>
      </c>
      <c r="CW264" s="568">
        <f t="shared" si="1634"/>
        <v>0</v>
      </c>
      <c r="CX264" s="573">
        <f t="shared" ca="1" si="1339"/>
        <v>0</v>
      </c>
      <c r="CY264" s="573">
        <f t="shared" si="1230"/>
        <v>0</v>
      </c>
      <c r="CZ264" s="573">
        <f t="shared" si="1231"/>
        <v>0</v>
      </c>
      <c r="DA264" s="573">
        <f t="shared" si="1232"/>
        <v>9.9999999976716936E-2</v>
      </c>
      <c r="DB264" s="7">
        <f t="shared" si="1634"/>
        <v>0</v>
      </c>
      <c r="DC264" s="76">
        <f t="shared" si="1634"/>
        <v>0</v>
      </c>
      <c r="DD264" s="272">
        <f t="shared" si="1634"/>
        <v>705003.46490000002</v>
      </c>
      <c r="DE264" s="272">
        <f t="shared" si="1634"/>
        <v>693110.76489999995</v>
      </c>
      <c r="DF264" s="23">
        <f t="shared" si="1634"/>
        <v>0</v>
      </c>
      <c r="DG264" s="23">
        <f t="shared" si="1634"/>
        <v>0</v>
      </c>
      <c r="DH264" s="23">
        <f t="shared" si="1634"/>
        <v>0</v>
      </c>
      <c r="DI264" s="23">
        <f t="shared" si="1634"/>
        <v>0</v>
      </c>
      <c r="DJ264" s="23">
        <f t="shared" si="1634"/>
        <v>0</v>
      </c>
      <c r="DK264" s="23">
        <f t="shared" si="1634"/>
        <v>0</v>
      </c>
      <c r="DL264" s="23">
        <f t="shared" si="1634"/>
        <v>0</v>
      </c>
      <c r="DM264" s="23">
        <f t="shared" si="1634"/>
        <v>0</v>
      </c>
      <c r="DN264" s="23">
        <f t="shared" ref="DN264:EU264" si="1636">DN262-DN263</f>
        <v>0</v>
      </c>
      <c r="DO264" s="23">
        <f t="shared" si="1636"/>
        <v>0</v>
      </c>
      <c r="DP264" s="23">
        <f t="shared" si="1636"/>
        <v>0</v>
      </c>
      <c r="DQ264" s="23">
        <f t="shared" si="1636"/>
        <v>0</v>
      </c>
      <c r="DR264" s="23">
        <f t="shared" si="1636"/>
        <v>0</v>
      </c>
      <c r="DS264" s="23">
        <f t="shared" si="1636"/>
        <v>0</v>
      </c>
      <c r="DT264" s="23">
        <f t="shared" si="1636"/>
        <v>0</v>
      </c>
      <c r="DU264" s="23">
        <f t="shared" si="1636"/>
        <v>0</v>
      </c>
      <c r="DV264" s="23">
        <f t="shared" si="1636"/>
        <v>0</v>
      </c>
      <c r="DW264" s="195">
        <f t="shared" si="1636"/>
        <v>0</v>
      </c>
      <c r="DX264" s="23">
        <f t="shared" ca="1" si="1636"/>
        <v>0</v>
      </c>
      <c r="DY264" s="76">
        <f t="shared" si="1636"/>
        <v>0</v>
      </c>
      <c r="DZ264" s="23">
        <f t="shared" si="1636"/>
        <v>1342011.3527200003</v>
      </c>
      <c r="EA264" s="23">
        <f t="shared" si="1636"/>
        <v>1342011.3527200003</v>
      </c>
      <c r="EB264" s="46">
        <f t="shared" si="1636"/>
        <v>0</v>
      </c>
      <c r="EC264" s="7">
        <f t="shared" si="1636"/>
        <v>1342011.3527200003</v>
      </c>
      <c r="ED264" s="7">
        <f t="shared" ca="1" si="1636"/>
        <v>0</v>
      </c>
      <c r="EE264" s="46">
        <f t="shared" si="1636"/>
        <v>0</v>
      </c>
      <c r="EF264" s="7">
        <f t="shared" si="1636"/>
        <v>-648900.58782000002</v>
      </c>
      <c r="EG264" s="46">
        <f t="shared" si="1636"/>
        <v>0</v>
      </c>
      <c r="EH264" s="46">
        <f t="shared" si="1636"/>
        <v>0</v>
      </c>
      <c r="EI264" s="7">
        <f t="shared" si="1636"/>
        <v>1342011.3527200001</v>
      </c>
      <c r="EJ264" s="7">
        <f t="shared" si="1636"/>
        <v>166842.99281</v>
      </c>
      <c r="EK264" s="23">
        <f t="shared" si="1636"/>
        <v>654667.08874000004</v>
      </c>
      <c r="EL264" s="23">
        <f t="shared" si="1636"/>
        <v>202012.05953000003</v>
      </c>
      <c r="EM264" s="23">
        <f t="shared" si="1636"/>
        <v>452655.02921000007</v>
      </c>
      <c r="EN264" s="23">
        <f t="shared" si="1636"/>
        <v>520501.27117000002</v>
      </c>
      <c r="EO264" s="8">
        <f t="shared" si="1636"/>
        <v>0</v>
      </c>
      <c r="EP264" s="7">
        <f t="shared" si="1636"/>
        <v>238908.73539999998</v>
      </c>
      <c r="EQ264" s="23">
        <f t="shared" si="1636"/>
        <v>11836.477760000002</v>
      </c>
      <c r="ER264" s="23">
        <f t="shared" si="1636"/>
        <v>168059.98470999996</v>
      </c>
      <c r="ES264" s="7">
        <f t="shared" si="1636"/>
        <v>68865.676649999994</v>
      </c>
      <c r="ET264" s="7">
        <f t="shared" si="1636"/>
        <v>100988.87749799997</v>
      </c>
      <c r="EU264" s="23">
        <f t="shared" si="1636"/>
        <v>59012.272929999999</v>
      </c>
      <c r="EV264" s="7"/>
      <c r="EW264" s="325"/>
      <c r="EX264" s="325"/>
      <c r="EY264" s="325"/>
      <c r="EZ264" s="325"/>
      <c r="FA264" s="325"/>
      <c r="FB264" s="325"/>
      <c r="FC264" s="325"/>
      <c r="FD264" s="325"/>
      <c r="FE264" s="325"/>
      <c r="FF264" s="325"/>
      <c r="FG264" s="325"/>
      <c r="FH264" s="325"/>
      <c r="FI264" s="325"/>
      <c r="FJ264" s="7"/>
      <c r="FK264" s="362"/>
      <c r="FL264" s="362"/>
      <c r="FM264" s="362"/>
      <c r="FN264" s="362"/>
      <c r="FO264" s="362"/>
      <c r="FP264" s="362"/>
      <c r="FQ264" s="362"/>
      <c r="FR264" s="362"/>
      <c r="FS264" s="362"/>
      <c r="FT264" s="362"/>
      <c r="FU264" s="362"/>
      <c r="FV264" s="362"/>
      <c r="FW264" s="362"/>
      <c r="FX264" s="325"/>
      <c r="FY264" s="325"/>
      <c r="FZ264" s="325"/>
      <c r="GA264" s="325"/>
      <c r="GB264" s="325"/>
      <c r="GC264" s="325"/>
      <c r="GD264" s="325"/>
      <c r="GE264" s="325"/>
      <c r="GF264" s="325"/>
      <c r="GG264" s="325"/>
      <c r="GH264" s="325"/>
      <c r="GI264" s="325"/>
      <c r="GJ264" s="327"/>
      <c r="GK264" s="303">
        <f t="shared" ref="GK264:GK327" si="1637">BW264/AB264</f>
        <v>0.92085517179451648</v>
      </c>
    </row>
    <row r="265" spans="2:193" s="220" customFormat="1" ht="17.45" hidden="1" customHeight="1" thickBot="1" x14ac:dyDescent="0.3">
      <c r="B265" s="204"/>
      <c r="C265" s="205"/>
      <c r="D265" s="204"/>
      <c r="E265" s="217"/>
      <c r="F265" s="204"/>
      <c r="G265" s="205"/>
      <c r="H265" s="204"/>
      <c r="I265" s="204"/>
      <c r="J265" s="204"/>
      <c r="K265" s="204"/>
      <c r="L265" s="204"/>
      <c r="M265" s="717" t="s">
        <v>251</v>
      </c>
      <c r="N265" s="718"/>
      <c r="O265" s="490"/>
      <c r="P265" s="490"/>
      <c r="Q265" s="490"/>
      <c r="R265" s="490"/>
      <c r="S265" s="490"/>
      <c r="T265" s="490"/>
      <c r="U265" s="207"/>
      <c r="V265" s="273">
        <f>W265+X265+AA265</f>
        <v>0</v>
      </c>
      <c r="W265" s="265">
        <v>0</v>
      </c>
      <c r="X265" s="273"/>
      <c r="Y265" s="273"/>
      <c r="Z265" s="273"/>
      <c r="AA265" s="273"/>
      <c r="AB265" s="612">
        <f>AC265+AD265+AG265</f>
        <v>0</v>
      </c>
      <c r="AC265" s="611">
        <v>0</v>
      </c>
      <c r="AD265" s="612"/>
      <c r="AE265" s="612"/>
      <c r="AF265" s="612"/>
      <c r="AG265" s="612"/>
      <c r="AH265" s="612"/>
      <c r="AI265" s="612">
        <v>0</v>
      </c>
      <c r="AJ265" s="612">
        <v>0</v>
      </c>
      <c r="AK265" s="612"/>
      <c r="AL265" s="612"/>
      <c r="AM265" s="612"/>
      <c r="AN265" s="612">
        <f>AO265</f>
        <v>97565.494999999995</v>
      </c>
      <c r="AO265" s="612">
        <f>42565.495+55000</f>
        <v>97565.494999999995</v>
      </c>
      <c r="AP265" s="612"/>
      <c r="AQ265" s="612"/>
      <c r="AR265" s="612"/>
      <c r="AS265" s="616">
        <f>AT265</f>
        <v>0</v>
      </c>
      <c r="AT265" s="612"/>
      <c r="AU265" s="612"/>
      <c r="AV265" s="612"/>
      <c r="AW265" s="612"/>
      <c r="AX265" s="624"/>
      <c r="AY265" s="612">
        <f>AZ265</f>
        <v>0</v>
      </c>
      <c r="AZ265" s="612"/>
      <c r="BA265" s="625"/>
      <c r="BB265" s="625"/>
      <c r="BC265" s="625"/>
      <c r="BD265" s="625"/>
      <c r="BE265" s="625"/>
      <c r="BF265" s="625">
        <f t="shared" ref="BF265:BF294" si="1638">BG265+BH265+BK265</f>
        <v>0</v>
      </c>
      <c r="BG265" s="625">
        <f t="shared" ref="BG265:BG294" si="1639">AC265-AZ265</f>
        <v>0</v>
      </c>
      <c r="BH265" s="625">
        <f t="shared" ref="BH265:BH294" si="1640">BI265+BJ265</f>
        <v>0</v>
      </c>
      <c r="BI265" s="625">
        <f t="shared" ref="BI265:BI294" si="1641">AE265-BB265</f>
        <v>0</v>
      </c>
      <c r="BJ265" s="625">
        <f t="shared" ref="BJ265:BJ294" si="1642">AF265-BC265</f>
        <v>0</v>
      </c>
      <c r="BK265" s="625">
        <f t="shared" ref="BK265:BK294" si="1643">AG265-BD265</f>
        <v>0</v>
      </c>
      <c r="BL265" s="625"/>
      <c r="BM265" s="612">
        <f>BN265</f>
        <v>0</v>
      </c>
      <c r="BN265" s="612"/>
      <c r="BO265" s="625"/>
      <c r="BP265" s="625"/>
      <c r="BQ265" s="625"/>
      <c r="BR265" s="612">
        <f>BS265</f>
        <v>0</v>
      </c>
      <c r="BS265" s="612"/>
      <c r="BT265" s="625"/>
      <c r="BU265" s="625"/>
      <c r="BV265" s="625"/>
      <c r="BW265" s="612">
        <f>BX265</f>
        <v>0</v>
      </c>
      <c r="BX265" s="612"/>
      <c r="BY265" s="625"/>
      <c r="BZ265" s="625"/>
      <c r="CA265" s="625"/>
      <c r="CB265" s="625"/>
      <c r="CC265" s="625"/>
      <c r="CD265" s="612">
        <f>CE265</f>
        <v>0</v>
      </c>
      <c r="CE265" s="612"/>
      <c r="CF265" s="625"/>
      <c r="CG265" s="625"/>
      <c r="CH265" s="625"/>
      <c r="CI265" s="625"/>
      <c r="CJ265" s="625"/>
      <c r="CK265" s="626">
        <f>CL265</f>
        <v>0</v>
      </c>
      <c r="CL265" s="625"/>
      <c r="CM265" s="625"/>
      <c r="CN265" s="625"/>
      <c r="CO265" s="625"/>
      <c r="CP265" s="625"/>
      <c r="CQ265" s="625"/>
      <c r="CR265" s="612">
        <f t="shared" ref="CR265:CR320" si="1644">CS265</f>
        <v>0</v>
      </c>
      <c r="CS265" s="625">
        <f t="shared" ref="CS265:CS328" si="1645">CT265+CU265+CV265</f>
        <v>0</v>
      </c>
      <c r="CT265" s="625">
        <f t="shared" ref="CT265:CT328" si="1646">CE265+CL265</f>
        <v>0</v>
      </c>
      <c r="CU265" s="625">
        <f t="shared" ref="CU265:CU328" si="1647">CF265+CM265</f>
        <v>0</v>
      </c>
      <c r="CV265" s="625">
        <f t="shared" ref="CV265:CV328" si="1648">CI265+CP265</f>
        <v>0</v>
      </c>
      <c r="CW265" s="625"/>
      <c r="CX265" s="612">
        <f t="shared" ca="1" si="1339"/>
        <v>0</v>
      </c>
      <c r="CY265" s="625">
        <f t="shared" ref="CY265:CY328" si="1649">BX265-CE265</f>
        <v>0</v>
      </c>
      <c r="CZ265" s="625">
        <f t="shared" ref="CZ265:CZ328" si="1650">BY265-CF265</f>
        <v>0</v>
      </c>
      <c r="DA265" s="625">
        <f t="shared" ref="DA265:DA328" si="1651">CB265-CI265</f>
        <v>0</v>
      </c>
      <c r="DB265" s="222"/>
      <c r="DC265" s="218"/>
      <c r="DD265" s="221"/>
      <c r="DE265" s="221"/>
      <c r="DF265" s="273">
        <f>DG265</f>
        <v>0</v>
      </c>
      <c r="DG265" s="273"/>
      <c r="DH265" s="222"/>
      <c r="DI265" s="222"/>
      <c r="DJ265" s="222"/>
      <c r="DK265" s="273"/>
      <c r="DL265" s="273"/>
      <c r="DM265" s="222"/>
      <c r="DN265" s="222"/>
      <c r="DO265" s="222"/>
      <c r="DP265" s="221"/>
      <c r="DQ265" s="221"/>
      <c r="DR265" s="221"/>
      <c r="DS265" s="221"/>
      <c r="DT265" s="221"/>
      <c r="DU265" s="221"/>
      <c r="DV265" s="221"/>
      <c r="DW265" s="221"/>
      <c r="DX265" s="274" t="s">
        <v>300</v>
      </c>
      <c r="DY265" s="218"/>
      <c r="DZ265" s="218"/>
      <c r="EA265" s="219"/>
      <c r="EB265" s="221"/>
      <c r="EC265" s="221">
        <f>EA265</f>
        <v>0</v>
      </c>
      <c r="ED265" s="222"/>
      <c r="EE265" s="221"/>
      <c r="EF265" s="222"/>
      <c r="EG265" s="221"/>
      <c r="EH265" s="221"/>
      <c r="EI265" s="222">
        <f>EJ265</f>
        <v>0</v>
      </c>
      <c r="EJ265" s="222"/>
      <c r="EK265" s="222"/>
      <c r="EL265" s="222"/>
      <c r="EM265" s="222"/>
      <c r="EN265" s="222"/>
      <c r="EO265" s="223"/>
      <c r="EP265" s="222"/>
      <c r="EQ265" s="222"/>
      <c r="ER265" s="222"/>
      <c r="ES265" s="222"/>
      <c r="ET265" s="222"/>
      <c r="EU265" s="222"/>
      <c r="EV265" s="222"/>
      <c r="EW265" s="326"/>
      <c r="EX265" s="326"/>
      <c r="EY265" s="326"/>
      <c r="EZ265" s="326"/>
      <c r="FA265" s="326"/>
      <c r="FB265" s="326"/>
      <c r="FC265" s="326"/>
      <c r="FD265" s="326"/>
      <c r="FE265" s="326"/>
      <c r="FF265" s="326"/>
      <c r="FG265" s="326"/>
      <c r="FH265" s="326"/>
      <c r="FI265" s="326"/>
      <c r="FJ265" s="222"/>
      <c r="FK265" s="363"/>
      <c r="FL265" s="363"/>
      <c r="FM265" s="363"/>
      <c r="FN265" s="363"/>
      <c r="FO265" s="363"/>
      <c r="FP265" s="363"/>
      <c r="FQ265" s="363"/>
      <c r="FR265" s="363"/>
      <c r="FS265" s="363"/>
      <c r="FT265" s="363"/>
      <c r="FU265" s="363"/>
      <c r="FV265" s="363"/>
      <c r="FW265" s="363"/>
      <c r="FX265" s="326"/>
      <c r="FY265" s="326"/>
      <c r="FZ265" s="326"/>
      <c r="GA265" s="326"/>
      <c r="GB265" s="326"/>
      <c r="GC265" s="326"/>
      <c r="GD265" s="326"/>
      <c r="GE265" s="326"/>
      <c r="GF265" s="326"/>
      <c r="GG265" s="326"/>
      <c r="GH265" s="326"/>
      <c r="GI265" s="326"/>
      <c r="GJ265" s="458"/>
      <c r="GK265" s="464" t="e">
        <f t="shared" si="1637"/>
        <v>#DIV/0!</v>
      </c>
    </row>
    <row r="266" spans="2:193" s="115" customFormat="1" ht="32.25" hidden="1" customHeight="1" thickTop="1" x14ac:dyDescent="0.2">
      <c r="B266" s="122"/>
      <c r="C266" s="123"/>
      <c r="D266" s="122"/>
      <c r="E266" s="119"/>
      <c r="F266" s="122"/>
      <c r="G266" s="123"/>
      <c r="H266" s="122"/>
      <c r="I266" s="122"/>
      <c r="J266" s="122"/>
      <c r="K266" s="122"/>
      <c r="L266" s="122"/>
      <c r="M266" s="707" t="s">
        <v>281</v>
      </c>
      <c r="N266" s="708"/>
      <c r="O266" s="487"/>
      <c r="P266" s="487"/>
      <c r="Q266" s="487"/>
      <c r="R266" s="487"/>
      <c r="S266" s="487"/>
      <c r="T266" s="162">
        <f>T276+T282+T285</f>
        <v>2</v>
      </c>
      <c r="U266" s="162">
        <f>U276+U282</f>
        <v>3</v>
      </c>
      <c r="V266" s="57">
        <f t="shared" si="1216"/>
        <v>1457353.3503399999</v>
      </c>
      <c r="W266" s="57">
        <f>W262+W265</f>
        <v>185344.31854000001</v>
      </c>
      <c r="X266" s="57">
        <f>X262+X265</f>
        <v>720855.7</v>
      </c>
      <c r="Y266" s="57">
        <f t="shared" ref="Y266:Z266" si="1652">Y262+Y265</f>
        <v>228431.10000000003</v>
      </c>
      <c r="Z266" s="57">
        <f t="shared" si="1652"/>
        <v>492424.6</v>
      </c>
      <c r="AA266" s="57">
        <f>AA262+AA265</f>
        <v>551153.33180000004</v>
      </c>
      <c r="AB266" s="564">
        <f>AC266+AD266+AG266+AH266</f>
        <v>1457353.3318</v>
      </c>
      <c r="AC266" s="564">
        <f>AC262+AC265</f>
        <v>185344.3</v>
      </c>
      <c r="AD266" s="564">
        <f>AD262+AD265</f>
        <v>720855.7</v>
      </c>
      <c r="AE266" s="564">
        <f t="shared" ref="AE266:AF266" si="1653">AE262+AE265</f>
        <v>228431.10000000003</v>
      </c>
      <c r="AF266" s="564">
        <f t="shared" si="1653"/>
        <v>492424.6</v>
      </c>
      <c r="AG266" s="564">
        <f>AG262+AG265</f>
        <v>551153.33180000004</v>
      </c>
      <c r="AH266" s="564">
        <f>AH262+AH265</f>
        <v>0</v>
      </c>
      <c r="AI266" s="564">
        <f>AJ266+AK266+AL266+AM266</f>
        <v>375074.23800000001</v>
      </c>
      <c r="AJ266" s="564">
        <f>AJ262+AJ265</f>
        <v>96373.05799999999</v>
      </c>
      <c r="AK266" s="564">
        <f>AK262+AK265</f>
        <v>102879</v>
      </c>
      <c r="AL266" s="564">
        <f>AL262+AL265</f>
        <v>175822.18</v>
      </c>
      <c r="AM266" s="564">
        <f>AM262+AM265</f>
        <v>0</v>
      </c>
      <c r="AN266" s="564">
        <f>AO266+AP266+AQ266+AR266</f>
        <v>568439.58799999999</v>
      </c>
      <c r="AO266" s="564">
        <f>AO262+AO265</f>
        <v>262051.85099999997</v>
      </c>
      <c r="AP266" s="564">
        <f>AP262+AP265</f>
        <v>102879</v>
      </c>
      <c r="AQ266" s="564">
        <f>AQ262+AQ265</f>
        <v>203508.73699999999</v>
      </c>
      <c r="AR266" s="564">
        <f>AR262+AR265</f>
        <v>0</v>
      </c>
      <c r="AS266" s="566">
        <f>AT266+AU266+AV266+AW266</f>
        <v>251454.44399999999</v>
      </c>
      <c r="AT266" s="564">
        <f>AT262+AT265</f>
        <v>96373.05799999999</v>
      </c>
      <c r="AU266" s="564">
        <f>AU262+AU265</f>
        <v>44730</v>
      </c>
      <c r="AV266" s="564">
        <f>AV262+AV265</f>
        <v>110351.386</v>
      </c>
      <c r="AW266" s="564">
        <f>AW262+AW265</f>
        <v>0</v>
      </c>
      <c r="AX266" s="610"/>
      <c r="AY266" s="564">
        <f>AZ266+BA266+BD266+BE266</f>
        <v>1450529.0882600001</v>
      </c>
      <c r="AZ266" s="564">
        <f>AZ262+AZ265</f>
        <v>185344.31763999999</v>
      </c>
      <c r="BA266" s="564">
        <f>BA262+BA265</f>
        <v>716239.26753999991</v>
      </c>
      <c r="BB266" s="564">
        <f t="shared" ref="BB266:BC266" si="1654">BB262+BB265</f>
        <v>223814.66754000002</v>
      </c>
      <c r="BC266" s="564">
        <f t="shared" si="1654"/>
        <v>492424.6</v>
      </c>
      <c r="BD266" s="564">
        <f>BD262+BD265</f>
        <v>548945.50308000005</v>
      </c>
      <c r="BE266" s="564">
        <f>BE262+BE265</f>
        <v>0</v>
      </c>
      <c r="BF266" s="564">
        <f t="shared" si="1638"/>
        <v>6824.2435399999958</v>
      </c>
      <c r="BG266" s="564">
        <f t="shared" si="1639"/>
        <v>-1.764000000548549E-2</v>
      </c>
      <c r="BH266" s="564">
        <f t="shared" si="1640"/>
        <v>4616.4324600000109</v>
      </c>
      <c r="BI266" s="564">
        <f t="shared" si="1641"/>
        <v>4616.4324600000109</v>
      </c>
      <c r="BJ266" s="564">
        <f t="shared" si="1642"/>
        <v>0</v>
      </c>
      <c r="BK266" s="564">
        <f t="shared" si="1643"/>
        <v>2207.8287199999904</v>
      </c>
      <c r="BL266" s="564" t="e">
        <f>BL262+BL265</f>
        <v>#REF!</v>
      </c>
      <c r="BM266" s="564">
        <f>BN266+BO266+BP266+BQ266</f>
        <v>642445.59034000011</v>
      </c>
      <c r="BN266" s="564">
        <f>BN262+BN265</f>
        <v>163796.96234</v>
      </c>
      <c r="BO266" s="564">
        <f>BO262+BO265</f>
        <v>223922.57699999999</v>
      </c>
      <c r="BP266" s="564">
        <f>BP262+BP265</f>
        <v>254726.05100000004</v>
      </c>
      <c r="BQ266" s="564">
        <f>BQ262+BQ265</f>
        <v>0</v>
      </c>
      <c r="BR266" s="564">
        <f>BS266+BT266+BU266+BV266</f>
        <v>0</v>
      </c>
      <c r="BS266" s="564">
        <f>BS262+BS265</f>
        <v>0</v>
      </c>
      <c r="BT266" s="564">
        <f>BT262+BT265</f>
        <v>0</v>
      </c>
      <c r="BU266" s="564">
        <f>BU262+BU265</f>
        <v>0</v>
      </c>
      <c r="BV266" s="564">
        <f>BV262+BV265</f>
        <v>0</v>
      </c>
      <c r="BW266" s="564">
        <f>BX266+BY266+CB266+CC266</f>
        <v>1342011.3527200001</v>
      </c>
      <c r="BX266" s="564">
        <f>BX262+BX265</f>
        <v>166842.99281</v>
      </c>
      <c r="BY266" s="564">
        <f>BY262+BY265</f>
        <v>654667.08874000004</v>
      </c>
      <c r="BZ266" s="564">
        <f t="shared" ref="BZ266:CA266" si="1655">BZ262+BZ265</f>
        <v>202012.05953000003</v>
      </c>
      <c r="CA266" s="564">
        <f t="shared" si="1655"/>
        <v>452655.02921000007</v>
      </c>
      <c r="CB266" s="564">
        <f>CB262+CB265</f>
        <v>520501.27117000002</v>
      </c>
      <c r="CC266" s="564">
        <f>CC262+CC265</f>
        <v>0</v>
      </c>
      <c r="CD266" s="564">
        <f>CE266+CF266+CI266+CJ266</f>
        <v>1342011.25272</v>
      </c>
      <c r="CE266" s="564">
        <f>CE262+CE265</f>
        <v>166842.99281</v>
      </c>
      <c r="CF266" s="564">
        <f>CF262+CF265</f>
        <v>654667.08874000004</v>
      </c>
      <c r="CG266" s="564">
        <f t="shared" ref="CG266:CH266" si="1656">CG262+CG265</f>
        <v>202012.05953000003</v>
      </c>
      <c r="CH266" s="564">
        <f t="shared" si="1656"/>
        <v>452655.02921000007</v>
      </c>
      <c r="CI266" s="564">
        <f>CI262+CI265</f>
        <v>520501.17117000005</v>
      </c>
      <c r="CJ266" s="564">
        <f>CJ262+CJ265</f>
        <v>0</v>
      </c>
      <c r="CK266" s="564">
        <f>CL266+CM266+CP266+CQ266</f>
        <v>238908.73539999998</v>
      </c>
      <c r="CL266" s="564">
        <f>CL262+CL265</f>
        <v>11836.477760000002</v>
      </c>
      <c r="CM266" s="564">
        <f>CM262+CM265</f>
        <v>168059.98470999996</v>
      </c>
      <c r="CN266" s="564">
        <f t="shared" ref="CN266:CO266" si="1657">CN262+CN265</f>
        <v>28695.317720000006</v>
      </c>
      <c r="CO266" s="564">
        <f t="shared" si="1657"/>
        <v>45806.000700000004</v>
      </c>
      <c r="CP266" s="564">
        <f>CP262+CP265</f>
        <v>59012.272929999999</v>
      </c>
      <c r="CQ266" s="564">
        <f>CQ262+CQ265</f>
        <v>0</v>
      </c>
      <c r="CR266" s="564">
        <f t="shared" si="1644"/>
        <v>1580919.9881200001</v>
      </c>
      <c r="CS266" s="564">
        <f t="shared" si="1645"/>
        <v>1580919.9881200001</v>
      </c>
      <c r="CT266" s="564">
        <f t="shared" si="1646"/>
        <v>178679.47057</v>
      </c>
      <c r="CU266" s="564">
        <f t="shared" si="1647"/>
        <v>822727.07345000003</v>
      </c>
      <c r="CV266" s="564">
        <f t="shared" si="1648"/>
        <v>579513.44410000008</v>
      </c>
      <c r="CW266" s="564">
        <f>CW262+CW265</f>
        <v>0</v>
      </c>
      <c r="CX266" s="564">
        <f t="shared" ca="1" si="1339"/>
        <v>0</v>
      </c>
      <c r="CY266" s="564">
        <f t="shared" si="1649"/>
        <v>0</v>
      </c>
      <c r="CZ266" s="564">
        <f t="shared" si="1650"/>
        <v>0</v>
      </c>
      <c r="DA266" s="564">
        <f t="shared" si="1651"/>
        <v>9.9999999976716936E-2</v>
      </c>
      <c r="DB266" s="57">
        <f>DB262+DB265</f>
        <v>0</v>
      </c>
      <c r="DC266" s="225"/>
      <c r="DD266" s="124"/>
      <c r="DE266" s="124">
        <f>DD262+DF262-BR262</f>
        <v>705003.46490000002</v>
      </c>
      <c r="DF266" s="57">
        <f>DG266+DH266+DI266+DJ266</f>
        <v>0</v>
      </c>
      <c r="DG266" s="57">
        <f>DG262+DG265</f>
        <v>0</v>
      </c>
      <c r="DH266" s="57">
        <f>DH262+DH265</f>
        <v>0</v>
      </c>
      <c r="DI266" s="57">
        <f>DI262+DI265</f>
        <v>0</v>
      </c>
      <c r="DJ266" s="57">
        <f>DJ262+DJ265</f>
        <v>0</v>
      </c>
      <c r="DK266" s="57">
        <f>DL266+DM266+DN266+DO266</f>
        <v>0</v>
      </c>
      <c r="DL266" s="57">
        <f>DL262+DL265</f>
        <v>0</v>
      </c>
      <c r="DM266" s="57">
        <f>DM262+DM265</f>
        <v>0</v>
      </c>
      <c r="DN266" s="57">
        <f>DN262+DN265</f>
        <v>0</v>
      </c>
      <c r="DO266" s="57">
        <f>DO262+DO265</f>
        <v>0</v>
      </c>
      <c r="DP266" s="57">
        <f>DQ266+DR266+DS266+DT266</f>
        <v>0</v>
      </c>
      <c r="DQ266" s="57">
        <f t="shared" ref="DQ266:DW266" si="1658">DQ262+DQ265</f>
        <v>0</v>
      </c>
      <c r="DR266" s="57">
        <f t="shared" si="1658"/>
        <v>0</v>
      </c>
      <c r="DS266" s="57">
        <f t="shared" si="1658"/>
        <v>0</v>
      </c>
      <c r="DT266" s="57">
        <f t="shared" si="1658"/>
        <v>0</v>
      </c>
      <c r="DU266" s="57">
        <f t="shared" si="1658"/>
        <v>0</v>
      </c>
      <c r="DV266" s="57">
        <f t="shared" si="1658"/>
        <v>0</v>
      </c>
      <c r="DW266" s="77">
        <f t="shared" si="1658"/>
        <v>0</v>
      </c>
      <c r="DX266" s="240"/>
      <c r="DY266" s="225"/>
      <c r="DZ266" s="225"/>
      <c r="EA266" s="241"/>
      <c r="EB266" s="124"/>
      <c r="EC266" s="57">
        <f>EC262+EC265</f>
        <v>1342011.3527200003</v>
      </c>
      <c r="ED266" s="57">
        <f ca="1">ED262+ED265</f>
        <v>0</v>
      </c>
      <c r="EE266" s="124"/>
      <c r="EF266" s="57">
        <f>EF262+EF265</f>
        <v>-648900.58782000002</v>
      </c>
      <c r="EG266" s="124"/>
      <c r="EH266" s="124"/>
      <c r="EI266" s="57">
        <f>EJ266+EK266+EN266+EO266</f>
        <v>1342011.3527200001</v>
      </c>
      <c r="EJ266" s="57">
        <f>EJ262+EJ265</f>
        <v>166842.99281</v>
      </c>
      <c r="EK266" s="57">
        <f>EK262+EK265</f>
        <v>654667.08874000004</v>
      </c>
      <c r="EL266" s="57">
        <f t="shared" ref="EL266:EM266" si="1659">EL262+EL265</f>
        <v>202012.05953000003</v>
      </c>
      <c r="EM266" s="57">
        <f t="shared" si="1659"/>
        <v>452655.02921000007</v>
      </c>
      <c r="EN266" s="57">
        <f>EN262+EN265</f>
        <v>520501.27117000002</v>
      </c>
      <c r="EO266" s="57">
        <f>EO262+EO265</f>
        <v>0</v>
      </c>
      <c r="EP266" s="57">
        <f t="shared" ref="EP266:EP293" si="1660">EQ266+ER266+EU266</f>
        <v>238908.73539999998</v>
      </c>
      <c r="EQ266" s="57">
        <f>EQ262+EQ265</f>
        <v>11836.477760000002</v>
      </c>
      <c r="ER266" s="57">
        <f>ER262+ER265</f>
        <v>168059.98470999996</v>
      </c>
      <c r="ES266" s="57">
        <f t="shared" ref="ES266:ET266" si="1661">ES262+ES265</f>
        <v>68865.676649999994</v>
      </c>
      <c r="ET266" s="57">
        <f t="shared" si="1661"/>
        <v>100988.87749799997</v>
      </c>
      <c r="EU266" s="57">
        <f>EU262+EU265</f>
        <v>59012.272929999999</v>
      </c>
      <c r="EV266" s="57">
        <f>EV262+EV265</f>
        <v>0</v>
      </c>
      <c r="EW266" s="57">
        <f t="shared" ref="EW266" si="1662">EX266+EY266+EZ266</f>
        <v>40498.388749999998</v>
      </c>
      <c r="EX266" s="57">
        <f>EX270+EX273+EX276+EX279+EX282+EX285+EX288+EX291</f>
        <v>40421.86436</v>
      </c>
      <c r="EY266" s="57">
        <f>EY270+EY273+EY276+EY279+EY282+EY285+EY288+EY291</f>
        <v>76.524389999999997</v>
      </c>
      <c r="EZ266" s="57"/>
      <c r="FA266" s="57"/>
      <c r="FB266" s="57">
        <f>FC266+FD266</f>
        <v>41260.54679</v>
      </c>
      <c r="FC266" s="57">
        <f>FC270+FC273+FC276+FC279+FC282+FC285+FC288+FC291</f>
        <v>40421.86436</v>
      </c>
      <c r="FD266" s="57">
        <f>FD270+FD273+FD276+FD279+FD282+FD285+FD288+FD291</f>
        <v>838.68243000000007</v>
      </c>
      <c r="FE266" s="57"/>
      <c r="FF266" s="57"/>
      <c r="FG266" s="57"/>
      <c r="FH266" s="57"/>
      <c r="FI266" s="57"/>
      <c r="FJ266" s="57">
        <f t="shared" ref="FJ266" si="1663">FJ262+FJ265</f>
        <v>0</v>
      </c>
      <c r="FK266" s="57">
        <f t="shared" ref="FK266" si="1664">FL266+FM266+FN266</f>
        <v>716239.26753999991</v>
      </c>
      <c r="FL266" s="57">
        <f>FL262+FL265</f>
        <v>716239.26753999991</v>
      </c>
      <c r="FM266" s="57">
        <f>FM262+FM265</f>
        <v>0</v>
      </c>
      <c r="FN266" s="57"/>
      <c r="FO266" s="57"/>
      <c r="FP266" s="57">
        <f t="shared" ref="FP266" si="1665">FQ266+FR266+FS266</f>
        <v>200309.28535999998</v>
      </c>
      <c r="FQ266" s="57">
        <f t="shared" ref="FQ266:FR266" si="1666">FQ262+FQ265</f>
        <v>182401.98835999999</v>
      </c>
      <c r="FR266" s="57">
        <f t="shared" si="1666"/>
        <v>17907.296999999999</v>
      </c>
      <c r="FS266" s="57"/>
      <c r="FT266" s="57"/>
      <c r="FU266" s="57"/>
      <c r="FV266" s="57"/>
      <c r="FW266" s="57"/>
      <c r="FX266" s="57">
        <f t="shared" ref="FX266" si="1667">FY266+FZ266+GA266</f>
        <v>548945.50308000005</v>
      </c>
      <c r="FY266" s="57">
        <f>FY262+FY265</f>
        <v>548945.50308000005</v>
      </c>
      <c r="FZ266" s="57">
        <f>FZ262+FZ265</f>
        <v>0</v>
      </c>
      <c r="GA266" s="57">
        <f>GA262+GA265</f>
        <v>0</v>
      </c>
      <c r="GB266" s="57">
        <f>GB262+GB265</f>
        <v>0</v>
      </c>
      <c r="GC266" s="57">
        <f t="shared" ref="GC266" si="1668">GD266+GE266+GF266</f>
        <v>579513.54410000006</v>
      </c>
      <c r="GD266" s="57">
        <f t="shared" ref="GD266:GE266" si="1669">GD262+GD265</f>
        <v>520501.27117000002</v>
      </c>
      <c r="GE266" s="57">
        <f t="shared" si="1669"/>
        <v>59012.272929999999</v>
      </c>
      <c r="GF266" s="57"/>
      <c r="GG266" s="57"/>
      <c r="GH266" s="57"/>
      <c r="GI266" s="57"/>
      <c r="GJ266" s="77"/>
      <c r="GK266" s="462">
        <f t="shared" si="1637"/>
        <v>0.92085517179451648</v>
      </c>
    </row>
    <row r="267" spans="2:193" s="37" customFormat="1" ht="94.9" customHeight="1" thickTop="1" x14ac:dyDescent="0.25">
      <c r="B267" s="32"/>
      <c r="C267" s="33"/>
      <c r="D267" s="32"/>
      <c r="E267" s="39"/>
      <c r="F267" s="32"/>
      <c r="G267" s="33"/>
      <c r="H267" s="32"/>
      <c r="I267" s="32"/>
      <c r="J267" s="32"/>
      <c r="K267" s="32"/>
      <c r="L267" s="32"/>
      <c r="M267" s="709" t="s">
        <v>375</v>
      </c>
      <c r="N267" s="710"/>
      <c r="O267" s="488"/>
      <c r="P267" s="488"/>
      <c r="Q267" s="488"/>
      <c r="R267" s="488"/>
      <c r="S267" s="488"/>
      <c r="T267" s="163"/>
      <c r="U267" s="163"/>
      <c r="V267" s="3">
        <f>V268+V269</f>
        <v>40421.86436</v>
      </c>
      <c r="W267" s="3">
        <f>W277+W283+W286</f>
        <v>40421.86436</v>
      </c>
      <c r="X267" s="150"/>
      <c r="Y267" s="150"/>
      <c r="Z267" s="150"/>
      <c r="AA267" s="150"/>
      <c r="AB267" s="627">
        <f>AB268+AB269</f>
        <v>40421.86436</v>
      </c>
      <c r="AC267" s="627">
        <f>AC277+AC283+AC286</f>
        <v>40421.86436</v>
      </c>
      <c r="AD267" s="627"/>
      <c r="AE267" s="627"/>
      <c r="AF267" s="627"/>
      <c r="AG267" s="627"/>
      <c r="AH267" s="627"/>
      <c r="AI267" s="627">
        <f>AI268+AI269</f>
        <v>338354.89300000004</v>
      </c>
      <c r="AJ267" s="627">
        <f>AJ268+AJ269</f>
        <v>338354.89300000004</v>
      </c>
      <c r="AK267" s="627"/>
      <c r="AL267" s="627"/>
      <c r="AM267" s="627"/>
      <c r="AN267" s="627">
        <f>AN268+AN269</f>
        <v>248753.59999999998</v>
      </c>
      <c r="AO267" s="627">
        <f>AO268+AO269</f>
        <v>248753.59999999998</v>
      </c>
      <c r="AP267" s="627"/>
      <c r="AQ267" s="627"/>
      <c r="AR267" s="627"/>
      <c r="AS267" s="628">
        <f>AS268+AS269</f>
        <v>248753.59999999998</v>
      </c>
      <c r="AT267" s="627">
        <f>AT268+AT269</f>
        <v>248753.59999999998</v>
      </c>
      <c r="AU267" s="627"/>
      <c r="AV267" s="627"/>
      <c r="AW267" s="627"/>
      <c r="AX267" s="412"/>
      <c r="AY267" s="627">
        <f>AY268+AY269</f>
        <v>40421.86436</v>
      </c>
      <c r="AZ267" s="627">
        <f>AZ268+AZ269</f>
        <v>40421.86436</v>
      </c>
      <c r="BA267" s="583"/>
      <c r="BB267" s="583"/>
      <c r="BC267" s="583"/>
      <c r="BD267" s="583"/>
      <c r="BE267" s="583"/>
      <c r="BF267" s="627">
        <f t="shared" si="1638"/>
        <v>0</v>
      </c>
      <c r="BG267" s="628">
        <f t="shared" si="1639"/>
        <v>0</v>
      </c>
      <c r="BH267" s="567"/>
      <c r="BI267" s="567"/>
      <c r="BJ267" s="567"/>
      <c r="BK267" s="567"/>
      <c r="BL267" s="567"/>
      <c r="BM267" s="627">
        <f>BM268+BM269</f>
        <v>151292.26144</v>
      </c>
      <c r="BN267" s="627">
        <f>BN268+BN269</f>
        <v>151292.26144</v>
      </c>
      <c r="BO267" s="583"/>
      <c r="BP267" s="583"/>
      <c r="BQ267" s="583"/>
      <c r="BR267" s="627">
        <f>BR268+BR269</f>
        <v>0</v>
      </c>
      <c r="BS267" s="627">
        <f>BS268+BS269</f>
        <v>0</v>
      </c>
      <c r="BT267" s="583"/>
      <c r="BU267" s="583"/>
      <c r="BV267" s="583"/>
      <c r="BW267" s="627">
        <f>BW268+BW269</f>
        <v>40421.86436</v>
      </c>
      <c r="BX267" s="627">
        <f>BX268+BX269</f>
        <v>40421.86436</v>
      </c>
      <c r="BY267" s="583"/>
      <c r="BZ267" s="583"/>
      <c r="CA267" s="583"/>
      <c r="CB267" s="583"/>
      <c r="CC267" s="583"/>
      <c r="CD267" s="627">
        <f>CD268+CD269</f>
        <v>40421.86436</v>
      </c>
      <c r="CE267" s="627">
        <f>CE268+CE269</f>
        <v>40421.86436</v>
      </c>
      <c r="CF267" s="583"/>
      <c r="CG267" s="583"/>
      <c r="CH267" s="583"/>
      <c r="CI267" s="583"/>
      <c r="CJ267" s="583"/>
      <c r="CK267" s="585">
        <f>CK268+CK269</f>
        <v>838.68243000000007</v>
      </c>
      <c r="CL267" s="629">
        <f>CL268+CL269</f>
        <v>838.68243000000007</v>
      </c>
      <c r="CM267" s="629"/>
      <c r="CN267" s="629"/>
      <c r="CO267" s="629"/>
      <c r="CP267" s="629"/>
      <c r="CQ267" s="629"/>
      <c r="CR267" s="627">
        <f t="shared" si="1644"/>
        <v>41260.54679</v>
      </c>
      <c r="CS267" s="629">
        <f t="shared" si="1645"/>
        <v>41260.54679</v>
      </c>
      <c r="CT267" s="629">
        <f t="shared" si="1646"/>
        <v>41260.54679</v>
      </c>
      <c r="CU267" s="583"/>
      <c r="CV267" s="583"/>
      <c r="CW267" s="583"/>
      <c r="CX267" s="629">
        <f t="shared" ca="1" si="1339"/>
        <v>0</v>
      </c>
      <c r="CY267" s="629">
        <f t="shared" si="1649"/>
        <v>0</v>
      </c>
      <c r="CZ267" s="629"/>
      <c r="DA267" s="629"/>
      <c r="DB267" s="275"/>
      <c r="DC267" s="76"/>
      <c r="DD267" s="46"/>
      <c r="DE267" s="46">
        <f>DE266-DE262</f>
        <v>11892.70000000007</v>
      </c>
      <c r="DF267" s="3">
        <f t="shared" ref="DF267:DG267" si="1670">DF268+DF269</f>
        <v>0</v>
      </c>
      <c r="DG267" s="3">
        <f t="shared" si="1670"/>
        <v>0</v>
      </c>
      <c r="DH267" s="7"/>
      <c r="DI267" s="7"/>
      <c r="DJ267" s="7"/>
      <c r="DK267" s="3">
        <f t="shared" ref="DK267:DL267" si="1671">DK268+DK269</f>
        <v>0</v>
      </c>
      <c r="DL267" s="3">
        <f t="shared" si="1671"/>
        <v>0</v>
      </c>
      <c r="DM267" s="7"/>
      <c r="DN267" s="7"/>
      <c r="DO267" s="7"/>
      <c r="DP267" s="46"/>
      <c r="DQ267" s="46"/>
      <c r="DR267" s="46"/>
      <c r="DS267" s="46"/>
      <c r="DT267" s="46"/>
      <c r="DU267" s="46"/>
      <c r="DV267" s="276"/>
      <c r="DW267" s="46"/>
      <c r="DX267" s="244">
        <f>DZ267-EA267</f>
        <v>0</v>
      </c>
      <c r="DY267" s="244"/>
      <c r="DZ267" s="244">
        <f>BW267</f>
        <v>40421.86436</v>
      </c>
      <c r="EA267" s="244">
        <f>CD267</f>
        <v>40421.86436</v>
      </c>
      <c r="EB267" s="46"/>
      <c r="EC267" s="46"/>
      <c r="ED267" s="46"/>
      <c r="EE267" s="46"/>
      <c r="EF267" s="46"/>
      <c r="EG267" s="46"/>
      <c r="EH267" s="46"/>
      <c r="EI267" s="275">
        <f>EI268+EI269</f>
        <v>40421.86436</v>
      </c>
      <c r="EJ267" s="275">
        <f>EJ268+EJ269</f>
        <v>40421.86436</v>
      </c>
      <c r="EK267" s="7"/>
      <c r="EL267" s="7"/>
      <c r="EM267" s="7"/>
      <c r="EN267" s="7"/>
      <c r="EO267" s="263"/>
      <c r="EP267" s="275">
        <f t="shared" si="1660"/>
        <v>838.68243000000007</v>
      </c>
      <c r="EQ267" s="275">
        <f>EQ268+EQ269</f>
        <v>838.68243000000007</v>
      </c>
      <c r="ER267" s="275"/>
      <c r="ES267" s="236"/>
      <c r="ET267" s="236"/>
      <c r="EU267" s="275"/>
      <c r="EV267" s="7"/>
      <c r="EW267" s="312"/>
      <c r="EX267" s="312"/>
      <c r="EY267" s="312"/>
      <c r="EZ267" s="312"/>
      <c r="FA267" s="312"/>
      <c r="FB267" s="312"/>
      <c r="FC267" s="312"/>
      <c r="FD267" s="312"/>
      <c r="FE267" s="312"/>
      <c r="FF267" s="312"/>
      <c r="FG267" s="312"/>
      <c r="FH267" s="312"/>
      <c r="FI267" s="312"/>
      <c r="FJ267" s="236"/>
      <c r="FK267" s="354"/>
      <c r="FL267" s="354"/>
      <c r="FM267" s="354"/>
      <c r="FN267" s="354"/>
      <c r="FO267" s="354"/>
      <c r="FP267" s="354"/>
      <c r="FQ267" s="354"/>
      <c r="FR267" s="354"/>
      <c r="FS267" s="354"/>
      <c r="FT267" s="354"/>
      <c r="FU267" s="354"/>
      <c r="FV267" s="354"/>
      <c r="FW267" s="354"/>
      <c r="FX267" s="312"/>
      <c r="FY267" s="312"/>
      <c r="FZ267" s="312"/>
      <c r="GA267" s="312"/>
      <c r="GB267" s="312"/>
      <c r="GC267" s="312"/>
      <c r="GD267" s="312"/>
      <c r="GE267" s="312"/>
      <c r="GF267" s="312"/>
      <c r="GG267" s="312"/>
      <c r="GH267" s="312"/>
      <c r="GI267" s="312"/>
      <c r="GJ267" s="456"/>
      <c r="GK267" s="303">
        <f t="shared" si="1637"/>
        <v>1</v>
      </c>
    </row>
    <row r="268" spans="2:193" s="37" customFormat="1" ht="18.600000000000001" hidden="1" customHeight="1" x14ac:dyDescent="0.25">
      <c r="B268" s="32"/>
      <c r="C268" s="33"/>
      <c r="D268" s="32"/>
      <c r="E268" s="39"/>
      <c r="F268" s="32"/>
      <c r="G268" s="33"/>
      <c r="H268" s="32"/>
      <c r="I268" s="32"/>
      <c r="J268" s="32"/>
      <c r="K268" s="32"/>
      <c r="L268" s="32"/>
      <c r="M268" s="65"/>
      <c r="N268" s="66" t="s">
        <v>284</v>
      </c>
      <c r="O268" s="66"/>
      <c r="P268" s="66"/>
      <c r="Q268" s="66"/>
      <c r="R268" s="66"/>
      <c r="S268" s="66"/>
      <c r="T268" s="164"/>
      <c r="U268" s="164"/>
      <c r="V268" s="2">
        <f>W268</f>
        <v>40421.86436</v>
      </c>
      <c r="W268" s="2">
        <f>W271+W274+W277+W280+W283+W286+W289+W292</f>
        <v>40421.86436</v>
      </c>
      <c r="X268" s="141"/>
      <c r="Y268" s="141"/>
      <c r="Z268" s="141"/>
      <c r="AA268" s="150"/>
      <c r="AB268" s="567">
        <f>AB271+AB274+AB277+AB280+AB283+AB286+AB289+AB292</f>
        <v>40421.86436</v>
      </c>
      <c r="AC268" s="567">
        <f>AC271+AC274+AC277+AC280+AC283+AC286+AC289+AC292</f>
        <v>40421.86436</v>
      </c>
      <c r="AD268" s="567"/>
      <c r="AE268" s="567"/>
      <c r="AF268" s="567"/>
      <c r="AG268" s="627"/>
      <c r="AH268" s="627"/>
      <c r="AI268" s="567">
        <f>AI271+AI274+AI277+AI280+AI283+AI286+AI289+AI292</f>
        <v>304613.59300000005</v>
      </c>
      <c r="AJ268" s="567">
        <f>AJ271+AJ274+AJ277+AJ280+AJ283+AJ286+AJ289+AJ292</f>
        <v>304613.59300000005</v>
      </c>
      <c r="AK268" s="567"/>
      <c r="AL268" s="627"/>
      <c r="AM268" s="627"/>
      <c r="AN268" s="567">
        <f>AN271+AN274+AN277+AN280+AN283</f>
        <v>248753.59999999998</v>
      </c>
      <c r="AO268" s="567">
        <f>AO271+AO274+AO277+AO280+AO283</f>
        <v>248753.59999999998</v>
      </c>
      <c r="AP268" s="567"/>
      <c r="AQ268" s="627"/>
      <c r="AR268" s="627"/>
      <c r="AS268" s="567">
        <f>AS271+AS274+AS277+AS280+AS283</f>
        <v>248753.59999999998</v>
      </c>
      <c r="AT268" s="567">
        <f>AT271+AT274+AT277+AT280+AT283</f>
        <v>248753.59999999998</v>
      </c>
      <c r="AU268" s="567"/>
      <c r="AV268" s="627"/>
      <c r="AW268" s="627"/>
      <c r="AX268" s="412"/>
      <c r="AY268" s="567">
        <f>AY271+AY274+AY277+AY280+AY283+AY286+AY289+AY292</f>
        <v>40421.86436</v>
      </c>
      <c r="AZ268" s="567">
        <f>AZ271+AZ274+AZ277+AZ280+AZ283+AZ286+AZ289+AZ292</f>
        <v>40421.86436</v>
      </c>
      <c r="BA268" s="583"/>
      <c r="BB268" s="583"/>
      <c r="BC268" s="583"/>
      <c r="BD268" s="583"/>
      <c r="BE268" s="583"/>
      <c r="BF268" s="567">
        <f t="shared" si="1638"/>
        <v>0</v>
      </c>
      <c r="BG268" s="567">
        <f t="shared" si="1639"/>
        <v>0</v>
      </c>
      <c r="BH268" s="567"/>
      <c r="BI268" s="567"/>
      <c r="BJ268" s="567"/>
      <c r="BK268" s="567"/>
      <c r="BL268" s="567"/>
      <c r="BM268" s="567">
        <f>BM271+BM274+BM277+BM280+BM283+BM286+BM289+BM292</f>
        <v>128904.21818</v>
      </c>
      <c r="BN268" s="567">
        <f>BN271+BN274+BN277+BN280+BN283+BN286+BN289+BN292</f>
        <v>128904.21818</v>
      </c>
      <c r="BO268" s="583"/>
      <c r="BP268" s="583"/>
      <c r="BQ268" s="583"/>
      <c r="BR268" s="567">
        <f>BR271+BR274+BR277+BR280+BR283</f>
        <v>0</v>
      </c>
      <c r="BS268" s="567">
        <f>BS271+BS274+BS277+BS280+BS283</f>
        <v>0</v>
      </c>
      <c r="BT268" s="583"/>
      <c r="BU268" s="583"/>
      <c r="BV268" s="583"/>
      <c r="BW268" s="567">
        <f>BW271+BW274+BW277+BW280+BW283+BW286+BW289+BW292</f>
        <v>40421.86436</v>
      </c>
      <c r="BX268" s="567">
        <f>BX271+BX274+BX277+BX280+BX283+BX286+BX289+BX292</f>
        <v>40421.86436</v>
      </c>
      <c r="BY268" s="583"/>
      <c r="BZ268" s="583"/>
      <c r="CA268" s="583"/>
      <c r="CB268" s="583"/>
      <c r="CC268" s="583"/>
      <c r="CD268" s="567">
        <f>CD271+CD274+CD277+CD280+CD283+CD286+CD289+CD292</f>
        <v>40421.86436</v>
      </c>
      <c r="CE268" s="567">
        <f>CE271+CE274+CE277+CE280+CE283+CE286+CE289+CE292</f>
        <v>40421.86436</v>
      </c>
      <c r="CF268" s="583"/>
      <c r="CG268" s="583"/>
      <c r="CH268" s="583"/>
      <c r="CI268" s="583"/>
      <c r="CJ268" s="583"/>
      <c r="CK268" s="569">
        <f>CK271+CK274+CK277+CK280+CK283+CK286+CK289+CK292</f>
        <v>838.68243000000007</v>
      </c>
      <c r="CL268" s="568">
        <f>CL271+CL274+CL277+CL280+CL283+CL286+CL289+CL292</f>
        <v>838.68243000000007</v>
      </c>
      <c r="CM268" s="583"/>
      <c r="CN268" s="583"/>
      <c r="CO268" s="583"/>
      <c r="CP268" s="583"/>
      <c r="CQ268" s="583"/>
      <c r="CR268" s="573">
        <f>CR271+CR274+CR277+CR280+CR283</f>
        <v>24384.70479</v>
      </c>
      <c r="CS268" s="568">
        <f t="shared" si="1645"/>
        <v>41260.54679</v>
      </c>
      <c r="CT268" s="568">
        <f t="shared" si="1646"/>
        <v>41260.54679</v>
      </c>
      <c r="CU268" s="583"/>
      <c r="CV268" s="583"/>
      <c r="CW268" s="583"/>
      <c r="CX268" s="568">
        <f t="shared" ca="1" si="1339"/>
        <v>0</v>
      </c>
      <c r="CY268" s="568">
        <f t="shared" si="1649"/>
        <v>0</v>
      </c>
      <c r="CZ268" s="583"/>
      <c r="DA268" s="583"/>
      <c r="DB268" s="7"/>
      <c r="DC268" s="76"/>
      <c r="DD268" s="46"/>
      <c r="DE268" s="46"/>
      <c r="DF268" s="2">
        <f t="shared" ref="DF268:DG269" si="1672">DF271+DF274+DF277+DF280+DF283</f>
        <v>0</v>
      </c>
      <c r="DG268" s="2">
        <f t="shared" si="1672"/>
        <v>0</v>
      </c>
      <c r="DH268" s="7"/>
      <c r="DI268" s="7"/>
      <c r="DJ268" s="7"/>
      <c r="DK268" s="2">
        <f t="shared" ref="DK268:DL269" si="1673">DK271+DK274+DK277+DK280+DK283</f>
        <v>0</v>
      </c>
      <c r="DL268" s="2">
        <f t="shared" si="1673"/>
        <v>0</v>
      </c>
      <c r="DM268" s="7"/>
      <c r="DN268" s="7"/>
      <c r="DO268" s="7"/>
      <c r="DP268" s="46"/>
      <c r="DQ268" s="46"/>
      <c r="DR268" s="46"/>
      <c r="DS268" s="46"/>
      <c r="DT268" s="46"/>
      <c r="DU268" s="46"/>
      <c r="DV268" s="277"/>
      <c r="DW268" s="46"/>
      <c r="DX268" s="242"/>
      <c r="DY268" s="76"/>
      <c r="DZ268" s="76"/>
      <c r="EA268" s="243"/>
      <c r="EB268" s="46"/>
      <c r="EC268" s="46"/>
      <c r="ED268" s="46"/>
      <c r="EE268" s="46"/>
      <c r="EF268" s="46"/>
      <c r="EG268" s="46"/>
      <c r="EH268" s="46"/>
      <c r="EI268" s="2">
        <f>EI271+EI274+EI277+EI280+EI283+EI286+EI289+EI292</f>
        <v>40421.86436</v>
      </c>
      <c r="EJ268" s="2">
        <f>EJ271+EJ274+EJ277+EJ280+EJ283+EJ286+EJ289+EJ292</f>
        <v>40421.86436</v>
      </c>
      <c r="EK268" s="7"/>
      <c r="EL268" s="7"/>
      <c r="EM268" s="7"/>
      <c r="EN268" s="7"/>
      <c r="EO268" s="45"/>
      <c r="EP268" s="198">
        <f t="shared" si="1660"/>
        <v>838.68243000000007</v>
      </c>
      <c r="EQ268" s="198">
        <f>EQ271+EQ274+EQ277+EQ280+EQ283+EQ286+EQ289+EQ292</f>
        <v>838.68243000000007</v>
      </c>
      <c r="ER268" s="7"/>
      <c r="ES268" s="7"/>
      <c r="ET268" s="7"/>
      <c r="EU268" s="7"/>
      <c r="EV268" s="7"/>
      <c r="EW268" s="317"/>
      <c r="EX268" s="317"/>
      <c r="EY268" s="325"/>
      <c r="EZ268" s="325"/>
      <c r="FA268" s="325"/>
      <c r="FB268" s="317"/>
      <c r="FC268" s="317"/>
      <c r="FD268" s="325"/>
      <c r="FE268" s="325"/>
      <c r="FF268" s="325"/>
      <c r="FG268" s="325"/>
      <c r="FH268" s="325"/>
      <c r="FI268" s="325"/>
      <c r="FJ268" s="7"/>
      <c r="FK268" s="358"/>
      <c r="FL268" s="358"/>
      <c r="FM268" s="362"/>
      <c r="FN268" s="362"/>
      <c r="FO268" s="362"/>
      <c r="FP268" s="358"/>
      <c r="FQ268" s="358"/>
      <c r="FR268" s="362"/>
      <c r="FS268" s="362"/>
      <c r="FT268" s="362"/>
      <c r="FU268" s="362"/>
      <c r="FV268" s="362"/>
      <c r="FW268" s="362"/>
      <c r="FX268" s="317"/>
      <c r="FY268" s="317"/>
      <c r="FZ268" s="325"/>
      <c r="GA268" s="325"/>
      <c r="GB268" s="325"/>
      <c r="GC268" s="317"/>
      <c r="GD268" s="317"/>
      <c r="GE268" s="325"/>
      <c r="GF268" s="325"/>
      <c r="GG268" s="325"/>
      <c r="GH268" s="325"/>
      <c r="GI268" s="325"/>
      <c r="GJ268" s="327"/>
      <c r="GK268" s="303">
        <f t="shared" si="1637"/>
        <v>1</v>
      </c>
    </row>
    <row r="269" spans="2:193" s="37" customFormat="1" ht="18.75" hidden="1" customHeight="1" x14ac:dyDescent="0.25">
      <c r="B269" s="32"/>
      <c r="C269" s="33"/>
      <c r="D269" s="32"/>
      <c r="E269" s="39"/>
      <c r="F269" s="32"/>
      <c r="G269" s="33"/>
      <c r="H269" s="32"/>
      <c r="I269" s="32"/>
      <c r="J269" s="32"/>
      <c r="K269" s="32"/>
      <c r="L269" s="32"/>
      <c r="M269" s="65"/>
      <c r="N269" s="66" t="s">
        <v>283</v>
      </c>
      <c r="O269" s="66"/>
      <c r="P269" s="66"/>
      <c r="Q269" s="66"/>
      <c r="R269" s="66"/>
      <c r="S269" s="66"/>
      <c r="T269" s="164"/>
      <c r="U269" s="164"/>
      <c r="V269" s="2">
        <f>V272+V275+V278+V281+V284+V287+V290+V293</f>
        <v>0</v>
      </c>
      <c r="W269" s="2"/>
      <c r="X269" s="141"/>
      <c r="Y269" s="141"/>
      <c r="Z269" s="141"/>
      <c r="AA269" s="150"/>
      <c r="AB269" s="567">
        <f>AB272+AB275+AB278+AB281+AB284+AB287+AB290+AB293</f>
        <v>0</v>
      </c>
      <c r="AC269" s="567"/>
      <c r="AD269" s="567"/>
      <c r="AE269" s="567"/>
      <c r="AF269" s="567"/>
      <c r="AG269" s="627"/>
      <c r="AH269" s="627"/>
      <c r="AI269" s="567">
        <f>AI272+AI275+AI278+AI281+AI284+AI287+AI290+AI293</f>
        <v>33741.300000000003</v>
      </c>
      <c r="AJ269" s="567">
        <f>AJ272+AJ275+AJ278+AJ281+AJ284+AJ287+AJ290+AJ293</f>
        <v>33741.300000000003</v>
      </c>
      <c r="AK269" s="567"/>
      <c r="AL269" s="627"/>
      <c r="AM269" s="627"/>
      <c r="AN269" s="567">
        <f>AN272+AN275+AN278+AN281+AN284</f>
        <v>0</v>
      </c>
      <c r="AO269" s="567">
        <f>AO272+AO275+AO278+AO281+AO284</f>
        <v>0</v>
      </c>
      <c r="AP269" s="567"/>
      <c r="AQ269" s="627"/>
      <c r="AR269" s="627"/>
      <c r="AS269" s="567">
        <f>AS272+AS275+AS278+AS281+AS284</f>
        <v>0</v>
      </c>
      <c r="AT269" s="567">
        <f>AT272+AT275+AT278+AT281+AT284</f>
        <v>0</v>
      </c>
      <c r="AU269" s="567"/>
      <c r="AV269" s="627"/>
      <c r="AW269" s="627"/>
      <c r="AX269" s="412"/>
      <c r="AY269" s="567">
        <f>AY272+AY275+AY278+AY281+AY284+AY287+AY290+AY293</f>
        <v>0</v>
      </c>
      <c r="AZ269" s="567"/>
      <c r="BA269" s="583"/>
      <c r="BB269" s="583"/>
      <c r="BC269" s="583"/>
      <c r="BD269" s="583"/>
      <c r="BE269" s="583"/>
      <c r="BF269" s="567">
        <f t="shared" si="1638"/>
        <v>0</v>
      </c>
      <c r="BG269" s="567">
        <f t="shared" si="1639"/>
        <v>0</v>
      </c>
      <c r="BH269" s="583"/>
      <c r="BI269" s="583"/>
      <c r="BJ269" s="583"/>
      <c r="BK269" s="583"/>
      <c r="BL269" s="583"/>
      <c r="BM269" s="567">
        <f>BM272+BM275+BM278+BM281+BM284+BM287+BM290+BM293</f>
        <v>22388.043260000002</v>
      </c>
      <c r="BN269" s="567">
        <f>BN272+BN275+BN278+BN281+BN284+BN287+BN290+BN293</f>
        <v>22388.043260000002</v>
      </c>
      <c r="BO269" s="583"/>
      <c r="BP269" s="583"/>
      <c r="BQ269" s="583"/>
      <c r="BR269" s="567">
        <f>BR272+BR275+BR278+BR281+BR284</f>
        <v>0</v>
      </c>
      <c r="BS269" s="567">
        <f>BS272+BS275+BS278+BS281+BS284</f>
        <v>0</v>
      </c>
      <c r="BT269" s="583"/>
      <c r="BU269" s="583"/>
      <c r="BV269" s="583"/>
      <c r="BW269" s="567">
        <f>BW272+BW275+BW278+BW281+BW284+BW287+BW290+BW293</f>
        <v>0</v>
      </c>
      <c r="BX269" s="567">
        <f>BX272+BX275+BX278+BX281+BX284+BX287+BX290+BX293</f>
        <v>0</v>
      </c>
      <c r="BY269" s="583"/>
      <c r="BZ269" s="583"/>
      <c r="CA269" s="583"/>
      <c r="CB269" s="583"/>
      <c r="CC269" s="583"/>
      <c r="CD269" s="567">
        <f>CD272+CD275+CD278+CD281+CD284+CD287+CD290+CD293</f>
        <v>0</v>
      </c>
      <c r="CE269" s="567">
        <f>CE272+CE275+CE278+CE281+CE284+CE287+CE290+CE293</f>
        <v>0</v>
      </c>
      <c r="CF269" s="583"/>
      <c r="CG269" s="583"/>
      <c r="CH269" s="583"/>
      <c r="CI269" s="583"/>
      <c r="CJ269" s="583"/>
      <c r="CK269" s="569">
        <f>CK272+CK275+CK278+CK281+CK284+CK287+CK290+CK293</f>
        <v>0</v>
      </c>
      <c r="CL269" s="568">
        <f>CL272+CL275+CL278+CL281+CL284+CL287+CL290+CL293</f>
        <v>0</v>
      </c>
      <c r="CM269" s="583"/>
      <c r="CN269" s="583"/>
      <c r="CO269" s="583"/>
      <c r="CP269" s="583"/>
      <c r="CQ269" s="583"/>
      <c r="CR269" s="573">
        <f>CR272+CR275+CR278+CR281+CR284</f>
        <v>0</v>
      </c>
      <c r="CS269" s="568">
        <f t="shared" si="1645"/>
        <v>0</v>
      </c>
      <c r="CT269" s="568">
        <f t="shared" si="1646"/>
        <v>0</v>
      </c>
      <c r="CU269" s="583"/>
      <c r="CV269" s="583"/>
      <c r="CW269" s="583"/>
      <c r="CX269" s="568">
        <f t="shared" ca="1" si="1339"/>
        <v>0</v>
      </c>
      <c r="CY269" s="568">
        <f t="shared" si="1649"/>
        <v>0</v>
      </c>
      <c r="CZ269" s="583"/>
      <c r="DA269" s="583"/>
      <c r="DB269" s="7"/>
      <c r="DC269" s="76"/>
      <c r="DD269" s="46"/>
      <c r="DE269" s="46"/>
      <c r="DF269" s="2">
        <f t="shared" si="1672"/>
        <v>0</v>
      </c>
      <c r="DG269" s="2">
        <f t="shared" si="1672"/>
        <v>0</v>
      </c>
      <c r="DH269" s="7"/>
      <c r="DI269" s="7"/>
      <c r="DJ269" s="7"/>
      <c r="DK269" s="2">
        <f t="shared" si="1673"/>
        <v>0</v>
      </c>
      <c r="DL269" s="2">
        <f t="shared" si="1673"/>
        <v>0</v>
      </c>
      <c r="DM269" s="7"/>
      <c r="DN269" s="7"/>
      <c r="DO269" s="7"/>
      <c r="DP269" s="46"/>
      <c r="DQ269" s="46"/>
      <c r="DR269" s="46"/>
      <c r="DS269" s="46"/>
      <c r="DT269" s="46"/>
      <c r="DU269" s="46"/>
      <c r="DV269" s="277"/>
      <c r="DW269" s="46"/>
      <c r="DX269" s="242"/>
      <c r="DY269" s="76"/>
      <c r="DZ269" s="76"/>
      <c r="EA269" s="243"/>
      <c r="EB269" s="46"/>
      <c r="EC269" s="46"/>
      <c r="ED269" s="46"/>
      <c r="EE269" s="46"/>
      <c r="EF269" s="46"/>
      <c r="EG269" s="46"/>
      <c r="EH269" s="46"/>
      <c r="EI269" s="2">
        <f>EI272+EI275+EI278+EI281+EI284+EI287+EI290+EI293</f>
        <v>0</v>
      </c>
      <c r="EJ269" s="2">
        <f>EJ272+EJ275+EJ278+EJ281+EJ284+EJ287+EJ290+EJ293</f>
        <v>0</v>
      </c>
      <c r="EK269" s="7"/>
      <c r="EL269" s="7"/>
      <c r="EM269" s="7"/>
      <c r="EN269" s="7"/>
      <c r="EO269" s="45"/>
      <c r="EP269" s="198">
        <f t="shared" si="1660"/>
        <v>0</v>
      </c>
      <c r="EQ269" s="198">
        <f>EQ272+EQ275+EQ278+EQ281+EQ284+EQ287+EQ290+EQ293</f>
        <v>0</v>
      </c>
      <c r="ER269" s="7"/>
      <c r="ES269" s="8"/>
      <c r="ET269" s="8"/>
      <c r="EU269" s="7"/>
      <c r="EV269" s="6"/>
      <c r="EW269" s="317"/>
      <c r="EX269" s="317"/>
      <c r="EY269" s="327"/>
      <c r="EZ269" s="325"/>
      <c r="FA269" s="325"/>
      <c r="FB269" s="317"/>
      <c r="FC269" s="317"/>
      <c r="FD269" s="327"/>
      <c r="FE269" s="325"/>
      <c r="FF269" s="325"/>
      <c r="FG269" s="325"/>
      <c r="FH269" s="325"/>
      <c r="FI269" s="325"/>
      <c r="FJ269" s="7"/>
      <c r="FK269" s="358"/>
      <c r="FL269" s="358"/>
      <c r="FM269" s="364"/>
      <c r="FN269" s="362"/>
      <c r="FO269" s="362"/>
      <c r="FP269" s="358"/>
      <c r="FQ269" s="358"/>
      <c r="FR269" s="364"/>
      <c r="FS269" s="362"/>
      <c r="FT269" s="362"/>
      <c r="FU269" s="362"/>
      <c r="FV269" s="362"/>
      <c r="FW269" s="362"/>
      <c r="FX269" s="317"/>
      <c r="FY269" s="317"/>
      <c r="FZ269" s="327"/>
      <c r="GA269" s="325"/>
      <c r="GB269" s="325"/>
      <c r="GC269" s="317"/>
      <c r="GD269" s="317"/>
      <c r="GE269" s="327"/>
      <c r="GF269" s="325"/>
      <c r="GG269" s="325"/>
      <c r="GH269" s="325"/>
      <c r="GI269" s="325"/>
      <c r="GJ269" s="327"/>
      <c r="GK269" s="303" t="e">
        <f t="shared" si="1637"/>
        <v>#DIV/0!</v>
      </c>
    </row>
    <row r="270" spans="2:193" s="37" customFormat="1" ht="52.9" hidden="1" customHeight="1" x14ac:dyDescent="0.25">
      <c r="B270" s="32"/>
      <c r="C270" s="33"/>
      <c r="D270" s="32"/>
      <c r="E270" s="39"/>
      <c r="F270" s="32"/>
      <c r="G270" s="33"/>
      <c r="H270" s="32"/>
      <c r="I270" s="32"/>
      <c r="J270" s="32"/>
      <c r="K270" s="32"/>
      <c r="L270" s="32"/>
      <c r="M270" s="475">
        <v>1</v>
      </c>
      <c r="N270" s="202" t="s">
        <v>317</v>
      </c>
      <c r="O270" s="202"/>
      <c r="P270" s="202"/>
      <c r="Q270" s="202"/>
      <c r="R270" s="202"/>
      <c r="S270" s="202"/>
      <c r="T270" s="493"/>
      <c r="U270" s="493"/>
      <c r="V270" s="3">
        <f>V271+V272</f>
        <v>0</v>
      </c>
      <c r="W270" s="3">
        <f>W271+W272</f>
        <v>0</v>
      </c>
      <c r="X270" s="150"/>
      <c r="Y270" s="150"/>
      <c r="Z270" s="150"/>
      <c r="AA270" s="150"/>
      <c r="AB270" s="627">
        <f>AB271+AB272</f>
        <v>0</v>
      </c>
      <c r="AC270" s="627">
        <f>AC271+AC272</f>
        <v>0</v>
      </c>
      <c r="AD270" s="627"/>
      <c r="AE270" s="627"/>
      <c r="AF270" s="627"/>
      <c r="AG270" s="627"/>
      <c r="AH270" s="627"/>
      <c r="AI270" s="627">
        <f>AI271+AI272</f>
        <v>94135.453000000009</v>
      </c>
      <c r="AJ270" s="627">
        <f>AJ271+AJ272</f>
        <v>94135.453000000009</v>
      </c>
      <c r="AK270" s="627"/>
      <c r="AL270" s="627"/>
      <c r="AM270" s="627"/>
      <c r="AN270" s="627">
        <f>AN271+AN272</f>
        <v>4000</v>
      </c>
      <c r="AO270" s="627">
        <f>AO271+AO272</f>
        <v>4000</v>
      </c>
      <c r="AP270" s="627"/>
      <c r="AQ270" s="627"/>
      <c r="AR270" s="627"/>
      <c r="AS270" s="628">
        <f>AS271+AS272</f>
        <v>4000</v>
      </c>
      <c r="AT270" s="627">
        <f>AT271+AT272</f>
        <v>4000</v>
      </c>
      <c r="AU270" s="627"/>
      <c r="AV270" s="627"/>
      <c r="AW270" s="627"/>
      <c r="AX270" s="630"/>
      <c r="AY270" s="627">
        <f>AY271+AY272</f>
        <v>0</v>
      </c>
      <c r="AZ270" s="627">
        <f>AZ271+AZ272</f>
        <v>0</v>
      </c>
      <c r="BA270" s="583"/>
      <c r="BB270" s="583"/>
      <c r="BC270" s="583"/>
      <c r="BD270" s="583"/>
      <c r="BE270" s="583"/>
      <c r="BF270" s="627">
        <f t="shared" si="1638"/>
        <v>0</v>
      </c>
      <c r="BG270" s="627">
        <f t="shared" si="1639"/>
        <v>0</v>
      </c>
      <c r="BH270" s="583"/>
      <c r="BI270" s="583"/>
      <c r="BJ270" s="583"/>
      <c r="BK270" s="583"/>
      <c r="BL270" s="583"/>
      <c r="BM270" s="627">
        <f>BM271+BM272</f>
        <v>93739.195559999993</v>
      </c>
      <c r="BN270" s="627">
        <f>BN271+BN272</f>
        <v>93739.195559999993</v>
      </c>
      <c r="BO270" s="583"/>
      <c r="BP270" s="583"/>
      <c r="BQ270" s="583"/>
      <c r="BR270" s="627">
        <f>BR271+BR272</f>
        <v>0</v>
      </c>
      <c r="BS270" s="627">
        <f>BS271+BS272</f>
        <v>0</v>
      </c>
      <c r="BT270" s="583"/>
      <c r="BU270" s="583"/>
      <c r="BV270" s="583"/>
      <c r="BW270" s="627">
        <f>BW271+BW272</f>
        <v>0</v>
      </c>
      <c r="BX270" s="627">
        <f>BX271+BX272</f>
        <v>0</v>
      </c>
      <c r="BY270" s="583"/>
      <c r="BZ270" s="583"/>
      <c r="CA270" s="583"/>
      <c r="CB270" s="583"/>
      <c r="CC270" s="583"/>
      <c r="CD270" s="627">
        <f>CD271+CD272</f>
        <v>0</v>
      </c>
      <c r="CE270" s="627">
        <f>CE271+CE272</f>
        <v>0</v>
      </c>
      <c r="CF270" s="583"/>
      <c r="CG270" s="583"/>
      <c r="CH270" s="583"/>
      <c r="CI270" s="583"/>
      <c r="CJ270" s="583"/>
      <c r="CK270" s="585">
        <f>CK271+CK272</f>
        <v>0</v>
      </c>
      <c r="CL270" s="629">
        <f>CL271+CL272</f>
        <v>0</v>
      </c>
      <c r="CM270" s="629"/>
      <c r="CN270" s="629"/>
      <c r="CO270" s="629"/>
      <c r="CP270" s="629"/>
      <c r="CQ270" s="629"/>
      <c r="CR270" s="627">
        <f t="shared" si="1644"/>
        <v>0</v>
      </c>
      <c r="CS270" s="629">
        <f t="shared" si="1645"/>
        <v>0</v>
      </c>
      <c r="CT270" s="629">
        <f t="shared" si="1646"/>
        <v>0</v>
      </c>
      <c r="CU270" s="629"/>
      <c r="CV270" s="629"/>
      <c r="CW270" s="629"/>
      <c r="CX270" s="628">
        <f t="shared" ca="1" si="1339"/>
        <v>0</v>
      </c>
      <c r="CY270" s="628">
        <f t="shared" si="1649"/>
        <v>0</v>
      </c>
      <c r="CZ270" s="628"/>
      <c r="DA270" s="628"/>
      <c r="DB270" s="228"/>
      <c r="DC270" s="284"/>
      <c r="DD270" s="285">
        <f>963443.06185-DD262</f>
        <v>258439.59695000004</v>
      </c>
      <c r="DE270" s="285">
        <f>963443.06185-DE262</f>
        <v>270332.29695000011</v>
      </c>
      <c r="DF270" s="3">
        <f>DF271+DF272</f>
        <v>0</v>
      </c>
      <c r="DG270" s="3">
        <f>DG271+DG272</f>
        <v>0</v>
      </c>
      <c r="DH270" s="275"/>
      <c r="DI270" s="275"/>
      <c r="DJ270" s="275"/>
      <c r="DK270" s="3">
        <f>DK271+DK272</f>
        <v>0</v>
      </c>
      <c r="DL270" s="3">
        <f>DL271+DL272</f>
        <v>0</v>
      </c>
      <c r="DM270" s="275"/>
      <c r="DN270" s="275"/>
      <c r="DO270" s="275"/>
      <c r="DP270" s="285"/>
      <c r="DQ270" s="285"/>
      <c r="DR270" s="285"/>
      <c r="DS270" s="285"/>
      <c r="DT270" s="285"/>
      <c r="DU270" s="285"/>
      <c r="DV270" s="286"/>
      <c r="DW270" s="285"/>
      <c r="DX270" s="287"/>
      <c r="DY270" s="284"/>
      <c r="DZ270" s="284"/>
      <c r="EA270" s="288"/>
      <c r="EB270" s="285"/>
      <c r="EC270" s="285"/>
      <c r="ED270" s="285"/>
      <c r="EE270" s="285"/>
      <c r="EF270" s="285"/>
      <c r="EG270" s="285"/>
      <c r="EH270" s="285"/>
      <c r="EI270" s="275">
        <f t="shared" ref="EI270:EI293" si="1674">EJ270</f>
        <v>0</v>
      </c>
      <c r="EJ270" s="3">
        <f>EJ271+EJ272</f>
        <v>0</v>
      </c>
      <c r="EK270" s="7"/>
      <c r="EL270" s="7"/>
      <c r="EM270" s="7"/>
      <c r="EN270" s="7"/>
      <c r="EO270" s="292"/>
      <c r="EP270" s="275">
        <f t="shared" si="1660"/>
        <v>0</v>
      </c>
      <c r="EQ270" s="275">
        <f>EQ271+EQ272</f>
        <v>0</v>
      </c>
      <c r="ER270" s="275"/>
      <c r="ES270" s="292"/>
      <c r="ET270" s="292"/>
      <c r="EU270" s="275"/>
      <c r="EV270" s="6"/>
      <c r="EW270" s="328">
        <f>EX270+EY270</f>
        <v>0</v>
      </c>
      <c r="EX270" s="328">
        <f>AZ271+AZ272</f>
        <v>0</v>
      </c>
      <c r="EY270" s="329">
        <v>0</v>
      </c>
      <c r="EZ270" s="403" t="e">
        <f t="shared" ref="EZ270" si="1675">EX270/EW270</f>
        <v>#DIV/0!</v>
      </c>
      <c r="FA270" s="403" t="e">
        <f t="shared" ref="FA270" si="1676">EY270/EW270</f>
        <v>#DIV/0!</v>
      </c>
      <c r="FB270" s="328">
        <f>FC270+FD270</f>
        <v>0</v>
      </c>
      <c r="FC270" s="328">
        <f>EJ270</f>
        <v>0</v>
      </c>
      <c r="FD270" s="329">
        <f>EQ270</f>
        <v>0</v>
      </c>
      <c r="FE270" s="403" t="e">
        <f t="shared" ref="FE270" si="1677">FC270/FB270</f>
        <v>#DIV/0!</v>
      </c>
      <c r="FF270" s="403" t="e">
        <f t="shared" ref="FF270" si="1678">FD270/FB270</f>
        <v>#DIV/0!</v>
      </c>
      <c r="FG270" s="403"/>
      <c r="FH270" s="328" t="e">
        <f>FB270*EZ270</f>
        <v>#DIV/0!</v>
      </c>
      <c r="FI270" s="328" t="e">
        <f>FC270-FH270</f>
        <v>#DIV/0!</v>
      </c>
      <c r="FJ270" s="275"/>
      <c r="FK270" s="365"/>
      <c r="FL270" s="365"/>
      <c r="FM270" s="366"/>
      <c r="FN270" s="365"/>
      <c r="FO270" s="365"/>
      <c r="FP270" s="365"/>
      <c r="FQ270" s="365"/>
      <c r="FR270" s="366"/>
      <c r="FS270" s="365"/>
      <c r="FT270" s="365"/>
      <c r="FU270" s="365"/>
      <c r="FV270" s="365"/>
      <c r="FW270" s="365"/>
      <c r="FX270" s="328"/>
      <c r="FY270" s="328"/>
      <c r="FZ270" s="329"/>
      <c r="GA270" s="328"/>
      <c r="GB270" s="328"/>
      <c r="GC270" s="328"/>
      <c r="GD270" s="328"/>
      <c r="GE270" s="329"/>
      <c r="GF270" s="328"/>
      <c r="GG270" s="328"/>
      <c r="GH270" s="328"/>
      <c r="GI270" s="328"/>
      <c r="GJ270" s="329"/>
      <c r="GK270" s="303" t="e">
        <f t="shared" si="1637"/>
        <v>#DIV/0!</v>
      </c>
    </row>
    <row r="271" spans="2:193" s="37" customFormat="1" ht="15" hidden="1" customHeight="1" x14ac:dyDescent="0.25">
      <c r="B271" s="32"/>
      <c r="C271" s="33"/>
      <c r="D271" s="32"/>
      <c r="E271" s="39"/>
      <c r="F271" s="32"/>
      <c r="G271" s="33"/>
      <c r="H271" s="32"/>
      <c r="I271" s="32"/>
      <c r="J271" s="32"/>
      <c r="K271" s="32"/>
      <c r="L271" s="32"/>
      <c r="M271" s="427"/>
      <c r="N271" s="66" t="s">
        <v>284</v>
      </c>
      <c r="O271" s="66"/>
      <c r="P271" s="66"/>
      <c r="Q271" s="66"/>
      <c r="R271" s="66"/>
      <c r="S271" s="66"/>
      <c r="T271" s="164"/>
      <c r="U271" s="164"/>
      <c r="V271" s="2">
        <f>W271+X271+AA271+AB271</f>
        <v>0</v>
      </c>
      <c r="W271" s="23">
        <v>0</v>
      </c>
      <c r="X271" s="143"/>
      <c r="Y271" s="143"/>
      <c r="Z271" s="143"/>
      <c r="AA271" s="150"/>
      <c r="AB271" s="567">
        <f>AC271+AD271+AG271+AH271</f>
        <v>0</v>
      </c>
      <c r="AC271" s="573">
        <v>0</v>
      </c>
      <c r="AD271" s="573"/>
      <c r="AE271" s="573"/>
      <c r="AF271" s="573"/>
      <c r="AG271" s="627"/>
      <c r="AH271" s="627"/>
      <c r="AI271" s="567">
        <f>AJ271+AK271+AL271+AM271</f>
        <v>78963.653000000006</v>
      </c>
      <c r="AJ271" s="573">
        <v>78963.653000000006</v>
      </c>
      <c r="AK271" s="573"/>
      <c r="AL271" s="627"/>
      <c r="AM271" s="627"/>
      <c r="AN271" s="567">
        <f>AO271+AP271+AQ271+AR271</f>
        <v>4000</v>
      </c>
      <c r="AO271" s="573">
        <v>4000</v>
      </c>
      <c r="AP271" s="573"/>
      <c r="AQ271" s="627"/>
      <c r="AR271" s="627"/>
      <c r="AS271" s="567">
        <f>AT271+AU271+AV271+AW271</f>
        <v>4000</v>
      </c>
      <c r="AT271" s="573">
        <v>4000</v>
      </c>
      <c r="AU271" s="573"/>
      <c r="AV271" s="627"/>
      <c r="AW271" s="627"/>
      <c r="AX271" s="412"/>
      <c r="AY271" s="567">
        <f>AZ271+BA271+BD271+BE271</f>
        <v>0</v>
      </c>
      <c r="AZ271" s="573">
        <v>0</v>
      </c>
      <c r="BA271" s="583"/>
      <c r="BB271" s="583"/>
      <c r="BC271" s="583"/>
      <c r="BD271" s="583"/>
      <c r="BE271" s="583"/>
      <c r="BF271" s="567">
        <f t="shared" si="1638"/>
        <v>0</v>
      </c>
      <c r="BG271" s="567">
        <f t="shared" si="1639"/>
        <v>0</v>
      </c>
      <c r="BH271" s="583"/>
      <c r="BI271" s="583"/>
      <c r="BJ271" s="583"/>
      <c r="BK271" s="583"/>
      <c r="BL271" s="583"/>
      <c r="BM271" s="567">
        <f>BN271+BO271+BP271+BQ271</f>
        <v>76014.812239999999</v>
      </c>
      <c r="BN271" s="573">
        <f>1928.96697+12545.9942+14322.88144+31013.62217+16203.34746</f>
        <v>76014.812239999999</v>
      </c>
      <c r="BO271" s="583"/>
      <c r="BP271" s="583"/>
      <c r="BQ271" s="583"/>
      <c r="BR271" s="567">
        <f>BS271+BT271+BU271+BV271</f>
        <v>0</v>
      </c>
      <c r="BS271" s="573"/>
      <c r="BT271" s="583"/>
      <c r="BU271" s="583"/>
      <c r="BV271" s="583"/>
      <c r="BW271" s="567">
        <f>BX271+BY271+CB271+CC271</f>
        <v>0</v>
      </c>
      <c r="BX271" s="573">
        <v>0</v>
      </c>
      <c r="BY271" s="583"/>
      <c r="BZ271" s="583"/>
      <c r="CA271" s="583"/>
      <c r="CB271" s="583"/>
      <c r="CC271" s="583"/>
      <c r="CD271" s="567">
        <f>CE271+CF271+CI271+CJ271</f>
        <v>0</v>
      </c>
      <c r="CE271" s="573">
        <v>0</v>
      </c>
      <c r="CF271" s="583"/>
      <c r="CG271" s="583"/>
      <c r="CH271" s="583"/>
      <c r="CI271" s="583"/>
      <c r="CJ271" s="583"/>
      <c r="CK271" s="569">
        <f>CL271+CM271+CP271+CQ271</f>
        <v>0</v>
      </c>
      <c r="CL271" s="568"/>
      <c r="CM271" s="583"/>
      <c r="CN271" s="583"/>
      <c r="CO271" s="583"/>
      <c r="CP271" s="583"/>
      <c r="CQ271" s="583"/>
      <c r="CR271" s="573">
        <f t="shared" si="1644"/>
        <v>0</v>
      </c>
      <c r="CS271" s="568">
        <f t="shared" si="1645"/>
        <v>0</v>
      </c>
      <c r="CT271" s="568">
        <f t="shared" si="1646"/>
        <v>0</v>
      </c>
      <c r="CU271" s="583"/>
      <c r="CV271" s="583"/>
      <c r="CW271" s="583"/>
      <c r="CX271" s="567">
        <f t="shared" ca="1" si="1339"/>
        <v>0</v>
      </c>
      <c r="CY271" s="567">
        <f t="shared" si="1649"/>
        <v>0</v>
      </c>
      <c r="CZ271" s="567"/>
      <c r="DA271" s="567"/>
      <c r="DB271" s="2"/>
      <c r="DC271" s="76"/>
      <c r="DD271" s="46"/>
      <c r="DE271" s="46"/>
      <c r="DF271" s="2">
        <f>DG271+DH271+DI271+DJ271</f>
        <v>0</v>
      </c>
      <c r="DG271" s="23"/>
      <c r="DH271" s="7"/>
      <c r="DI271" s="7"/>
      <c r="DJ271" s="7"/>
      <c r="DK271" s="2">
        <f>DL271+DM271+DN271+DO271</f>
        <v>0</v>
      </c>
      <c r="DL271" s="23"/>
      <c r="DM271" s="7"/>
      <c r="DN271" s="7"/>
      <c r="DO271" s="7"/>
      <c r="DP271" s="46"/>
      <c r="DQ271" s="46"/>
      <c r="DR271" s="46"/>
      <c r="DS271" s="46"/>
      <c r="DT271" s="46"/>
      <c r="DU271" s="46"/>
      <c r="DV271" s="237"/>
      <c r="DW271" s="46"/>
      <c r="DX271" s="242"/>
      <c r="DY271" s="76"/>
      <c r="DZ271" s="76"/>
      <c r="EA271" s="243"/>
      <c r="EB271" s="46"/>
      <c r="EC271" s="46"/>
      <c r="ED271" s="46"/>
      <c r="EE271" s="46"/>
      <c r="EF271" s="46"/>
      <c r="EG271" s="46"/>
      <c r="EH271" s="46"/>
      <c r="EI271" s="198">
        <f t="shared" si="1674"/>
        <v>0</v>
      </c>
      <c r="EJ271" s="23"/>
      <c r="EK271" s="7"/>
      <c r="EL271" s="7"/>
      <c r="EM271" s="7"/>
      <c r="EN271" s="7"/>
      <c r="EO271" s="45"/>
      <c r="EP271" s="198">
        <f t="shared" si="1660"/>
        <v>0</v>
      </c>
      <c r="EQ271" s="198"/>
      <c r="ER271" s="7"/>
      <c r="ES271" s="8"/>
      <c r="ET271" s="8"/>
      <c r="EU271" s="7"/>
      <c r="EV271" s="6"/>
      <c r="EW271" s="317"/>
      <c r="EX271" s="317"/>
      <c r="EY271" s="327"/>
      <c r="EZ271" s="325"/>
      <c r="FA271" s="325"/>
      <c r="FB271" s="317"/>
      <c r="FC271" s="317"/>
      <c r="FD271" s="327"/>
      <c r="FE271" s="325"/>
      <c r="FF271" s="325"/>
      <c r="FG271" s="325"/>
      <c r="FH271" s="325"/>
      <c r="FI271" s="325"/>
      <c r="FJ271" s="7"/>
      <c r="FK271" s="358"/>
      <c r="FL271" s="358"/>
      <c r="FM271" s="364"/>
      <c r="FN271" s="362"/>
      <c r="FO271" s="362"/>
      <c r="FP271" s="358"/>
      <c r="FQ271" s="358"/>
      <c r="FR271" s="364"/>
      <c r="FS271" s="362"/>
      <c r="FT271" s="362"/>
      <c r="FU271" s="362"/>
      <c r="FV271" s="362"/>
      <c r="FW271" s="362"/>
      <c r="FX271" s="317"/>
      <c r="FY271" s="317"/>
      <c r="FZ271" s="327"/>
      <c r="GA271" s="325"/>
      <c r="GB271" s="325"/>
      <c r="GC271" s="317"/>
      <c r="GD271" s="317"/>
      <c r="GE271" s="327"/>
      <c r="GF271" s="325"/>
      <c r="GG271" s="325"/>
      <c r="GH271" s="325"/>
      <c r="GI271" s="325"/>
      <c r="GJ271" s="327"/>
      <c r="GK271" s="303" t="e">
        <f t="shared" si="1637"/>
        <v>#DIV/0!</v>
      </c>
    </row>
    <row r="272" spans="2:193" s="37" customFormat="1" ht="15" hidden="1" customHeight="1" x14ac:dyDescent="0.25">
      <c r="B272" s="32"/>
      <c r="C272" s="33"/>
      <c r="D272" s="32"/>
      <c r="E272" s="39"/>
      <c r="F272" s="32"/>
      <c r="G272" s="33"/>
      <c r="H272" s="32"/>
      <c r="I272" s="32"/>
      <c r="J272" s="32"/>
      <c r="K272" s="32"/>
      <c r="L272" s="32"/>
      <c r="M272" s="427"/>
      <c r="N272" s="66" t="s">
        <v>283</v>
      </c>
      <c r="O272" s="66"/>
      <c r="P272" s="66"/>
      <c r="Q272" s="66"/>
      <c r="R272" s="66"/>
      <c r="S272" s="66"/>
      <c r="T272" s="164"/>
      <c r="U272" s="164"/>
      <c r="V272" s="2">
        <f>W272+X272+AA272+AB272</f>
        <v>0</v>
      </c>
      <c r="W272" s="23">
        <v>0</v>
      </c>
      <c r="X272" s="143"/>
      <c r="Y272" s="143"/>
      <c r="Z272" s="143"/>
      <c r="AA272" s="150"/>
      <c r="AB272" s="567">
        <f>AC272+AD272+AG272+AH272</f>
        <v>0</v>
      </c>
      <c r="AC272" s="573">
        <v>0</v>
      </c>
      <c r="AD272" s="573"/>
      <c r="AE272" s="573"/>
      <c r="AF272" s="573"/>
      <c r="AG272" s="627"/>
      <c r="AH272" s="627"/>
      <c r="AI272" s="567">
        <f>AJ272+AK272+AL272+AM272</f>
        <v>15171.8</v>
      </c>
      <c r="AJ272" s="573">
        <v>15171.8</v>
      </c>
      <c r="AK272" s="573"/>
      <c r="AL272" s="627"/>
      <c r="AM272" s="627"/>
      <c r="AN272" s="567">
        <f>AO272+AP272+AQ272+AR272</f>
        <v>0</v>
      </c>
      <c r="AO272" s="573"/>
      <c r="AP272" s="573"/>
      <c r="AQ272" s="627"/>
      <c r="AR272" s="627"/>
      <c r="AS272" s="567">
        <f>AT272+AU272+AV272+AW272</f>
        <v>0</v>
      </c>
      <c r="AT272" s="573"/>
      <c r="AU272" s="573"/>
      <c r="AV272" s="627"/>
      <c r="AW272" s="627"/>
      <c r="AX272" s="412"/>
      <c r="AY272" s="567">
        <f>AZ272+BA272+BD272+BE272</f>
        <v>0</v>
      </c>
      <c r="AZ272" s="573">
        <v>0</v>
      </c>
      <c r="BA272" s="583"/>
      <c r="BB272" s="583"/>
      <c r="BC272" s="583"/>
      <c r="BD272" s="583"/>
      <c r="BE272" s="583"/>
      <c r="BF272" s="567">
        <f t="shared" si="1638"/>
        <v>0</v>
      </c>
      <c r="BG272" s="567">
        <f t="shared" si="1639"/>
        <v>0</v>
      </c>
      <c r="BH272" s="583"/>
      <c r="BI272" s="583"/>
      <c r="BJ272" s="583"/>
      <c r="BK272" s="583"/>
      <c r="BL272" s="583"/>
      <c r="BM272" s="567">
        <f>BN272+BO272+BP272+BQ272</f>
        <v>17724.383320000001</v>
      </c>
      <c r="BN272" s="573">
        <f>449.82057+2925.63138+3339.66807+7231.45018+3777.81312</f>
        <v>17724.383320000001</v>
      </c>
      <c r="BO272" s="583"/>
      <c r="BP272" s="583"/>
      <c r="BQ272" s="583"/>
      <c r="BR272" s="567">
        <f>BS272+BT272+BU272+BV272</f>
        <v>0</v>
      </c>
      <c r="BS272" s="573"/>
      <c r="BT272" s="583"/>
      <c r="BU272" s="583"/>
      <c r="BV272" s="583"/>
      <c r="BW272" s="567">
        <f>BX272+BY272+CB272+CC272</f>
        <v>0</v>
      </c>
      <c r="BX272" s="573">
        <v>0</v>
      </c>
      <c r="BY272" s="583"/>
      <c r="BZ272" s="583"/>
      <c r="CA272" s="583"/>
      <c r="CB272" s="583"/>
      <c r="CC272" s="583"/>
      <c r="CD272" s="567">
        <f>CE272+CF272+CI272+CJ272</f>
        <v>0</v>
      </c>
      <c r="CE272" s="573">
        <v>0</v>
      </c>
      <c r="CF272" s="583"/>
      <c r="CG272" s="583"/>
      <c r="CH272" s="583"/>
      <c r="CI272" s="583"/>
      <c r="CJ272" s="583"/>
      <c r="CK272" s="569">
        <f>CL272+CM272+CP272+CQ272</f>
        <v>0</v>
      </c>
      <c r="CL272" s="568"/>
      <c r="CM272" s="583"/>
      <c r="CN272" s="583"/>
      <c r="CO272" s="583"/>
      <c r="CP272" s="583"/>
      <c r="CQ272" s="583"/>
      <c r="CR272" s="573">
        <f t="shared" si="1644"/>
        <v>0</v>
      </c>
      <c r="CS272" s="568">
        <f t="shared" si="1645"/>
        <v>0</v>
      </c>
      <c r="CT272" s="568">
        <f t="shared" si="1646"/>
        <v>0</v>
      </c>
      <c r="CU272" s="583"/>
      <c r="CV272" s="583"/>
      <c r="CW272" s="583"/>
      <c r="CX272" s="567">
        <f t="shared" ca="1" si="1339"/>
        <v>0</v>
      </c>
      <c r="CY272" s="567">
        <f t="shared" si="1649"/>
        <v>0</v>
      </c>
      <c r="CZ272" s="567"/>
      <c r="DA272" s="567"/>
      <c r="DB272" s="2"/>
      <c r="DC272" s="76"/>
      <c r="DD272" s="46"/>
      <c r="DE272" s="46"/>
      <c r="DF272" s="2">
        <f>DG272+DH272+DI272+DJ272</f>
        <v>0</v>
      </c>
      <c r="DG272" s="23"/>
      <c r="DH272" s="7"/>
      <c r="DI272" s="7"/>
      <c r="DJ272" s="7"/>
      <c r="DK272" s="2">
        <f>DL272+DM272+DN272+DO272</f>
        <v>0</v>
      </c>
      <c r="DL272" s="23"/>
      <c r="DM272" s="7"/>
      <c r="DN272" s="7"/>
      <c r="DO272" s="7"/>
      <c r="DP272" s="46"/>
      <c r="DQ272" s="46"/>
      <c r="DR272" s="46"/>
      <c r="DS272" s="46"/>
      <c r="DT272" s="46"/>
      <c r="DU272" s="46"/>
      <c r="DV272" s="46"/>
      <c r="DW272" s="46"/>
      <c r="DX272" s="242"/>
      <c r="DY272" s="76"/>
      <c r="DZ272" s="76"/>
      <c r="EA272" s="243"/>
      <c r="EB272" s="46"/>
      <c r="EC272" s="46"/>
      <c r="ED272" s="46"/>
      <c r="EE272" s="46"/>
      <c r="EF272" s="46"/>
      <c r="EG272" s="46"/>
      <c r="EH272" s="46"/>
      <c r="EI272" s="198">
        <f t="shared" si="1674"/>
        <v>0</v>
      </c>
      <c r="EJ272" s="23"/>
      <c r="EK272" s="7"/>
      <c r="EL272" s="7"/>
      <c r="EM272" s="7"/>
      <c r="EN272" s="7"/>
      <c r="EO272" s="45"/>
      <c r="EP272" s="198">
        <f t="shared" si="1660"/>
        <v>0</v>
      </c>
      <c r="EQ272" s="198"/>
      <c r="ER272" s="7"/>
      <c r="ES272" s="8"/>
      <c r="ET272" s="8"/>
      <c r="EU272" s="7"/>
      <c r="EV272" s="6"/>
      <c r="EW272" s="317"/>
      <c r="EX272" s="317"/>
      <c r="EY272" s="327"/>
      <c r="EZ272" s="325"/>
      <c r="FA272" s="325"/>
      <c r="FB272" s="317"/>
      <c r="FC272" s="317"/>
      <c r="FD272" s="327"/>
      <c r="FE272" s="325"/>
      <c r="FF272" s="325"/>
      <c r="FG272" s="325"/>
      <c r="FH272" s="325"/>
      <c r="FI272" s="325"/>
      <c r="FJ272" s="7"/>
      <c r="FK272" s="358"/>
      <c r="FL272" s="358"/>
      <c r="FM272" s="364"/>
      <c r="FN272" s="362"/>
      <c r="FO272" s="362"/>
      <c r="FP272" s="358"/>
      <c r="FQ272" s="358"/>
      <c r="FR272" s="364"/>
      <c r="FS272" s="362"/>
      <c r="FT272" s="362"/>
      <c r="FU272" s="362"/>
      <c r="FV272" s="362"/>
      <c r="FW272" s="362"/>
      <c r="FX272" s="317"/>
      <c r="FY272" s="317"/>
      <c r="FZ272" s="327"/>
      <c r="GA272" s="325"/>
      <c r="GB272" s="325"/>
      <c r="GC272" s="317"/>
      <c r="GD272" s="317"/>
      <c r="GE272" s="327"/>
      <c r="GF272" s="325"/>
      <c r="GG272" s="325"/>
      <c r="GH272" s="325"/>
      <c r="GI272" s="325"/>
      <c r="GJ272" s="327"/>
      <c r="GK272" s="303" t="e">
        <f t="shared" si="1637"/>
        <v>#DIV/0!</v>
      </c>
    </row>
    <row r="273" spans="2:193" s="37" customFormat="1" ht="59.45" hidden="1" customHeight="1" x14ac:dyDescent="0.25">
      <c r="B273" s="32"/>
      <c r="C273" s="33"/>
      <c r="D273" s="32"/>
      <c r="E273" s="39"/>
      <c r="F273" s="32"/>
      <c r="G273" s="33"/>
      <c r="H273" s="32"/>
      <c r="I273" s="32"/>
      <c r="J273" s="32"/>
      <c r="K273" s="32"/>
      <c r="L273" s="32"/>
      <c r="M273" s="475">
        <v>2</v>
      </c>
      <c r="N273" s="202" t="s">
        <v>321</v>
      </c>
      <c r="O273" s="202"/>
      <c r="P273" s="202"/>
      <c r="Q273" s="202"/>
      <c r="R273" s="202"/>
      <c r="S273" s="202"/>
      <c r="T273" s="493"/>
      <c r="U273" s="493"/>
      <c r="V273" s="3">
        <f>V274+V275</f>
        <v>0</v>
      </c>
      <c r="W273" s="3">
        <f>W274+W275</f>
        <v>0</v>
      </c>
      <c r="X273" s="150"/>
      <c r="Y273" s="150"/>
      <c r="Z273" s="150"/>
      <c r="AA273" s="150"/>
      <c r="AB273" s="627">
        <f>AB274+AB275</f>
        <v>0</v>
      </c>
      <c r="AC273" s="627">
        <f>AC274+AC275</f>
        <v>0</v>
      </c>
      <c r="AD273" s="627"/>
      <c r="AE273" s="627"/>
      <c r="AF273" s="627"/>
      <c r="AG273" s="627"/>
      <c r="AH273" s="627"/>
      <c r="AI273" s="627">
        <f>AI274+AI275</f>
        <v>84312.638999999996</v>
      </c>
      <c r="AJ273" s="627">
        <f>AJ274+AJ275</f>
        <v>84312.638999999996</v>
      </c>
      <c r="AK273" s="627"/>
      <c r="AL273" s="627"/>
      <c r="AM273" s="627"/>
      <c r="AN273" s="627">
        <f>AN274+AN275</f>
        <v>85442.017999999996</v>
      </c>
      <c r="AO273" s="627">
        <f>AO274+AO275</f>
        <v>85442.017999999996</v>
      </c>
      <c r="AP273" s="627"/>
      <c r="AQ273" s="627"/>
      <c r="AR273" s="627"/>
      <c r="AS273" s="628">
        <f>AS274+AS275</f>
        <v>85442.017999999996</v>
      </c>
      <c r="AT273" s="627">
        <f>AT274+AT275</f>
        <v>85442.017999999996</v>
      </c>
      <c r="AU273" s="627"/>
      <c r="AV273" s="627"/>
      <c r="AW273" s="627"/>
      <c r="AX273" s="410"/>
      <c r="AY273" s="627">
        <f>AY274+AY275</f>
        <v>0</v>
      </c>
      <c r="AZ273" s="627">
        <f>AZ274+AZ275</f>
        <v>0</v>
      </c>
      <c r="BA273" s="583"/>
      <c r="BB273" s="583"/>
      <c r="BC273" s="583"/>
      <c r="BD273" s="583"/>
      <c r="BE273" s="583"/>
      <c r="BF273" s="627">
        <f t="shared" si="1638"/>
        <v>0</v>
      </c>
      <c r="BG273" s="627">
        <f t="shared" si="1639"/>
        <v>0</v>
      </c>
      <c r="BH273" s="583"/>
      <c r="BI273" s="583"/>
      <c r="BJ273" s="583"/>
      <c r="BK273" s="583"/>
      <c r="BL273" s="583"/>
      <c r="BM273" s="627">
        <f>BM274+BM275</f>
        <v>0</v>
      </c>
      <c r="BN273" s="627"/>
      <c r="BO273" s="583"/>
      <c r="BP273" s="583"/>
      <c r="BQ273" s="583"/>
      <c r="BR273" s="627">
        <f>BR274+BR275</f>
        <v>0</v>
      </c>
      <c r="BS273" s="627">
        <f>BS274+BS275</f>
        <v>0</v>
      </c>
      <c r="BT273" s="583"/>
      <c r="BU273" s="583"/>
      <c r="BV273" s="583"/>
      <c r="BW273" s="627">
        <f>BW274+BW275</f>
        <v>0</v>
      </c>
      <c r="BX273" s="627">
        <f>BX274+BX275</f>
        <v>0</v>
      </c>
      <c r="BY273" s="583"/>
      <c r="BZ273" s="583"/>
      <c r="CA273" s="583"/>
      <c r="CB273" s="583"/>
      <c r="CC273" s="583"/>
      <c r="CD273" s="627">
        <f>CD274+CD275</f>
        <v>0</v>
      </c>
      <c r="CE273" s="627">
        <f>CE274+CE275</f>
        <v>0</v>
      </c>
      <c r="CF273" s="583"/>
      <c r="CG273" s="583"/>
      <c r="CH273" s="583"/>
      <c r="CI273" s="583"/>
      <c r="CJ273" s="583"/>
      <c r="CK273" s="585">
        <f>CK274+CK275</f>
        <v>0</v>
      </c>
      <c r="CL273" s="629">
        <f>CL274+CL275</f>
        <v>0</v>
      </c>
      <c r="CM273" s="629"/>
      <c r="CN273" s="629"/>
      <c r="CO273" s="629"/>
      <c r="CP273" s="629"/>
      <c r="CQ273" s="629"/>
      <c r="CR273" s="627">
        <f t="shared" si="1644"/>
        <v>0</v>
      </c>
      <c r="CS273" s="629">
        <f t="shared" si="1645"/>
        <v>0</v>
      </c>
      <c r="CT273" s="629">
        <f t="shared" si="1646"/>
        <v>0</v>
      </c>
      <c r="CU273" s="629"/>
      <c r="CV273" s="629"/>
      <c r="CW273" s="629"/>
      <c r="CX273" s="628">
        <f t="shared" ca="1" si="1339"/>
        <v>0</v>
      </c>
      <c r="CY273" s="628">
        <f t="shared" si="1649"/>
        <v>0</v>
      </c>
      <c r="CZ273" s="628"/>
      <c r="DA273" s="628"/>
      <c r="DB273" s="228"/>
      <c r="DC273" s="284"/>
      <c r="DD273" s="285"/>
      <c r="DE273" s="285"/>
      <c r="DF273" s="3">
        <f>DF274+DF275</f>
        <v>0</v>
      </c>
      <c r="DG273" s="3">
        <f>DG274+DG275</f>
        <v>0</v>
      </c>
      <c r="DH273" s="275"/>
      <c r="DI273" s="275"/>
      <c r="DJ273" s="275"/>
      <c r="DK273" s="3">
        <f>DK274+DK275</f>
        <v>0</v>
      </c>
      <c r="DL273" s="3">
        <f>DL274+DL275</f>
        <v>0</v>
      </c>
      <c r="DM273" s="275"/>
      <c r="DN273" s="275"/>
      <c r="DO273" s="275"/>
      <c r="DP273" s="285"/>
      <c r="DQ273" s="285"/>
      <c r="DR273" s="285"/>
      <c r="DS273" s="285"/>
      <c r="DT273" s="285"/>
      <c r="DU273" s="285"/>
      <c r="DV273" s="285"/>
      <c r="DW273" s="285"/>
      <c r="DX273" s="287"/>
      <c r="DY273" s="284"/>
      <c r="DZ273" s="284"/>
      <c r="EA273" s="288"/>
      <c r="EB273" s="285"/>
      <c r="EC273" s="285"/>
      <c r="ED273" s="285"/>
      <c r="EE273" s="285"/>
      <c r="EF273" s="285"/>
      <c r="EG273" s="285"/>
      <c r="EH273" s="285"/>
      <c r="EI273" s="275">
        <f t="shared" si="1674"/>
        <v>0</v>
      </c>
      <c r="EJ273" s="3">
        <f>EJ274+EJ275</f>
        <v>0</v>
      </c>
      <c r="EK273" s="7"/>
      <c r="EL273" s="7"/>
      <c r="EM273" s="7"/>
      <c r="EN273" s="7"/>
      <c r="EO273" s="292"/>
      <c r="EP273" s="275">
        <f t="shared" si="1660"/>
        <v>0</v>
      </c>
      <c r="EQ273" s="275">
        <f>EQ274+EQ275</f>
        <v>0</v>
      </c>
      <c r="ER273" s="275"/>
      <c r="ES273" s="292"/>
      <c r="ET273" s="292"/>
      <c r="EU273" s="275"/>
      <c r="EV273" s="6"/>
      <c r="EW273" s="328">
        <f>EX273+EY273</f>
        <v>0</v>
      </c>
      <c r="EX273" s="328">
        <f>AZ274+AZ275</f>
        <v>0</v>
      </c>
      <c r="EY273" s="329"/>
      <c r="EZ273" s="403" t="e">
        <f t="shared" ref="EZ273" si="1679">EX273/EW273</f>
        <v>#DIV/0!</v>
      </c>
      <c r="FA273" s="403" t="e">
        <f t="shared" ref="FA273" si="1680">EY273/EW273</f>
        <v>#DIV/0!</v>
      </c>
      <c r="FB273" s="328">
        <f>FC273+FD273</f>
        <v>0</v>
      </c>
      <c r="FC273" s="328">
        <f>EJ273</f>
        <v>0</v>
      </c>
      <c r="FD273" s="329">
        <f>EQ273</f>
        <v>0</v>
      </c>
      <c r="FE273" s="403" t="e">
        <f t="shared" ref="FE273" si="1681">FC273/FB273</f>
        <v>#DIV/0!</v>
      </c>
      <c r="FF273" s="403" t="e">
        <f t="shared" ref="FF273" si="1682">FD273/FB273</f>
        <v>#DIV/0!</v>
      </c>
      <c r="FG273" s="403"/>
      <c r="FH273" s="328" t="e">
        <f>FB273*EZ273</f>
        <v>#DIV/0!</v>
      </c>
      <c r="FI273" s="328" t="e">
        <f>FC273-FH273</f>
        <v>#DIV/0!</v>
      </c>
      <c r="FJ273" s="275"/>
      <c r="FK273" s="365"/>
      <c r="FL273" s="365"/>
      <c r="FM273" s="366"/>
      <c r="FN273" s="365"/>
      <c r="FO273" s="365"/>
      <c r="FP273" s="365"/>
      <c r="FQ273" s="365"/>
      <c r="FR273" s="366"/>
      <c r="FS273" s="365"/>
      <c r="FT273" s="365"/>
      <c r="FU273" s="365"/>
      <c r="FV273" s="365"/>
      <c r="FW273" s="365"/>
      <c r="FX273" s="328"/>
      <c r="FY273" s="328"/>
      <c r="FZ273" s="329"/>
      <c r="GA273" s="328"/>
      <c r="GB273" s="328"/>
      <c r="GC273" s="328"/>
      <c r="GD273" s="328"/>
      <c r="GE273" s="329"/>
      <c r="GF273" s="328"/>
      <c r="GG273" s="328"/>
      <c r="GH273" s="328"/>
      <c r="GI273" s="328"/>
      <c r="GJ273" s="329"/>
      <c r="GK273" s="303" t="e">
        <f t="shared" si="1637"/>
        <v>#DIV/0!</v>
      </c>
    </row>
    <row r="274" spans="2:193" s="37" customFormat="1" ht="19.5" hidden="1" customHeight="1" x14ac:dyDescent="0.25">
      <c r="B274" s="32"/>
      <c r="C274" s="33"/>
      <c r="D274" s="32"/>
      <c r="E274" s="39"/>
      <c r="F274" s="32"/>
      <c r="G274" s="33"/>
      <c r="H274" s="32"/>
      <c r="I274" s="32"/>
      <c r="J274" s="32"/>
      <c r="K274" s="32"/>
      <c r="L274" s="32"/>
      <c r="M274" s="427"/>
      <c r="N274" s="66" t="s">
        <v>284</v>
      </c>
      <c r="O274" s="66"/>
      <c r="P274" s="66"/>
      <c r="Q274" s="66"/>
      <c r="R274" s="66"/>
      <c r="S274" s="66"/>
      <c r="T274" s="164"/>
      <c r="U274" s="164"/>
      <c r="V274" s="2">
        <f>W274+X274+AA274+AB274</f>
        <v>0</v>
      </c>
      <c r="W274" s="23"/>
      <c r="X274" s="143"/>
      <c r="Y274" s="143"/>
      <c r="Z274" s="143"/>
      <c r="AA274" s="150"/>
      <c r="AB274" s="567">
        <f>AC274+AD274+AG274+AH274</f>
        <v>0</v>
      </c>
      <c r="AC274" s="573"/>
      <c r="AD274" s="573"/>
      <c r="AE274" s="573"/>
      <c r="AF274" s="573"/>
      <c r="AG274" s="627"/>
      <c r="AH274" s="627"/>
      <c r="AI274" s="567">
        <f>AJ274+AK274+AL274+AM274</f>
        <v>65743.138999999996</v>
      </c>
      <c r="AJ274" s="573">
        <v>65743.138999999996</v>
      </c>
      <c r="AK274" s="573"/>
      <c r="AL274" s="627"/>
      <c r="AM274" s="627"/>
      <c r="AN274" s="567">
        <f>AO274+AP274+AQ274+AR274</f>
        <v>85442.017999999996</v>
      </c>
      <c r="AO274" s="573">
        <v>85442.017999999996</v>
      </c>
      <c r="AP274" s="573"/>
      <c r="AQ274" s="627"/>
      <c r="AR274" s="627"/>
      <c r="AS274" s="567">
        <f>AT274+AU274+AV274+AW274</f>
        <v>85442.017999999996</v>
      </c>
      <c r="AT274" s="573">
        <v>85442.017999999996</v>
      </c>
      <c r="AU274" s="573"/>
      <c r="AV274" s="627"/>
      <c r="AW274" s="627"/>
      <c r="AX274" s="412"/>
      <c r="AY274" s="567">
        <f>AZ274+BA274+BD274+BE274</f>
        <v>0</v>
      </c>
      <c r="AZ274" s="573"/>
      <c r="BA274" s="583"/>
      <c r="BB274" s="583"/>
      <c r="BC274" s="583"/>
      <c r="BD274" s="583"/>
      <c r="BE274" s="583"/>
      <c r="BF274" s="567">
        <f t="shared" si="1638"/>
        <v>0</v>
      </c>
      <c r="BG274" s="567">
        <f t="shared" si="1639"/>
        <v>0</v>
      </c>
      <c r="BH274" s="583"/>
      <c r="BI274" s="583"/>
      <c r="BJ274" s="583"/>
      <c r="BK274" s="583"/>
      <c r="BL274" s="583"/>
      <c r="BM274" s="567">
        <f>BN274+BO274+BP274+BQ274</f>
        <v>0</v>
      </c>
      <c r="BN274" s="573"/>
      <c r="BO274" s="583"/>
      <c r="BP274" s="583"/>
      <c r="BQ274" s="583"/>
      <c r="BR274" s="567">
        <f>BS274+BT274+BU274+BV274</f>
        <v>0</v>
      </c>
      <c r="BS274" s="573"/>
      <c r="BT274" s="583"/>
      <c r="BU274" s="583"/>
      <c r="BV274" s="583"/>
      <c r="BW274" s="567">
        <f>BX274+BY274+CB274+CC274</f>
        <v>0</v>
      </c>
      <c r="BX274" s="573">
        <v>0</v>
      </c>
      <c r="BY274" s="583"/>
      <c r="BZ274" s="583"/>
      <c r="CA274" s="583"/>
      <c r="CB274" s="583"/>
      <c r="CC274" s="583"/>
      <c r="CD274" s="567">
        <f>CE274+CF274+CI274+CJ274</f>
        <v>0</v>
      </c>
      <c r="CE274" s="573">
        <v>0</v>
      </c>
      <c r="CF274" s="583"/>
      <c r="CG274" s="583"/>
      <c r="CH274" s="583"/>
      <c r="CI274" s="583"/>
      <c r="CJ274" s="583"/>
      <c r="CK274" s="569">
        <f>CL274+CM274+CP274+CQ274</f>
        <v>0</v>
      </c>
      <c r="CL274" s="568">
        <v>0</v>
      </c>
      <c r="CM274" s="583"/>
      <c r="CN274" s="583"/>
      <c r="CO274" s="583"/>
      <c r="CP274" s="583"/>
      <c r="CQ274" s="583"/>
      <c r="CR274" s="573">
        <f t="shared" si="1644"/>
        <v>0</v>
      </c>
      <c r="CS274" s="568">
        <f t="shared" si="1645"/>
        <v>0</v>
      </c>
      <c r="CT274" s="568">
        <f t="shared" si="1646"/>
        <v>0</v>
      </c>
      <c r="CU274" s="583"/>
      <c r="CV274" s="583"/>
      <c r="CW274" s="583"/>
      <c r="CX274" s="567">
        <f t="shared" ca="1" si="1339"/>
        <v>0</v>
      </c>
      <c r="CY274" s="567">
        <f t="shared" si="1649"/>
        <v>0</v>
      </c>
      <c r="CZ274" s="567"/>
      <c r="DA274" s="567"/>
      <c r="DB274" s="2"/>
      <c r="DC274" s="76"/>
      <c r="DD274" s="46"/>
      <c r="DE274" s="46"/>
      <c r="DF274" s="2">
        <f>DG274+DH274+DI274+DJ274</f>
        <v>0</v>
      </c>
      <c r="DG274" s="23"/>
      <c r="DH274" s="7"/>
      <c r="DI274" s="7"/>
      <c r="DJ274" s="7"/>
      <c r="DK274" s="2">
        <f>DL274+DM274+DN274+DO274</f>
        <v>0</v>
      </c>
      <c r="DL274" s="23"/>
      <c r="DM274" s="7"/>
      <c r="DN274" s="7"/>
      <c r="DO274" s="7"/>
      <c r="DP274" s="46"/>
      <c r="DQ274" s="46"/>
      <c r="DR274" s="46"/>
      <c r="DS274" s="46"/>
      <c r="DT274" s="46"/>
      <c r="DU274" s="46"/>
      <c r="DV274" s="46"/>
      <c r="DW274" s="46"/>
      <c r="DX274" s="242"/>
      <c r="DY274" s="76"/>
      <c r="DZ274" s="76"/>
      <c r="EA274" s="243"/>
      <c r="EB274" s="46"/>
      <c r="EC274" s="46"/>
      <c r="ED274" s="46"/>
      <c r="EE274" s="46"/>
      <c r="EF274" s="46"/>
      <c r="EG274" s="46"/>
      <c r="EH274" s="46"/>
      <c r="EI274" s="198">
        <f t="shared" si="1674"/>
        <v>0</v>
      </c>
      <c r="EJ274" s="23"/>
      <c r="EK274" s="7"/>
      <c r="EL274" s="7"/>
      <c r="EM274" s="7"/>
      <c r="EN274" s="7"/>
      <c r="EO274" s="45"/>
      <c r="EP274" s="198">
        <f t="shared" si="1660"/>
        <v>0</v>
      </c>
      <c r="EQ274" s="198">
        <v>0</v>
      </c>
      <c r="ER274" s="7"/>
      <c r="ES274" s="8"/>
      <c r="ET274" s="8"/>
      <c r="EU274" s="7"/>
      <c r="EV274" s="6"/>
      <c r="EW274" s="317"/>
      <c r="EX274" s="317"/>
      <c r="EY274" s="327"/>
      <c r="EZ274" s="325"/>
      <c r="FA274" s="325"/>
      <c r="FB274" s="317"/>
      <c r="FC274" s="317"/>
      <c r="FD274" s="327"/>
      <c r="FE274" s="325"/>
      <c r="FF274" s="325"/>
      <c r="FG274" s="325"/>
      <c r="FH274" s="325"/>
      <c r="FI274" s="325"/>
      <c r="FJ274" s="7"/>
      <c r="FK274" s="358"/>
      <c r="FL274" s="358"/>
      <c r="FM274" s="364"/>
      <c r="FN274" s="362"/>
      <c r="FO274" s="362"/>
      <c r="FP274" s="358"/>
      <c r="FQ274" s="358"/>
      <c r="FR274" s="364"/>
      <c r="FS274" s="362"/>
      <c r="FT274" s="362"/>
      <c r="FU274" s="362"/>
      <c r="FV274" s="362"/>
      <c r="FW274" s="362"/>
      <c r="FX274" s="317"/>
      <c r="FY274" s="317"/>
      <c r="FZ274" s="327"/>
      <c r="GA274" s="325"/>
      <c r="GB274" s="325"/>
      <c r="GC274" s="317"/>
      <c r="GD274" s="317"/>
      <c r="GE274" s="327"/>
      <c r="GF274" s="325"/>
      <c r="GG274" s="325"/>
      <c r="GH274" s="325"/>
      <c r="GI274" s="325"/>
      <c r="GJ274" s="327"/>
      <c r="GK274" s="303" t="e">
        <f t="shared" si="1637"/>
        <v>#DIV/0!</v>
      </c>
    </row>
    <row r="275" spans="2:193" s="37" customFormat="1" ht="19.899999999999999" hidden="1" customHeight="1" x14ac:dyDescent="0.25">
      <c r="B275" s="32"/>
      <c r="C275" s="33"/>
      <c r="D275" s="32"/>
      <c r="E275" s="39"/>
      <c r="F275" s="32"/>
      <c r="G275" s="33"/>
      <c r="H275" s="32"/>
      <c r="I275" s="32"/>
      <c r="J275" s="32"/>
      <c r="K275" s="32"/>
      <c r="L275" s="32"/>
      <c r="M275" s="427"/>
      <c r="N275" s="66" t="s">
        <v>283</v>
      </c>
      <c r="O275" s="66"/>
      <c r="P275" s="66"/>
      <c r="Q275" s="66"/>
      <c r="R275" s="66"/>
      <c r="S275" s="66"/>
      <c r="T275" s="164"/>
      <c r="U275" s="164"/>
      <c r="V275" s="2">
        <f>W275+X275+AA275+AB275</f>
        <v>0</v>
      </c>
      <c r="W275" s="23"/>
      <c r="X275" s="143"/>
      <c r="Y275" s="143"/>
      <c r="Z275" s="143"/>
      <c r="AA275" s="150"/>
      <c r="AB275" s="567">
        <f>AC275+AD275+AG275+AH275</f>
        <v>0</v>
      </c>
      <c r="AC275" s="573"/>
      <c r="AD275" s="573"/>
      <c r="AE275" s="573"/>
      <c r="AF275" s="573"/>
      <c r="AG275" s="627"/>
      <c r="AH275" s="627"/>
      <c r="AI275" s="567">
        <f>AJ275+AK275+AL275+AM275</f>
        <v>18569.5</v>
      </c>
      <c r="AJ275" s="573">
        <v>18569.5</v>
      </c>
      <c r="AK275" s="573"/>
      <c r="AL275" s="627"/>
      <c r="AM275" s="627"/>
      <c r="AN275" s="567">
        <f>AO275+AP275+AQ275+AR275</f>
        <v>0</v>
      </c>
      <c r="AO275" s="573"/>
      <c r="AP275" s="573"/>
      <c r="AQ275" s="627"/>
      <c r="AR275" s="627"/>
      <c r="AS275" s="567">
        <f>AT275+AU275+AV275+AW275</f>
        <v>0</v>
      </c>
      <c r="AT275" s="573"/>
      <c r="AU275" s="573"/>
      <c r="AV275" s="627"/>
      <c r="AW275" s="627"/>
      <c r="AX275" s="412"/>
      <c r="AY275" s="567">
        <f>AZ275+BA275+BD275+BE275</f>
        <v>0</v>
      </c>
      <c r="AZ275" s="573"/>
      <c r="BA275" s="583"/>
      <c r="BB275" s="583"/>
      <c r="BC275" s="583"/>
      <c r="BD275" s="583"/>
      <c r="BE275" s="583"/>
      <c r="BF275" s="567">
        <f t="shared" si="1638"/>
        <v>0</v>
      </c>
      <c r="BG275" s="567">
        <f t="shared" si="1639"/>
        <v>0</v>
      </c>
      <c r="BH275" s="583"/>
      <c r="BI275" s="583"/>
      <c r="BJ275" s="583"/>
      <c r="BK275" s="583"/>
      <c r="BL275" s="583"/>
      <c r="BM275" s="567">
        <f>BN275+BO275+BP275+BQ275</f>
        <v>0</v>
      </c>
      <c r="BN275" s="573"/>
      <c r="BO275" s="583"/>
      <c r="BP275" s="583"/>
      <c r="BQ275" s="583"/>
      <c r="BR275" s="567">
        <f>BS275+BT275+BU275+BV275</f>
        <v>0</v>
      </c>
      <c r="BS275" s="573"/>
      <c r="BT275" s="583"/>
      <c r="BU275" s="583"/>
      <c r="BV275" s="583"/>
      <c r="BW275" s="567">
        <f>BX275+BY275+CB275+CC275</f>
        <v>0</v>
      </c>
      <c r="BX275" s="573">
        <v>0</v>
      </c>
      <c r="BY275" s="583"/>
      <c r="BZ275" s="583"/>
      <c r="CA275" s="583"/>
      <c r="CB275" s="583"/>
      <c r="CC275" s="583"/>
      <c r="CD275" s="567">
        <f>CE275+CF275+CI275+CJ275</f>
        <v>0</v>
      </c>
      <c r="CE275" s="573">
        <v>0</v>
      </c>
      <c r="CF275" s="583"/>
      <c r="CG275" s="583"/>
      <c r="CH275" s="583"/>
      <c r="CI275" s="583"/>
      <c r="CJ275" s="583"/>
      <c r="CK275" s="569">
        <f>CL275+CM275+CP275+CQ275</f>
        <v>0</v>
      </c>
      <c r="CL275" s="568"/>
      <c r="CM275" s="583"/>
      <c r="CN275" s="583"/>
      <c r="CO275" s="583"/>
      <c r="CP275" s="583"/>
      <c r="CQ275" s="583"/>
      <c r="CR275" s="573">
        <f t="shared" si="1644"/>
        <v>0</v>
      </c>
      <c r="CS275" s="568">
        <f t="shared" si="1645"/>
        <v>0</v>
      </c>
      <c r="CT275" s="568">
        <f t="shared" si="1646"/>
        <v>0</v>
      </c>
      <c r="CU275" s="583"/>
      <c r="CV275" s="583"/>
      <c r="CW275" s="583"/>
      <c r="CX275" s="567">
        <f t="shared" ca="1" si="1339"/>
        <v>0</v>
      </c>
      <c r="CY275" s="567">
        <f t="shared" si="1649"/>
        <v>0</v>
      </c>
      <c r="CZ275" s="567"/>
      <c r="DA275" s="567"/>
      <c r="DB275" s="2"/>
      <c r="DC275" s="76"/>
      <c r="DD275" s="46"/>
      <c r="DE275" s="46"/>
      <c r="DF275" s="2">
        <f>DG275+DH275+DI275+DJ275</f>
        <v>0</v>
      </c>
      <c r="DG275" s="23"/>
      <c r="DH275" s="7"/>
      <c r="DI275" s="7"/>
      <c r="DJ275" s="7"/>
      <c r="DK275" s="2">
        <f>DL275+DM275+DN275+DO275</f>
        <v>0</v>
      </c>
      <c r="DL275" s="23"/>
      <c r="DM275" s="7"/>
      <c r="DN275" s="7"/>
      <c r="DO275" s="7"/>
      <c r="DP275" s="46"/>
      <c r="DQ275" s="46"/>
      <c r="DR275" s="46"/>
      <c r="DS275" s="46"/>
      <c r="DT275" s="46"/>
      <c r="DU275" s="46"/>
      <c r="DV275" s="46"/>
      <c r="DW275" s="46"/>
      <c r="DX275" s="242"/>
      <c r="DY275" s="76"/>
      <c r="DZ275" s="76"/>
      <c r="EA275" s="243"/>
      <c r="EB275" s="46"/>
      <c r="EC275" s="46"/>
      <c r="ED275" s="46"/>
      <c r="EE275" s="46"/>
      <c r="EF275" s="46"/>
      <c r="EG275" s="46"/>
      <c r="EH275" s="46"/>
      <c r="EI275" s="198">
        <f t="shared" si="1674"/>
        <v>0</v>
      </c>
      <c r="EJ275" s="23"/>
      <c r="EK275" s="7"/>
      <c r="EL275" s="7"/>
      <c r="EM275" s="7"/>
      <c r="EN275" s="7"/>
      <c r="EO275" s="45"/>
      <c r="EP275" s="198">
        <f t="shared" si="1660"/>
        <v>0</v>
      </c>
      <c r="EQ275" s="198"/>
      <c r="ER275" s="7"/>
      <c r="ES275" s="8"/>
      <c r="ET275" s="8"/>
      <c r="EU275" s="7"/>
      <c r="EV275" s="6"/>
      <c r="EW275" s="317"/>
      <c r="EX275" s="317"/>
      <c r="EY275" s="327"/>
      <c r="EZ275" s="325"/>
      <c r="FA275" s="325"/>
      <c r="FB275" s="317"/>
      <c r="FC275" s="317"/>
      <c r="FD275" s="327"/>
      <c r="FE275" s="325"/>
      <c r="FF275" s="325"/>
      <c r="FG275" s="325"/>
      <c r="FH275" s="325"/>
      <c r="FI275" s="325"/>
      <c r="FJ275" s="7"/>
      <c r="FK275" s="358"/>
      <c r="FL275" s="358"/>
      <c r="FM275" s="364"/>
      <c r="FN275" s="362"/>
      <c r="FO275" s="362"/>
      <c r="FP275" s="358"/>
      <c r="FQ275" s="358"/>
      <c r="FR275" s="364"/>
      <c r="FS275" s="362"/>
      <c r="FT275" s="362"/>
      <c r="FU275" s="362"/>
      <c r="FV275" s="362"/>
      <c r="FW275" s="362"/>
      <c r="FX275" s="317"/>
      <c r="FY275" s="317"/>
      <c r="FZ275" s="327"/>
      <c r="GA275" s="325"/>
      <c r="GB275" s="325"/>
      <c r="GC275" s="317"/>
      <c r="GD275" s="317"/>
      <c r="GE275" s="327"/>
      <c r="GF275" s="325"/>
      <c r="GG275" s="325"/>
      <c r="GH275" s="325"/>
      <c r="GI275" s="325"/>
      <c r="GJ275" s="327"/>
      <c r="GK275" s="303" t="e">
        <f t="shared" si="1637"/>
        <v>#DIV/0!</v>
      </c>
    </row>
    <row r="276" spans="2:193" s="37" customFormat="1" ht="52.9" customHeight="1" x14ac:dyDescent="0.25">
      <c r="B276" s="32"/>
      <c r="C276" s="33"/>
      <c r="D276" s="32"/>
      <c r="E276" s="39"/>
      <c r="F276" s="32"/>
      <c r="G276" s="33"/>
      <c r="H276" s="32"/>
      <c r="I276" s="32"/>
      <c r="J276" s="32"/>
      <c r="K276" s="32"/>
      <c r="L276" s="32"/>
      <c r="M276" s="475">
        <v>1</v>
      </c>
      <c r="N276" s="634" t="s">
        <v>363</v>
      </c>
      <c r="O276" s="525"/>
      <c r="P276" s="525"/>
      <c r="Q276" s="525"/>
      <c r="R276" s="525"/>
      <c r="S276" s="525"/>
      <c r="T276" s="493"/>
      <c r="U276" s="493">
        <v>2</v>
      </c>
      <c r="V276" s="23">
        <f>V277+V278</f>
        <v>1347.4779799999999</v>
      </c>
      <c r="W276" s="23">
        <f>W277+W278</f>
        <v>1347.4779799999999</v>
      </c>
      <c r="X276" s="143"/>
      <c r="Y276" s="143"/>
      <c r="Z276" s="143"/>
      <c r="AA276" s="143"/>
      <c r="AB276" s="573">
        <f>AB277+AB278</f>
        <v>1347.4779799999999</v>
      </c>
      <c r="AC276" s="573">
        <f>AC277+AC278</f>
        <v>1347.4779799999999</v>
      </c>
      <c r="AD276" s="573"/>
      <c r="AE276" s="573"/>
      <c r="AF276" s="573"/>
      <c r="AG276" s="573"/>
      <c r="AH276" s="573"/>
      <c r="AI276" s="573">
        <f>AI277+AI278</f>
        <v>55000</v>
      </c>
      <c r="AJ276" s="573">
        <f>AJ277+AJ278</f>
        <v>55000</v>
      </c>
      <c r="AK276" s="573"/>
      <c r="AL276" s="573"/>
      <c r="AM276" s="573"/>
      <c r="AN276" s="573">
        <f>AN277+AN278</f>
        <v>159311.58199999999</v>
      </c>
      <c r="AO276" s="573">
        <f>AO277+AO278</f>
        <v>159311.58199999999</v>
      </c>
      <c r="AP276" s="573"/>
      <c r="AQ276" s="573"/>
      <c r="AR276" s="573"/>
      <c r="AS276" s="567">
        <f>AS277+AS278</f>
        <v>159311.58199999999</v>
      </c>
      <c r="AT276" s="573">
        <f>AT277+AT278</f>
        <v>159311.58199999999</v>
      </c>
      <c r="AU276" s="573"/>
      <c r="AV276" s="573"/>
      <c r="AW276" s="573"/>
      <c r="AX276" s="410" t="s">
        <v>723</v>
      </c>
      <c r="AY276" s="573">
        <f>AY277+AY278</f>
        <v>1347.4779799999999</v>
      </c>
      <c r="AZ276" s="573">
        <f>AZ277+AZ278</f>
        <v>1347.4779799999999</v>
      </c>
      <c r="BA276" s="568"/>
      <c r="BB276" s="568"/>
      <c r="BC276" s="568"/>
      <c r="BD276" s="568"/>
      <c r="BE276" s="568"/>
      <c r="BF276" s="573">
        <f t="shared" si="1638"/>
        <v>0</v>
      </c>
      <c r="BG276" s="573">
        <f t="shared" si="1639"/>
        <v>0</v>
      </c>
      <c r="BH276" s="568"/>
      <c r="BI276" s="568"/>
      <c r="BJ276" s="568"/>
      <c r="BK276" s="568"/>
      <c r="BL276" s="568"/>
      <c r="BM276" s="573">
        <f>BM277+BM278</f>
        <v>0</v>
      </c>
      <c r="BN276" s="573"/>
      <c r="BO276" s="568"/>
      <c r="BP276" s="568"/>
      <c r="BQ276" s="568"/>
      <c r="BR276" s="573">
        <f>BR277+BR278</f>
        <v>0</v>
      </c>
      <c r="BS276" s="573">
        <f>BS277+BS278</f>
        <v>0</v>
      </c>
      <c r="BT276" s="568"/>
      <c r="BU276" s="568"/>
      <c r="BV276" s="568"/>
      <c r="BW276" s="573">
        <f>BW277+BW278</f>
        <v>1347.4779800000001</v>
      </c>
      <c r="BX276" s="573">
        <f>BX277+BX278</f>
        <v>1347.4779800000001</v>
      </c>
      <c r="BY276" s="568"/>
      <c r="BZ276" s="568"/>
      <c r="CA276" s="568"/>
      <c r="CB276" s="568"/>
      <c r="CC276" s="568"/>
      <c r="CD276" s="619">
        <f>CD277+CD278</f>
        <v>1347.4779800000001</v>
      </c>
      <c r="CE276" s="573">
        <f>CE277+CE278</f>
        <v>1347.4779800000001</v>
      </c>
      <c r="CF276" s="568"/>
      <c r="CG276" s="568"/>
      <c r="CH276" s="568"/>
      <c r="CI276" s="568"/>
      <c r="CJ276" s="568"/>
      <c r="CK276" s="582">
        <f>CK277+CK278</f>
        <v>41.24597</v>
      </c>
      <c r="CL276" s="577">
        <f>CL277+CL278</f>
        <v>41.24597</v>
      </c>
      <c r="CM276" s="577"/>
      <c r="CN276" s="577"/>
      <c r="CO276" s="577"/>
      <c r="CP276" s="577"/>
      <c r="CQ276" s="577"/>
      <c r="CR276" s="573">
        <f t="shared" si="1644"/>
        <v>1388.7239500000001</v>
      </c>
      <c r="CS276" s="577">
        <f t="shared" si="1645"/>
        <v>1388.7239500000001</v>
      </c>
      <c r="CT276" s="577">
        <f t="shared" si="1646"/>
        <v>1388.7239500000001</v>
      </c>
      <c r="CU276" s="577"/>
      <c r="CV276" s="577"/>
      <c r="CW276" s="577"/>
      <c r="CX276" s="567">
        <f t="shared" ca="1" si="1339"/>
        <v>0</v>
      </c>
      <c r="CY276" s="567">
        <f t="shared" si="1649"/>
        <v>0</v>
      </c>
      <c r="CZ276" s="567"/>
      <c r="DA276" s="567"/>
      <c r="DB276" s="2"/>
      <c r="DC276" s="517"/>
      <c r="DD276" s="518"/>
      <c r="DE276" s="518"/>
      <c r="DF276" s="23">
        <f>DF277+DF278</f>
        <v>0</v>
      </c>
      <c r="DG276" s="23">
        <f>DG277+DG278</f>
        <v>0</v>
      </c>
      <c r="DH276" s="236"/>
      <c r="DI276" s="236"/>
      <c r="DJ276" s="236"/>
      <c r="DK276" s="23">
        <f>DK277+DK278</f>
        <v>0</v>
      </c>
      <c r="DL276" s="23">
        <f>DL277+DL278</f>
        <v>0</v>
      </c>
      <c r="DM276" s="236"/>
      <c r="DN276" s="236"/>
      <c r="DO276" s="236"/>
      <c r="DP276" s="518"/>
      <c r="DQ276" s="518"/>
      <c r="DR276" s="518"/>
      <c r="DS276" s="518"/>
      <c r="DT276" s="518"/>
      <c r="DU276" s="518"/>
      <c r="DV276" s="518"/>
      <c r="DW276" s="518"/>
      <c r="DX276" s="519"/>
      <c r="DY276" s="517"/>
      <c r="DZ276" s="517"/>
      <c r="EA276" s="520"/>
      <c r="EB276" s="518"/>
      <c r="EC276" s="518"/>
      <c r="ED276" s="518"/>
      <c r="EE276" s="518"/>
      <c r="EF276" s="518"/>
      <c r="EG276" s="518"/>
      <c r="EH276" s="518"/>
      <c r="EI276" s="236">
        <f t="shared" si="1674"/>
        <v>1347.4779800000001</v>
      </c>
      <c r="EJ276" s="23">
        <f>EJ277+EJ278</f>
        <v>1347.4779800000001</v>
      </c>
      <c r="EK276" s="198"/>
      <c r="EL276" s="198"/>
      <c r="EM276" s="198"/>
      <c r="EN276" s="198"/>
      <c r="EO276" s="45"/>
      <c r="EP276" s="236">
        <f t="shared" si="1660"/>
        <v>41.24597</v>
      </c>
      <c r="EQ276" s="236">
        <f>EQ277+EQ278</f>
        <v>41.24597</v>
      </c>
      <c r="ER276" s="236"/>
      <c r="ES276" s="45"/>
      <c r="ET276" s="45"/>
      <c r="EU276" s="236"/>
      <c r="EV276" s="42"/>
      <c r="EW276" s="312">
        <f>EX276+EY276</f>
        <v>1424.0023699999999</v>
      </c>
      <c r="EX276" s="312">
        <f>AZ277+AZ278</f>
        <v>1347.4779799999999</v>
      </c>
      <c r="EY276" s="456">
        <v>76.524389999999997</v>
      </c>
      <c r="EZ276" s="402">
        <f t="shared" ref="EZ276" si="1683">EX276/EW276</f>
        <v>0.9462610515177724</v>
      </c>
      <c r="FA276" s="402">
        <f t="shared" ref="FA276" si="1684">EY276/EW276</f>
        <v>5.37389484822276E-2</v>
      </c>
      <c r="FB276" s="312">
        <f>FC276+FD276</f>
        <v>1388.7239500000001</v>
      </c>
      <c r="FC276" s="312">
        <f>EJ276</f>
        <v>1347.4779800000001</v>
      </c>
      <c r="FD276" s="456">
        <f>EQ276</f>
        <v>41.24597</v>
      </c>
      <c r="FE276" s="402">
        <f t="shared" ref="FE276" si="1685">FC276/FB276</f>
        <v>0.97029937447251491</v>
      </c>
      <c r="FF276" s="402">
        <f t="shared" ref="FF276" si="1686">FD276/FB276</f>
        <v>2.970062552748514E-2</v>
      </c>
      <c r="FG276" s="402"/>
      <c r="FH276" s="312">
        <f>FB276*EZ276</f>
        <v>1314.0953851949143</v>
      </c>
      <c r="FI276" s="312">
        <f>FC276-FH276</f>
        <v>33.382594805085773</v>
      </c>
      <c r="FJ276" s="198"/>
      <c r="FK276" s="354"/>
      <c r="FL276" s="354"/>
      <c r="FM276" s="521"/>
      <c r="FN276" s="358"/>
      <c r="FO276" s="358"/>
      <c r="FP276" s="354"/>
      <c r="FQ276" s="354"/>
      <c r="FR276" s="521"/>
      <c r="FS276" s="358"/>
      <c r="FT276" s="358"/>
      <c r="FU276" s="358"/>
      <c r="FV276" s="358"/>
      <c r="FW276" s="358"/>
      <c r="FX276" s="312"/>
      <c r="FY276" s="312"/>
      <c r="FZ276" s="522"/>
      <c r="GA276" s="317"/>
      <c r="GB276" s="317"/>
      <c r="GC276" s="312"/>
      <c r="GD276" s="312"/>
      <c r="GE276" s="522"/>
      <c r="GF276" s="317"/>
      <c r="GG276" s="317"/>
      <c r="GH276" s="317"/>
      <c r="GI276" s="317"/>
      <c r="GJ276" s="522"/>
      <c r="GK276" s="303">
        <f t="shared" si="1637"/>
        <v>1.0000000000000002</v>
      </c>
    </row>
    <row r="277" spans="2:193" s="37" customFormat="1" ht="16.149999999999999" hidden="1" customHeight="1" x14ac:dyDescent="0.25">
      <c r="B277" s="32"/>
      <c r="C277" s="33"/>
      <c r="D277" s="32"/>
      <c r="E277" s="39"/>
      <c r="F277" s="32"/>
      <c r="G277" s="33"/>
      <c r="H277" s="32"/>
      <c r="I277" s="32"/>
      <c r="J277" s="32"/>
      <c r="K277" s="32"/>
      <c r="L277" s="32"/>
      <c r="M277" s="523"/>
      <c r="N277" s="524" t="s">
        <v>284</v>
      </c>
      <c r="O277" s="524"/>
      <c r="P277" s="524"/>
      <c r="Q277" s="524"/>
      <c r="R277" s="524"/>
      <c r="S277" s="524"/>
      <c r="T277" s="164"/>
      <c r="U277" s="164"/>
      <c r="V277" s="2">
        <f>W277</f>
        <v>1347.4779799999999</v>
      </c>
      <c r="W277" s="2">
        <v>1347.4779799999999</v>
      </c>
      <c r="X277" s="143"/>
      <c r="Y277" s="143"/>
      <c r="Z277" s="143"/>
      <c r="AA277" s="143"/>
      <c r="AB277" s="567">
        <f>AC277</f>
        <v>1347.4779799999999</v>
      </c>
      <c r="AC277" s="567">
        <v>1347.4779799999999</v>
      </c>
      <c r="AD277" s="573"/>
      <c r="AE277" s="573"/>
      <c r="AF277" s="573"/>
      <c r="AG277" s="573"/>
      <c r="AH277" s="573"/>
      <c r="AI277" s="567">
        <f>AJ277+AK277+AL277+AM277</f>
        <v>55000</v>
      </c>
      <c r="AJ277" s="567">
        <v>55000</v>
      </c>
      <c r="AK277" s="573"/>
      <c r="AL277" s="573"/>
      <c r="AM277" s="573"/>
      <c r="AN277" s="567">
        <f>AO277+AP277+AQ277+AR277</f>
        <v>159311.58199999999</v>
      </c>
      <c r="AO277" s="567">
        <v>159311.58199999999</v>
      </c>
      <c r="AP277" s="573"/>
      <c r="AQ277" s="573"/>
      <c r="AR277" s="573"/>
      <c r="AS277" s="567">
        <f>AT277+AU277+AV277+AW277</f>
        <v>159311.58199999999</v>
      </c>
      <c r="AT277" s="567">
        <v>159311.58199999999</v>
      </c>
      <c r="AU277" s="573"/>
      <c r="AV277" s="573"/>
      <c r="AW277" s="573"/>
      <c r="AX277" s="410"/>
      <c r="AY277" s="567">
        <f>AZ277+BA277+BD277+BE277</f>
        <v>1347.4779799999999</v>
      </c>
      <c r="AZ277" s="567">
        <f>2500-1152.52202</f>
        <v>1347.4779799999999</v>
      </c>
      <c r="BA277" s="568"/>
      <c r="BB277" s="568"/>
      <c r="BC277" s="568"/>
      <c r="BD277" s="568"/>
      <c r="BE277" s="568"/>
      <c r="BF277" s="567">
        <f t="shared" si="1638"/>
        <v>0</v>
      </c>
      <c r="BG277" s="567">
        <f t="shared" si="1639"/>
        <v>0</v>
      </c>
      <c r="BH277" s="568">
        <f t="shared" si="1640"/>
        <v>0</v>
      </c>
      <c r="BI277" s="568">
        <f t="shared" si="1641"/>
        <v>0</v>
      </c>
      <c r="BJ277" s="568">
        <f t="shared" si="1642"/>
        <v>0</v>
      </c>
      <c r="BK277" s="568">
        <f t="shared" si="1643"/>
        <v>0</v>
      </c>
      <c r="BL277" s="568"/>
      <c r="BM277" s="567">
        <f>BN277+BO277+BP277+BQ277</f>
        <v>0</v>
      </c>
      <c r="BN277" s="573"/>
      <c r="BO277" s="568"/>
      <c r="BP277" s="568"/>
      <c r="BQ277" s="568"/>
      <c r="BR277" s="567">
        <f>BS277+BT277+BU277+BV277</f>
        <v>0</v>
      </c>
      <c r="BS277" s="573"/>
      <c r="BT277" s="568"/>
      <c r="BU277" s="568"/>
      <c r="BV277" s="568"/>
      <c r="BW277" s="567">
        <f>BX277+BY277+CB277+CC277</f>
        <v>1347.4779800000001</v>
      </c>
      <c r="BX277" s="573">
        <f>1155.66479+191.81319</f>
        <v>1347.4779800000001</v>
      </c>
      <c r="BY277" s="568"/>
      <c r="BZ277" s="568"/>
      <c r="CA277" s="568"/>
      <c r="CB277" s="568"/>
      <c r="CC277" s="568"/>
      <c r="CD277" s="574">
        <f>CE277+CF277+CI277+CJ277</f>
        <v>1347.4779800000001</v>
      </c>
      <c r="CE277" s="573">
        <f>1155.66479+191.81319</f>
        <v>1347.4779800000001</v>
      </c>
      <c r="CF277" s="568"/>
      <c r="CG277" s="568"/>
      <c r="CH277" s="568"/>
      <c r="CI277" s="568"/>
      <c r="CJ277" s="568"/>
      <c r="CK277" s="569">
        <f>CL277+CM277+CP277+CQ277</f>
        <v>41.24597</v>
      </c>
      <c r="CL277" s="568">
        <f>35.37462+5.87135</f>
        <v>41.24597</v>
      </c>
      <c r="CM277" s="568"/>
      <c r="CN277" s="568"/>
      <c r="CO277" s="568"/>
      <c r="CP277" s="568"/>
      <c r="CQ277" s="568"/>
      <c r="CR277" s="573">
        <f t="shared" si="1644"/>
        <v>1388.7239500000001</v>
      </c>
      <c r="CS277" s="568">
        <f t="shared" si="1645"/>
        <v>1388.7239500000001</v>
      </c>
      <c r="CT277" s="568">
        <f t="shared" si="1646"/>
        <v>1388.7239500000001</v>
      </c>
      <c r="CU277" s="568"/>
      <c r="CV277" s="568"/>
      <c r="CW277" s="568"/>
      <c r="CX277" s="567">
        <f t="shared" ca="1" si="1339"/>
        <v>0</v>
      </c>
      <c r="CY277" s="567">
        <f t="shared" si="1649"/>
        <v>0</v>
      </c>
      <c r="CZ277" s="567"/>
      <c r="DA277" s="567"/>
      <c r="DB277" s="2"/>
      <c r="DC277" s="76"/>
      <c r="DD277" s="46"/>
      <c r="DE277" s="46"/>
      <c r="DF277" s="2">
        <f>DG277+DH277+DI277+DJ277</f>
        <v>0</v>
      </c>
      <c r="DG277" s="23"/>
      <c r="DH277" s="198"/>
      <c r="DI277" s="198"/>
      <c r="DJ277" s="198"/>
      <c r="DK277" s="2">
        <f>DL277+DM277+DN277+DO277</f>
        <v>0</v>
      </c>
      <c r="DL277" s="23"/>
      <c r="DM277" s="198"/>
      <c r="DN277" s="198"/>
      <c r="DO277" s="198"/>
      <c r="DP277" s="46"/>
      <c r="DQ277" s="46"/>
      <c r="DR277" s="46"/>
      <c r="DS277" s="46"/>
      <c r="DT277" s="46"/>
      <c r="DU277" s="46"/>
      <c r="DV277" s="46"/>
      <c r="DW277" s="46"/>
      <c r="DX277" s="242"/>
      <c r="DY277" s="76"/>
      <c r="DZ277" s="76"/>
      <c r="EA277" s="243"/>
      <c r="EB277" s="46"/>
      <c r="EC277" s="46"/>
      <c r="ED277" s="46"/>
      <c r="EE277" s="46"/>
      <c r="EF277" s="46"/>
      <c r="EG277" s="46"/>
      <c r="EH277" s="46"/>
      <c r="EI277" s="198">
        <f t="shared" si="1674"/>
        <v>1347.4779800000001</v>
      </c>
      <c r="EJ277" s="23">
        <f>1155.66479+191.81319</f>
        <v>1347.4779800000001</v>
      </c>
      <c r="EK277" s="198"/>
      <c r="EL277" s="198"/>
      <c r="EM277" s="198"/>
      <c r="EN277" s="198"/>
      <c r="EO277" s="45"/>
      <c r="EP277" s="198">
        <f t="shared" si="1660"/>
        <v>41.24597</v>
      </c>
      <c r="EQ277" s="198">
        <f>35.37462+5.87135</f>
        <v>41.24597</v>
      </c>
      <c r="ER277" s="198"/>
      <c r="ES277" s="45"/>
      <c r="ET277" s="45"/>
      <c r="EU277" s="198"/>
      <c r="EV277" s="42"/>
      <c r="EW277" s="317"/>
      <c r="EX277" s="317"/>
      <c r="EY277" s="522"/>
      <c r="EZ277" s="317"/>
      <c r="FA277" s="317"/>
      <c r="FB277" s="317"/>
      <c r="FC277" s="317"/>
      <c r="FD277" s="522"/>
      <c r="FE277" s="317"/>
      <c r="FF277" s="317"/>
      <c r="FG277" s="317"/>
      <c r="FH277" s="317"/>
      <c r="FI277" s="317"/>
      <c r="FJ277" s="198"/>
      <c r="FK277" s="358"/>
      <c r="FL277" s="358"/>
      <c r="FM277" s="521"/>
      <c r="FN277" s="358"/>
      <c r="FO277" s="358"/>
      <c r="FP277" s="358"/>
      <c r="FQ277" s="358"/>
      <c r="FR277" s="521"/>
      <c r="FS277" s="358"/>
      <c r="FT277" s="358"/>
      <c r="FU277" s="358"/>
      <c r="FV277" s="358"/>
      <c r="FW277" s="358"/>
      <c r="FX277" s="317"/>
      <c r="FY277" s="317"/>
      <c r="FZ277" s="522"/>
      <c r="GA277" s="317"/>
      <c r="GB277" s="317"/>
      <c r="GC277" s="317"/>
      <c r="GD277" s="317"/>
      <c r="GE277" s="522"/>
      <c r="GF277" s="317"/>
      <c r="GG277" s="317"/>
      <c r="GH277" s="317"/>
      <c r="GI277" s="317"/>
      <c r="GJ277" s="522"/>
      <c r="GK277" s="303">
        <f t="shared" si="1637"/>
        <v>1.0000000000000002</v>
      </c>
    </row>
    <row r="278" spans="2:193" s="37" customFormat="1" ht="16.5" hidden="1" customHeight="1" x14ac:dyDescent="0.25">
      <c r="B278" s="32"/>
      <c r="C278" s="33"/>
      <c r="D278" s="32"/>
      <c r="E278" s="39"/>
      <c r="F278" s="32"/>
      <c r="G278" s="33"/>
      <c r="H278" s="32"/>
      <c r="I278" s="32"/>
      <c r="J278" s="32"/>
      <c r="K278" s="32"/>
      <c r="L278" s="32"/>
      <c r="M278" s="523"/>
      <c r="N278" s="524" t="s">
        <v>283</v>
      </c>
      <c r="O278" s="524"/>
      <c r="P278" s="524"/>
      <c r="Q278" s="524"/>
      <c r="R278" s="524"/>
      <c r="S278" s="524"/>
      <c r="T278" s="164"/>
      <c r="U278" s="164"/>
      <c r="V278" s="2">
        <f>W278+X278+AA278+AB278</f>
        <v>0</v>
      </c>
      <c r="W278" s="23"/>
      <c r="X278" s="143"/>
      <c r="Y278" s="143"/>
      <c r="Z278" s="143"/>
      <c r="AA278" s="143"/>
      <c r="AB278" s="567">
        <f>AC278+AD278+AG278+AH278</f>
        <v>0</v>
      </c>
      <c r="AC278" s="573"/>
      <c r="AD278" s="573"/>
      <c r="AE278" s="573"/>
      <c r="AF278" s="573"/>
      <c r="AG278" s="573"/>
      <c r="AH278" s="573"/>
      <c r="AI278" s="567">
        <f>AJ278+AK278+AL278+AM278</f>
        <v>0</v>
      </c>
      <c r="AJ278" s="573"/>
      <c r="AK278" s="573"/>
      <c r="AL278" s="573"/>
      <c r="AM278" s="573"/>
      <c r="AN278" s="567">
        <f>AO278+AP278+AQ278+AR278</f>
        <v>0</v>
      </c>
      <c r="AO278" s="573"/>
      <c r="AP278" s="573"/>
      <c r="AQ278" s="573"/>
      <c r="AR278" s="573"/>
      <c r="AS278" s="567">
        <f>AT278+AU278+AV278+AW278</f>
        <v>0</v>
      </c>
      <c r="AT278" s="573"/>
      <c r="AU278" s="573"/>
      <c r="AV278" s="573"/>
      <c r="AW278" s="573"/>
      <c r="AX278" s="410"/>
      <c r="AY278" s="567">
        <f>AZ278+BA278+BD278+BE278</f>
        <v>0</v>
      </c>
      <c r="AZ278" s="573"/>
      <c r="BA278" s="568"/>
      <c r="BB278" s="568"/>
      <c r="BC278" s="568"/>
      <c r="BD278" s="568"/>
      <c r="BE278" s="568"/>
      <c r="BF278" s="567">
        <f t="shared" si="1638"/>
        <v>0</v>
      </c>
      <c r="BG278" s="567">
        <f t="shared" si="1639"/>
        <v>0</v>
      </c>
      <c r="BH278" s="568">
        <f t="shared" si="1640"/>
        <v>0</v>
      </c>
      <c r="BI278" s="568">
        <f t="shared" si="1641"/>
        <v>0</v>
      </c>
      <c r="BJ278" s="568">
        <f t="shared" si="1642"/>
        <v>0</v>
      </c>
      <c r="BK278" s="568">
        <f t="shared" si="1643"/>
        <v>0</v>
      </c>
      <c r="BL278" s="568"/>
      <c r="BM278" s="567">
        <f>BN278+BO278+BP278+BQ278</f>
        <v>0</v>
      </c>
      <c r="BN278" s="573"/>
      <c r="BO278" s="568"/>
      <c r="BP278" s="568"/>
      <c r="BQ278" s="568"/>
      <c r="BR278" s="567">
        <f>BS278+BT278+BU278+BV278</f>
        <v>0</v>
      </c>
      <c r="BS278" s="573"/>
      <c r="BT278" s="568"/>
      <c r="BU278" s="568"/>
      <c r="BV278" s="568"/>
      <c r="BW278" s="567">
        <f>BX278+BY278+CB278+CC278</f>
        <v>0</v>
      </c>
      <c r="BX278" s="573"/>
      <c r="BY278" s="568"/>
      <c r="BZ278" s="568"/>
      <c r="CA278" s="568"/>
      <c r="CB278" s="568"/>
      <c r="CC278" s="568"/>
      <c r="CD278" s="574">
        <f>CE278+CF278+CI278+CJ278</f>
        <v>0</v>
      </c>
      <c r="CE278" s="573"/>
      <c r="CF278" s="568"/>
      <c r="CG278" s="568"/>
      <c r="CH278" s="568"/>
      <c r="CI278" s="568"/>
      <c r="CJ278" s="568"/>
      <c r="CK278" s="569">
        <f>CL278+CM278+CP278+CQ278</f>
        <v>0</v>
      </c>
      <c r="CL278" s="568">
        <v>0</v>
      </c>
      <c r="CM278" s="568"/>
      <c r="CN278" s="568"/>
      <c r="CO278" s="568"/>
      <c r="CP278" s="568"/>
      <c r="CQ278" s="568"/>
      <c r="CR278" s="573">
        <f t="shared" si="1644"/>
        <v>0</v>
      </c>
      <c r="CS278" s="568">
        <f t="shared" si="1645"/>
        <v>0</v>
      </c>
      <c r="CT278" s="568">
        <f t="shared" si="1646"/>
        <v>0</v>
      </c>
      <c r="CU278" s="568"/>
      <c r="CV278" s="568"/>
      <c r="CW278" s="568"/>
      <c r="CX278" s="567">
        <f t="shared" ca="1" si="1339"/>
        <v>0</v>
      </c>
      <c r="CY278" s="567">
        <f t="shared" si="1649"/>
        <v>0</v>
      </c>
      <c r="CZ278" s="567"/>
      <c r="DA278" s="567"/>
      <c r="DB278" s="2"/>
      <c r="DC278" s="76"/>
      <c r="DD278" s="46"/>
      <c r="DE278" s="46"/>
      <c r="DF278" s="2">
        <f>DG278+DH278+DI278+DJ278</f>
        <v>0</v>
      </c>
      <c r="DG278" s="23"/>
      <c r="DH278" s="198"/>
      <c r="DI278" s="198"/>
      <c r="DJ278" s="198"/>
      <c r="DK278" s="2">
        <f>DL278+DM278+DN278+DO278</f>
        <v>0</v>
      </c>
      <c r="DL278" s="23"/>
      <c r="DM278" s="198"/>
      <c r="DN278" s="198"/>
      <c r="DO278" s="198"/>
      <c r="DP278" s="46"/>
      <c r="DQ278" s="46"/>
      <c r="DR278" s="46"/>
      <c r="DS278" s="46"/>
      <c r="DT278" s="46"/>
      <c r="DU278" s="46"/>
      <c r="DV278" s="46"/>
      <c r="DW278" s="46"/>
      <c r="DX278" s="242"/>
      <c r="DY278" s="76"/>
      <c r="DZ278" s="76"/>
      <c r="EA278" s="243"/>
      <c r="EB278" s="46"/>
      <c r="EC278" s="46"/>
      <c r="ED278" s="46"/>
      <c r="EE278" s="46"/>
      <c r="EF278" s="46"/>
      <c r="EG278" s="46"/>
      <c r="EH278" s="46"/>
      <c r="EI278" s="198">
        <f t="shared" si="1674"/>
        <v>0</v>
      </c>
      <c r="EJ278" s="23"/>
      <c r="EK278" s="198"/>
      <c r="EL278" s="198"/>
      <c r="EM278" s="198"/>
      <c r="EN278" s="198"/>
      <c r="EO278" s="45"/>
      <c r="EP278" s="198">
        <f t="shared" si="1660"/>
        <v>0</v>
      </c>
      <c r="EQ278" s="198">
        <v>0</v>
      </c>
      <c r="ER278" s="198"/>
      <c r="ES278" s="45"/>
      <c r="ET278" s="45"/>
      <c r="EU278" s="198"/>
      <c r="EV278" s="42"/>
      <c r="EW278" s="317"/>
      <c r="EX278" s="317"/>
      <c r="EY278" s="522"/>
      <c r="EZ278" s="317"/>
      <c r="FA278" s="317"/>
      <c r="FB278" s="317"/>
      <c r="FC278" s="317"/>
      <c r="FD278" s="522"/>
      <c r="FE278" s="317"/>
      <c r="FF278" s="317"/>
      <c r="FG278" s="317"/>
      <c r="FH278" s="317"/>
      <c r="FI278" s="317"/>
      <c r="FJ278" s="198"/>
      <c r="FK278" s="358"/>
      <c r="FL278" s="358"/>
      <c r="FM278" s="521"/>
      <c r="FN278" s="358"/>
      <c r="FO278" s="358"/>
      <c r="FP278" s="358"/>
      <c r="FQ278" s="358"/>
      <c r="FR278" s="521"/>
      <c r="FS278" s="358"/>
      <c r="FT278" s="358"/>
      <c r="FU278" s="358"/>
      <c r="FV278" s="358"/>
      <c r="FW278" s="358"/>
      <c r="FX278" s="317"/>
      <c r="FY278" s="317"/>
      <c r="FZ278" s="522"/>
      <c r="GA278" s="317"/>
      <c r="GB278" s="317"/>
      <c r="GC278" s="317"/>
      <c r="GD278" s="317"/>
      <c r="GE278" s="522"/>
      <c r="GF278" s="317"/>
      <c r="GG278" s="317"/>
      <c r="GH278" s="317"/>
      <c r="GI278" s="317"/>
      <c r="GJ278" s="522"/>
      <c r="GK278" s="303" t="e">
        <f t="shared" si="1637"/>
        <v>#DIV/0!</v>
      </c>
    </row>
    <row r="279" spans="2:193" s="37" customFormat="1" ht="49.15" hidden="1" customHeight="1" x14ac:dyDescent="0.25">
      <c r="B279" s="32"/>
      <c r="C279" s="33"/>
      <c r="D279" s="32"/>
      <c r="E279" s="39"/>
      <c r="F279" s="32"/>
      <c r="G279" s="33"/>
      <c r="H279" s="32"/>
      <c r="I279" s="32"/>
      <c r="J279" s="32"/>
      <c r="K279" s="32"/>
      <c r="L279" s="32"/>
      <c r="M279" s="475">
        <v>4</v>
      </c>
      <c r="N279" s="634" t="s">
        <v>322</v>
      </c>
      <c r="O279" s="525"/>
      <c r="P279" s="525"/>
      <c r="Q279" s="525"/>
      <c r="R279" s="525"/>
      <c r="S279" s="525"/>
      <c r="T279" s="493">
        <v>1</v>
      </c>
      <c r="U279" s="493"/>
      <c r="V279" s="23">
        <f>V280+V281</f>
        <v>0</v>
      </c>
      <c r="W279" s="23">
        <f>W280+W281</f>
        <v>0</v>
      </c>
      <c r="X279" s="143"/>
      <c r="Y279" s="143"/>
      <c r="Z279" s="143"/>
      <c r="AA279" s="143"/>
      <c r="AB279" s="573">
        <f>AB280+AB281</f>
        <v>0</v>
      </c>
      <c r="AC279" s="573">
        <f>AC280+AC281</f>
        <v>0</v>
      </c>
      <c r="AD279" s="573"/>
      <c r="AE279" s="573"/>
      <c r="AF279" s="573"/>
      <c r="AG279" s="573"/>
      <c r="AH279" s="573"/>
      <c r="AI279" s="573">
        <f>AI280+AI281</f>
        <v>15700</v>
      </c>
      <c r="AJ279" s="573">
        <f>AJ280+AJ281</f>
        <v>15700</v>
      </c>
      <c r="AK279" s="573"/>
      <c r="AL279" s="573"/>
      <c r="AM279" s="573"/>
      <c r="AN279" s="573">
        <f>AN280+AN281</f>
        <v>0</v>
      </c>
      <c r="AO279" s="573">
        <f>AO280+AO281</f>
        <v>0</v>
      </c>
      <c r="AP279" s="573"/>
      <c r="AQ279" s="573"/>
      <c r="AR279" s="573"/>
      <c r="AS279" s="567">
        <f>AS280+AS281</f>
        <v>0</v>
      </c>
      <c r="AT279" s="573">
        <f>AT280+AT281</f>
        <v>0</v>
      </c>
      <c r="AU279" s="573"/>
      <c r="AV279" s="573"/>
      <c r="AW279" s="573"/>
      <c r="AX279" s="410"/>
      <c r="AY279" s="573">
        <f>AY280+AY281</f>
        <v>0</v>
      </c>
      <c r="AZ279" s="573">
        <f>AZ280+AZ281</f>
        <v>0</v>
      </c>
      <c r="BA279" s="568"/>
      <c r="BB279" s="568"/>
      <c r="BC279" s="568"/>
      <c r="BD279" s="568"/>
      <c r="BE279" s="568"/>
      <c r="BF279" s="573">
        <f t="shared" si="1638"/>
        <v>0</v>
      </c>
      <c r="BG279" s="573">
        <f t="shared" si="1639"/>
        <v>0</v>
      </c>
      <c r="BH279" s="568">
        <f t="shared" si="1640"/>
        <v>0</v>
      </c>
      <c r="BI279" s="568">
        <f t="shared" si="1641"/>
        <v>0</v>
      </c>
      <c r="BJ279" s="568">
        <f t="shared" si="1642"/>
        <v>0</v>
      </c>
      <c r="BK279" s="568">
        <f t="shared" si="1643"/>
        <v>0</v>
      </c>
      <c r="BL279" s="568"/>
      <c r="BM279" s="573">
        <f>BM280+BM281</f>
        <v>2844.5320000000002</v>
      </c>
      <c r="BN279" s="573"/>
      <c r="BO279" s="568"/>
      <c r="BP279" s="568"/>
      <c r="BQ279" s="568"/>
      <c r="BR279" s="573">
        <f>BR280+BR281</f>
        <v>0</v>
      </c>
      <c r="BS279" s="573">
        <f>BS280+BS281</f>
        <v>0</v>
      </c>
      <c r="BT279" s="568"/>
      <c r="BU279" s="568"/>
      <c r="BV279" s="568"/>
      <c r="BW279" s="573">
        <f>BW280+BW281</f>
        <v>0</v>
      </c>
      <c r="BX279" s="573">
        <f>BX280+BX281</f>
        <v>0</v>
      </c>
      <c r="BY279" s="568"/>
      <c r="BZ279" s="568"/>
      <c r="CA279" s="568"/>
      <c r="CB279" s="568"/>
      <c r="CC279" s="568"/>
      <c r="CD279" s="619">
        <f>CD280+CD281</f>
        <v>0</v>
      </c>
      <c r="CE279" s="573">
        <f>CE280+CE281</f>
        <v>0</v>
      </c>
      <c r="CF279" s="568"/>
      <c r="CG279" s="568"/>
      <c r="CH279" s="568"/>
      <c r="CI279" s="568"/>
      <c r="CJ279" s="568"/>
      <c r="CK279" s="582">
        <f>CK280+CK281</f>
        <v>0</v>
      </c>
      <c r="CL279" s="577">
        <f>CL280+CL281</f>
        <v>0</v>
      </c>
      <c r="CM279" s="577"/>
      <c r="CN279" s="577"/>
      <c r="CO279" s="577"/>
      <c r="CP279" s="577"/>
      <c r="CQ279" s="577"/>
      <c r="CR279" s="573">
        <f t="shared" si="1644"/>
        <v>0</v>
      </c>
      <c r="CS279" s="577">
        <f t="shared" si="1645"/>
        <v>0</v>
      </c>
      <c r="CT279" s="577">
        <f t="shared" si="1646"/>
        <v>0</v>
      </c>
      <c r="CU279" s="577"/>
      <c r="CV279" s="577"/>
      <c r="CW279" s="577"/>
      <c r="CX279" s="567">
        <f t="shared" ca="1" si="1339"/>
        <v>0</v>
      </c>
      <c r="CY279" s="567">
        <f t="shared" si="1649"/>
        <v>0</v>
      </c>
      <c r="CZ279" s="567"/>
      <c r="DA279" s="567"/>
      <c r="DB279" s="2"/>
      <c r="DC279" s="517"/>
      <c r="DD279" s="518"/>
      <c r="DE279" s="518"/>
      <c r="DF279" s="23">
        <f>DF280+DF281</f>
        <v>0</v>
      </c>
      <c r="DG279" s="23">
        <f>DG280+DG281</f>
        <v>0</v>
      </c>
      <c r="DH279" s="236"/>
      <c r="DI279" s="236"/>
      <c r="DJ279" s="236"/>
      <c r="DK279" s="23">
        <f>DK280+DK281</f>
        <v>0</v>
      </c>
      <c r="DL279" s="23">
        <f>DL280+DL281</f>
        <v>0</v>
      </c>
      <c r="DM279" s="236"/>
      <c r="DN279" s="236"/>
      <c r="DO279" s="236"/>
      <c r="DP279" s="518"/>
      <c r="DQ279" s="518"/>
      <c r="DR279" s="518"/>
      <c r="DS279" s="518"/>
      <c r="DT279" s="518"/>
      <c r="DU279" s="518"/>
      <c r="DV279" s="518"/>
      <c r="DW279" s="518"/>
      <c r="DX279" s="519"/>
      <c r="DY279" s="517"/>
      <c r="DZ279" s="517"/>
      <c r="EA279" s="520"/>
      <c r="EB279" s="518"/>
      <c r="EC279" s="518"/>
      <c r="ED279" s="518"/>
      <c r="EE279" s="518"/>
      <c r="EF279" s="518"/>
      <c r="EG279" s="518"/>
      <c r="EH279" s="518"/>
      <c r="EI279" s="236">
        <f t="shared" si="1674"/>
        <v>0</v>
      </c>
      <c r="EJ279" s="23">
        <f>EJ280+EJ281</f>
        <v>0</v>
      </c>
      <c r="EK279" s="198"/>
      <c r="EL279" s="198"/>
      <c r="EM279" s="198"/>
      <c r="EN279" s="198"/>
      <c r="EO279" s="263"/>
      <c r="EP279" s="236">
        <f t="shared" si="1660"/>
        <v>0</v>
      </c>
      <c r="EQ279" s="236">
        <f>EQ280+EQ281</f>
        <v>0</v>
      </c>
      <c r="ER279" s="236"/>
      <c r="ES279" s="263"/>
      <c r="ET279" s="263"/>
      <c r="EU279" s="236"/>
      <c r="EV279" s="42"/>
      <c r="EW279" s="312">
        <f>EX279+EY279</f>
        <v>0</v>
      </c>
      <c r="EX279" s="312">
        <f>AZ280+AZ281</f>
        <v>0</v>
      </c>
      <c r="EY279" s="456">
        <v>0</v>
      </c>
      <c r="EZ279" s="402" t="e">
        <f t="shared" ref="EZ279" si="1687">EX279/EW279</f>
        <v>#DIV/0!</v>
      </c>
      <c r="FA279" s="402" t="e">
        <f t="shared" ref="FA279" si="1688">EY279/EW279</f>
        <v>#DIV/0!</v>
      </c>
      <c r="FB279" s="312">
        <f>FC279+FD279</f>
        <v>0</v>
      </c>
      <c r="FC279" s="312">
        <f>EJ279</f>
        <v>0</v>
      </c>
      <c r="FD279" s="456">
        <f>EQ279</f>
        <v>0</v>
      </c>
      <c r="FE279" s="402" t="e">
        <f t="shared" ref="FE279" si="1689">FC279/FB279</f>
        <v>#DIV/0!</v>
      </c>
      <c r="FF279" s="402" t="e">
        <f t="shared" ref="FF279" si="1690">FD279/FB279</f>
        <v>#DIV/0!</v>
      </c>
      <c r="FG279" s="402"/>
      <c r="FH279" s="312" t="e">
        <f>FB279*EZ279</f>
        <v>#DIV/0!</v>
      </c>
      <c r="FI279" s="312" t="e">
        <f>FC279-FH279</f>
        <v>#DIV/0!</v>
      </c>
      <c r="FJ279" s="236"/>
      <c r="FK279" s="354"/>
      <c r="FL279" s="354"/>
      <c r="FM279" s="526"/>
      <c r="FN279" s="354"/>
      <c r="FO279" s="354"/>
      <c r="FP279" s="354"/>
      <c r="FQ279" s="354"/>
      <c r="FR279" s="526"/>
      <c r="FS279" s="354"/>
      <c r="FT279" s="354"/>
      <c r="FU279" s="354"/>
      <c r="FV279" s="354"/>
      <c r="FW279" s="354"/>
      <c r="FX279" s="312"/>
      <c r="FY279" s="312"/>
      <c r="FZ279" s="456"/>
      <c r="GA279" s="312"/>
      <c r="GB279" s="312"/>
      <c r="GC279" s="312"/>
      <c r="GD279" s="312"/>
      <c r="GE279" s="456"/>
      <c r="GF279" s="312"/>
      <c r="GG279" s="312"/>
      <c r="GH279" s="312"/>
      <c r="GI279" s="312"/>
      <c r="GJ279" s="456"/>
      <c r="GK279" s="303" t="e">
        <f t="shared" si="1637"/>
        <v>#DIV/0!</v>
      </c>
    </row>
    <row r="280" spans="2:193" s="37" customFormat="1" ht="16.5" hidden="1" customHeight="1" x14ac:dyDescent="0.25">
      <c r="B280" s="32"/>
      <c r="C280" s="33"/>
      <c r="D280" s="32"/>
      <c r="E280" s="39"/>
      <c r="F280" s="32"/>
      <c r="G280" s="33"/>
      <c r="H280" s="32"/>
      <c r="I280" s="32"/>
      <c r="J280" s="32"/>
      <c r="K280" s="32"/>
      <c r="L280" s="32"/>
      <c r="M280" s="523"/>
      <c r="N280" s="524" t="s">
        <v>284</v>
      </c>
      <c r="O280" s="524"/>
      <c r="P280" s="524"/>
      <c r="Q280" s="524"/>
      <c r="R280" s="524"/>
      <c r="S280" s="524"/>
      <c r="T280" s="164"/>
      <c r="U280" s="164"/>
      <c r="V280" s="2">
        <f>W280+X280+AA280+AB280</f>
        <v>0</v>
      </c>
      <c r="W280" s="23">
        <v>0</v>
      </c>
      <c r="X280" s="143"/>
      <c r="Y280" s="143"/>
      <c r="Z280" s="143"/>
      <c r="AA280" s="143"/>
      <c r="AB280" s="567">
        <f>AC280+AD280+AG280+AH280</f>
        <v>0</v>
      </c>
      <c r="AC280" s="573">
        <v>0</v>
      </c>
      <c r="AD280" s="573"/>
      <c r="AE280" s="573"/>
      <c r="AF280" s="573"/>
      <c r="AG280" s="573"/>
      <c r="AH280" s="573"/>
      <c r="AI280" s="567">
        <f>AJ280+AK280+AL280+AM280</f>
        <v>15700</v>
      </c>
      <c r="AJ280" s="573">
        <v>15700</v>
      </c>
      <c r="AK280" s="573"/>
      <c r="AL280" s="573"/>
      <c r="AM280" s="573"/>
      <c r="AN280" s="567">
        <f>AO280+AP280+AQ280+AR280</f>
        <v>0</v>
      </c>
      <c r="AO280" s="573"/>
      <c r="AP280" s="573"/>
      <c r="AQ280" s="573"/>
      <c r="AR280" s="573"/>
      <c r="AS280" s="567">
        <f>AT280+AU280+AV280+AW280</f>
        <v>0</v>
      </c>
      <c r="AT280" s="573"/>
      <c r="AU280" s="573"/>
      <c r="AV280" s="573"/>
      <c r="AW280" s="573"/>
      <c r="AX280" s="410"/>
      <c r="AY280" s="567">
        <f>AZ280+BA280+BD280+BE280</f>
        <v>0</v>
      </c>
      <c r="AZ280" s="573">
        <v>0</v>
      </c>
      <c r="BA280" s="568"/>
      <c r="BB280" s="568"/>
      <c r="BC280" s="568"/>
      <c r="BD280" s="568"/>
      <c r="BE280" s="568"/>
      <c r="BF280" s="567">
        <f t="shared" si="1638"/>
        <v>0</v>
      </c>
      <c r="BG280" s="567">
        <f t="shared" si="1639"/>
        <v>0</v>
      </c>
      <c r="BH280" s="568">
        <f t="shared" si="1640"/>
        <v>0</v>
      </c>
      <c r="BI280" s="568">
        <f t="shared" si="1641"/>
        <v>0</v>
      </c>
      <c r="BJ280" s="568">
        <f t="shared" si="1642"/>
        <v>0</v>
      </c>
      <c r="BK280" s="568">
        <f t="shared" si="1643"/>
        <v>0</v>
      </c>
      <c r="BL280" s="568"/>
      <c r="BM280" s="567">
        <f>BN280+BO280+BP280+BQ280</f>
        <v>2844.5320000000002</v>
      </c>
      <c r="BN280" s="573">
        <v>2844.5320000000002</v>
      </c>
      <c r="BO280" s="568"/>
      <c r="BP280" s="568"/>
      <c r="BQ280" s="568"/>
      <c r="BR280" s="567">
        <f>BS280+BT280+BU280+BV280</f>
        <v>0</v>
      </c>
      <c r="BS280" s="573"/>
      <c r="BT280" s="568"/>
      <c r="BU280" s="568"/>
      <c r="BV280" s="568"/>
      <c r="BW280" s="567">
        <f>BX280+BY280+CB280+CC280</f>
        <v>0</v>
      </c>
      <c r="BX280" s="573">
        <v>0</v>
      </c>
      <c r="BY280" s="568"/>
      <c r="BZ280" s="568"/>
      <c r="CA280" s="568"/>
      <c r="CB280" s="568"/>
      <c r="CC280" s="568"/>
      <c r="CD280" s="574">
        <f>CE280+CF280+CI280+CJ280</f>
        <v>0</v>
      </c>
      <c r="CE280" s="573">
        <v>0</v>
      </c>
      <c r="CF280" s="568"/>
      <c r="CG280" s="568"/>
      <c r="CH280" s="568"/>
      <c r="CI280" s="568"/>
      <c r="CJ280" s="568"/>
      <c r="CK280" s="569">
        <f>CL280+CM280+CP280+CQ280</f>
        <v>0</v>
      </c>
      <c r="CL280" s="568"/>
      <c r="CM280" s="568"/>
      <c r="CN280" s="568"/>
      <c r="CO280" s="568"/>
      <c r="CP280" s="568"/>
      <c r="CQ280" s="568"/>
      <c r="CR280" s="573">
        <f t="shared" si="1644"/>
        <v>0</v>
      </c>
      <c r="CS280" s="568">
        <f t="shared" si="1645"/>
        <v>0</v>
      </c>
      <c r="CT280" s="568">
        <f t="shared" si="1646"/>
        <v>0</v>
      </c>
      <c r="CU280" s="568"/>
      <c r="CV280" s="568"/>
      <c r="CW280" s="568"/>
      <c r="CX280" s="567">
        <f t="shared" ref="CX280:CX332" ca="1" si="1691">CX281</f>
        <v>0</v>
      </c>
      <c r="CY280" s="567">
        <f t="shared" si="1649"/>
        <v>0</v>
      </c>
      <c r="CZ280" s="567"/>
      <c r="DA280" s="567"/>
      <c r="DB280" s="2"/>
      <c r="DC280" s="76"/>
      <c r="DD280" s="46"/>
      <c r="DE280" s="46"/>
      <c r="DF280" s="2">
        <f>DG280+DH280+DI280+DJ280</f>
        <v>0</v>
      </c>
      <c r="DG280" s="23"/>
      <c r="DH280" s="198"/>
      <c r="DI280" s="198"/>
      <c r="DJ280" s="198"/>
      <c r="DK280" s="2">
        <f>DL280+DM280+DN280+DO280</f>
        <v>0</v>
      </c>
      <c r="DL280" s="23"/>
      <c r="DM280" s="198"/>
      <c r="DN280" s="198"/>
      <c r="DO280" s="198"/>
      <c r="DP280" s="46"/>
      <c r="DQ280" s="46"/>
      <c r="DR280" s="46"/>
      <c r="DS280" s="46"/>
      <c r="DT280" s="46"/>
      <c r="DU280" s="46"/>
      <c r="DV280" s="46"/>
      <c r="DW280" s="46"/>
      <c r="DX280" s="242"/>
      <c r="DY280" s="76"/>
      <c r="DZ280" s="76"/>
      <c r="EA280" s="243"/>
      <c r="EB280" s="46"/>
      <c r="EC280" s="46"/>
      <c r="ED280" s="46"/>
      <c r="EE280" s="46"/>
      <c r="EF280" s="46"/>
      <c r="EG280" s="46"/>
      <c r="EH280" s="46"/>
      <c r="EI280" s="198">
        <f t="shared" si="1674"/>
        <v>0</v>
      </c>
      <c r="EJ280" s="23"/>
      <c r="EK280" s="198"/>
      <c r="EL280" s="198"/>
      <c r="EM280" s="198"/>
      <c r="EN280" s="198"/>
      <c r="EO280" s="45"/>
      <c r="EP280" s="198">
        <f t="shared" si="1660"/>
        <v>0</v>
      </c>
      <c r="EQ280" s="198"/>
      <c r="ER280" s="198"/>
      <c r="ES280" s="45"/>
      <c r="ET280" s="45"/>
      <c r="EU280" s="198"/>
      <c r="EV280" s="42"/>
      <c r="EW280" s="317"/>
      <c r="EX280" s="317"/>
      <c r="EY280" s="522"/>
      <c r="EZ280" s="317"/>
      <c r="FA280" s="317"/>
      <c r="FB280" s="317"/>
      <c r="FC280" s="317"/>
      <c r="FD280" s="522"/>
      <c r="FE280" s="317"/>
      <c r="FF280" s="317"/>
      <c r="FG280" s="317"/>
      <c r="FH280" s="317"/>
      <c r="FI280" s="317"/>
      <c r="FJ280" s="198"/>
      <c r="FK280" s="358"/>
      <c r="FL280" s="358"/>
      <c r="FM280" s="521"/>
      <c r="FN280" s="358"/>
      <c r="FO280" s="358"/>
      <c r="FP280" s="358"/>
      <c r="FQ280" s="358"/>
      <c r="FR280" s="521"/>
      <c r="FS280" s="358"/>
      <c r="FT280" s="358"/>
      <c r="FU280" s="358"/>
      <c r="FV280" s="358"/>
      <c r="FW280" s="358"/>
      <c r="FX280" s="317"/>
      <c r="FY280" s="317"/>
      <c r="FZ280" s="522"/>
      <c r="GA280" s="317"/>
      <c r="GB280" s="317"/>
      <c r="GC280" s="317"/>
      <c r="GD280" s="317"/>
      <c r="GE280" s="522"/>
      <c r="GF280" s="317"/>
      <c r="GG280" s="317"/>
      <c r="GH280" s="317"/>
      <c r="GI280" s="317"/>
      <c r="GJ280" s="522"/>
      <c r="GK280" s="303" t="e">
        <f t="shared" si="1637"/>
        <v>#DIV/0!</v>
      </c>
    </row>
    <row r="281" spans="2:193" s="37" customFormat="1" ht="16.5" hidden="1" customHeight="1" x14ac:dyDescent="0.25">
      <c r="B281" s="32"/>
      <c r="C281" s="33"/>
      <c r="D281" s="32"/>
      <c r="E281" s="39"/>
      <c r="F281" s="32"/>
      <c r="G281" s="33"/>
      <c r="H281" s="32"/>
      <c r="I281" s="32"/>
      <c r="J281" s="32"/>
      <c r="K281" s="32"/>
      <c r="L281" s="32"/>
      <c r="M281" s="523"/>
      <c r="N281" s="524" t="s">
        <v>283</v>
      </c>
      <c r="O281" s="524"/>
      <c r="P281" s="524"/>
      <c r="Q281" s="524"/>
      <c r="R281" s="524"/>
      <c r="S281" s="524"/>
      <c r="T281" s="164"/>
      <c r="U281" s="164"/>
      <c r="V281" s="2">
        <f>W281+X281+AA281+AB281</f>
        <v>0</v>
      </c>
      <c r="W281" s="23">
        <v>0</v>
      </c>
      <c r="X281" s="143"/>
      <c r="Y281" s="143"/>
      <c r="Z281" s="143"/>
      <c r="AA281" s="143"/>
      <c r="AB281" s="567">
        <f>AC281+AD281+AG281+AH281</f>
        <v>0</v>
      </c>
      <c r="AC281" s="573">
        <v>0</v>
      </c>
      <c r="AD281" s="573"/>
      <c r="AE281" s="573"/>
      <c r="AF281" s="573"/>
      <c r="AG281" s="573"/>
      <c r="AH281" s="573"/>
      <c r="AI281" s="567">
        <f>AJ281+AK281+AL281+AM281</f>
        <v>0</v>
      </c>
      <c r="AJ281" s="573"/>
      <c r="AK281" s="573"/>
      <c r="AL281" s="573"/>
      <c r="AM281" s="573"/>
      <c r="AN281" s="567">
        <f>AO281+AP281+AQ281+AR281</f>
        <v>0</v>
      </c>
      <c r="AO281" s="573"/>
      <c r="AP281" s="573"/>
      <c r="AQ281" s="573"/>
      <c r="AR281" s="573"/>
      <c r="AS281" s="567">
        <f>AT281+AU281+AV281+AW281</f>
        <v>0</v>
      </c>
      <c r="AT281" s="573"/>
      <c r="AU281" s="573"/>
      <c r="AV281" s="573"/>
      <c r="AW281" s="573"/>
      <c r="AX281" s="410"/>
      <c r="AY281" s="567">
        <f>AZ281+BA281+BD281+BE281</f>
        <v>0</v>
      </c>
      <c r="AZ281" s="573">
        <v>0</v>
      </c>
      <c r="BA281" s="568"/>
      <c r="BB281" s="568"/>
      <c r="BC281" s="568"/>
      <c r="BD281" s="568"/>
      <c r="BE281" s="568"/>
      <c r="BF281" s="567">
        <f t="shared" si="1638"/>
        <v>0</v>
      </c>
      <c r="BG281" s="567">
        <f t="shared" si="1639"/>
        <v>0</v>
      </c>
      <c r="BH281" s="568">
        <f t="shared" si="1640"/>
        <v>0</v>
      </c>
      <c r="BI281" s="568">
        <f t="shared" si="1641"/>
        <v>0</v>
      </c>
      <c r="BJ281" s="568">
        <f t="shared" si="1642"/>
        <v>0</v>
      </c>
      <c r="BK281" s="568">
        <f t="shared" si="1643"/>
        <v>0</v>
      </c>
      <c r="BL281" s="568"/>
      <c r="BM281" s="567">
        <f>BN281+BO281+BP281+BQ281</f>
        <v>0</v>
      </c>
      <c r="BN281" s="573"/>
      <c r="BO281" s="568"/>
      <c r="BP281" s="568"/>
      <c r="BQ281" s="568"/>
      <c r="BR281" s="567">
        <f>BS281+BT281+BU281+BV281</f>
        <v>0</v>
      </c>
      <c r="BS281" s="573"/>
      <c r="BT281" s="568"/>
      <c r="BU281" s="568"/>
      <c r="BV281" s="568"/>
      <c r="BW281" s="567">
        <f>BX281+BY281+CB281+CC281</f>
        <v>0</v>
      </c>
      <c r="BX281" s="573">
        <v>0</v>
      </c>
      <c r="BY281" s="568"/>
      <c r="BZ281" s="568"/>
      <c r="CA281" s="568"/>
      <c r="CB281" s="568"/>
      <c r="CC281" s="568"/>
      <c r="CD281" s="574">
        <f>CE281+CF281+CI281+CJ281</f>
        <v>0</v>
      </c>
      <c r="CE281" s="573">
        <v>0</v>
      </c>
      <c r="CF281" s="568"/>
      <c r="CG281" s="568"/>
      <c r="CH281" s="568"/>
      <c r="CI281" s="568"/>
      <c r="CJ281" s="568"/>
      <c r="CK281" s="569"/>
      <c r="CL281" s="568"/>
      <c r="CM281" s="568"/>
      <c r="CN281" s="568"/>
      <c r="CO281" s="568"/>
      <c r="CP281" s="568"/>
      <c r="CQ281" s="568"/>
      <c r="CR281" s="573">
        <f t="shared" si="1644"/>
        <v>0</v>
      </c>
      <c r="CS281" s="568">
        <f t="shared" si="1645"/>
        <v>0</v>
      </c>
      <c r="CT281" s="568">
        <f t="shared" si="1646"/>
        <v>0</v>
      </c>
      <c r="CU281" s="568"/>
      <c r="CV281" s="568"/>
      <c r="CW281" s="568"/>
      <c r="CX281" s="567">
        <f t="shared" ca="1" si="1691"/>
        <v>0</v>
      </c>
      <c r="CY281" s="567">
        <f t="shared" si="1649"/>
        <v>0</v>
      </c>
      <c r="CZ281" s="567"/>
      <c r="DA281" s="567"/>
      <c r="DB281" s="2"/>
      <c r="DC281" s="76"/>
      <c r="DD281" s="46"/>
      <c r="DE281" s="46"/>
      <c r="DF281" s="2">
        <f>DG281+DH281+DI281+DJ281</f>
        <v>0</v>
      </c>
      <c r="DG281" s="23"/>
      <c r="DH281" s="198"/>
      <c r="DI281" s="198"/>
      <c r="DJ281" s="198"/>
      <c r="DK281" s="2">
        <f>DL281+DM281+DN281+DO281</f>
        <v>0</v>
      </c>
      <c r="DL281" s="23"/>
      <c r="DM281" s="198"/>
      <c r="DN281" s="198"/>
      <c r="DO281" s="198"/>
      <c r="DP281" s="46"/>
      <c r="DQ281" s="46"/>
      <c r="DR281" s="46"/>
      <c r="DS281" s="46"/>
      <c r="DT281" s="46"/>
      <c r="DU281" s="46"/>
      <c r="DV281" s="46"/>
      <c r="DW281" s="46"/>
      <c r="DX281" s="242"/>
      <c r="DY281" s="76"/>
      <c r="DZ281" s="76"/>
      <c r="EA281" s="243"/>
      <c r="EB281" s="46"/>
      <c r="EC281" s="46"/>
      <c r="ED281" s="46"/>
      <c r="EE281" s="46"/>
      <c r="EF281" s="46"/>
      <c r="EG281" s="46"/>
      <c r="EH281" s="46"/>
      <c r="EI281" s="198">
        <f t="shared" si="1674"/>
        <v>0</v>
      </c>
      <c r="EJ281" s="23"/>
      <c r="EK281" s="198"/>
      <c r="EL281" s="198"/>
      <c r="EM281" s="198"/>
      <c r="EN281" s="198"/>
      <c r="EO281" s="45"/>
      <c r="EP281" s="198">
        <f t="shared" si="1660"/>
        <v>0</v>
      </c>
      <c r="EQ281" s="198"/>
      <c r="ER281" s="198"/>
      <c r="ES281" s="45"/>
      <c r="ET281" s="45"/>
      <c r="EU281" s="198"/>
      <c r="EV281" s="42"/>
      <c r="EW281" s="317"/>
      <c r="EX281" s="317"/>
      <c r="EY281" s="522"/>
      <c r="EZ281" s="317"/>
      <c r="FA281" s="317"/>
      <c r="FB281" s="317"/>
      <c r="FC281" s="317"/>
      <c r="FD281" s="522"/>
      <c r="FE281" s="317"/>
      <c r="FF281" s="317"/>
      <c r="FG281" s="317"/>
      <c r="FH281" s="317"/>
      <c r="FI281" s="317"/>
      <c r="FJ281" s="198"/>
      <c r="FK281" s="358"/>
      <c r="FL281" s="358"/>
      <c r="FM281" s="521"/>
      <c r="FN281" s="358"/>
      <c r="FO281" s="358"/>
      <c r="FP281" s="358"/>
      <c r="FQ281" s="358"/>
      <c r="FR281" s="521"/>
      <c r="FS281" s="358"/>
      <c r="FT281" s="358"/>
      <c r="FU281" s="358"/>
      <c r="FV281" s="358"/>
      <c r="FW281" s="358"/>
      <c r="FX281" s="317"/>
      <c r="FY281" s="317"/>
      <c r="FZ281" s="522"/>
      <c r="GA281" s="317"/>
      <c r="GB281" s="317"/>
      <c r="GC281" s="317"/>
      <c r="GD281" s="317"/>
      <c r="GE281" s="522"/>
      <c r="GF281" s="317"/>
      <c r="GG281" s="317"/>
      <c r="GH281" s="317"/>
      <c r="GI281" s="317"/>
      <c r="GJ281" s="522"/>
      <c r="GK281" s="303" t="e">
        <f t="shared" si="1637"/>
        <v>#DIV/0!</v>
      </c>
    </row>
    <row r="282" spans="2:193" s="37" customFormat="1" ht="139.5" customHeight="1" x14ac:dyDescent="0.25">
      <c r="B282" s="32"/>
      <c r="C282" s="33"/>
      <c r="D282" s="32"/>
      <c r="E282" s="39"/>
      <c r="F282" s="32"/>
      <c r="G282" s="33"/>
      <c r="H282" s="32"/>
      <c r="I282" s="32"/>
      <c r="J282" s="32"/>
      <c r="K282" s="32"/>
      <c r="L282" s="32"/>
      <c r="M282" s="475">
        <v>2</v>
      </c>
      <c r="N282" s="634" t="s">
        <v>744</v>
      </c>
      <c r="O282" s="527"/>
      <c r="P282" s="527"/>
      <c r="Q282" s="527"/>
      <c r="R282" s="527"/>
      <c r="S282" s="444">
        <v>130</v>
      </c>
      <c r="T282" s="166">
        <v>1</v>
      </c>
      <c r="U282" s="166">
        <v>1</v>
      </c>
      <c r="V282" s="23">
        <f>V283+V284</f>
        <v>22536.06122</v>
      </c>
      <c r="W282" s="23">
        <f>W283+W284</f>
        <v>22536.06122</v>
      </c>
      <c r="X282" s="143"/>
      <c r="Y282" s="143"/>
      <c r="Z282" s="143"/>
      <c r="AA282" s="143"/>
      <c r="AB282" s="573">
        <f>AB283+AB284</f>
        <v>22536.06122</v>
      </c>
      <c r="AC282" s="573">
        <f>AC283+AC284</f>
        <v>22536.06122</v>
      </c>
      <c r="AD282" s="573"/>
      <c r="AE282" s="573"/>
      <c r="AF282" s="573"/>
      <c r="AG282" s="573"/>
      <c r="AH282" s="573"/>
      <c r="AI282" s="573">
        <f>AI283+AI284</f>
        <v>36328.699999999997</v>
      </c>
      <c r="AJ282" s="573">
        <f>AJ283+AJ284</f>
        <v>36328.699999999997</v>
      </c>
      <c r="AK282" s="573"/>
      <c r="AL282" s="573"/>
      <c r="AM282" s="573"/>
      <c r="AN282" s="573">
        <f>AN283+AN284</f>
        <v>0</v>
      </c>
      <c r="AO282" s="573">
        <f>AO283+AO284</f>
        <v>0</v>
      </c>
      <c r="AP282" s="573"/>
      <c r="AQ282" s="573"/>
      <c r="AR282" s="573"/>
      <c r="AS282" s="567">
        <f>AS283+AS284</f>
        <v>0</v>
      </c>
      <c r="AT282" s="573">
        <f>AT283+AT284</f>
        <v>0</v>
      </c>
      <c r="AU282" s="573"/>
      <c r="AV282" s="573"/>
      <c r="AW282" s="573"/>
      <c r="AX282" s="631" t="s">
        <v>693</v>
      </c>
      <c r="AY282" s="573">
        <f>AY283+AY284</f>
        <v>22536.06122</v>
      </c>
      <c r="AZ282" s="573">
        <f>AZ283+AZ284</f>
        <v>22536.06122</v>
      </c>
      <c r="BA282" s="568"/>
      <c r="BB282" s="568"/>
      <c r="BC282" s="568"/>
      <c r="BD282" s="568"/>
      <c r="BE282" s="568"/>
      <c r="BF282" s="573">
        <f t="shared" si="1638"/>
        <v>0</v>
      </c>
      <c r="BG282" s="573">
        <f t="shared" si="1639"/>
        <v>0</v>
      </c>
      <c r="BH282" s="568"/>
      <c r="BI282" s="568"/>
      <c r="BJ282" s="568"/>
      <c r="BK282" s="568"/>
      <c r="BL282" s="568"/>
      <c r="BM282" s="573">
        <f>BM283+BM284</f>
        <v>5720.1060600000001</v>
      </c>
      <c r="BN282" s="573"/>
      <c r="BO282" s="568"/>
      <c r="BP282" s="568"/>
      <c r="BQ282" s="568"/>
      <c r="BR282" s="573">
        <f>BR283+BR284</f>
        <v>0</v>
      </c>
      <c r="BS282" s="573">
        <f>BS283+BS284</f>
        <v>0</v>
      </c>
      <c r="BT282" s="568"/>
      <c r="BU282" s="568"/>
      <c r="BV282" s="568"/>
      <c r="BW282" s="573">
        <f>BW283+BW284</f>
        <v>22536.06122</v>
      </c>
      <c r="BX282" s="573">
        <f>BX283+BX284</f>
        <v>22536.06122</v>
      </c>
      <c r="BY282" s="568"/>
      <c r="BZ282" s="568"/>
      <c r="CA282" s="568"/>
      <c r="CB282" s="568"/>
      <c r="CC282" s="568"/>
      <c r="CD282" s="619">
        <f>CD283+CD284</f>
        <v>22536.06122</v>
      </c>
      <c r="CE282" s="573">
        <f>CE283+CE284</f>
        <v>22536.06122</v>
      </c>
      <c r="CF282" s="568"/>
      <c r="CG282" s="568"/>
      <c r="CH282" s="568"/>
      <c r="CI282" s="568"/>
      <c r="CJ282" s="568"/>
      <c r="CK282" s="582">
        <f>CL282</f>
        <v>460</v>
      </c>
      <c r="CL282" s="577">
        <v>460</v>
      </c>
      <c r="CM282" s="577"/>
      <c r="CN282" s="577"/>
      <c r="CO282" s="577"/>
      <c r="CP282" s="577"/>
      <c r="CQ282" s="577"/>
      <c r="CR282" s="573">
        <f t="shared" si="1644"/>
        <v>22996</v>
      </c>
      <c r="CS282" s="577">
        <f t="shared" si="1645"/>
        <v>22996</v>
      </c>
      <c r="CT282" s="577">
        <v>22996</v>
      </c>
      <c r="CU282" s="577"/>
      <c r="CV282" s="577"/>
      <c r="CW282" s="577"/>
      <c r="CX282" s="567">
        <f t="shared" ca="1" si="1691"/>
        <v>0</v>
      </c>
      <c r="CY282" s="567">
        <f t="shared" si="1649"/>
        <v>0</v>
      </c>
      <c r="CZ282" s="567"/>
      <c r="DA282" s="567"/>
      <c r="DB282" s="2"/>
      <c r="DC282" s="517"/>
      <c r="DD282" s="518"/>
      <c r="DE282" s="518"/>
      <c r="DF282" s="23">
        <f>DF283+DF284</f>
        <v>0</v>
      </c>
      <c r="DG282" s="23">
        <f>DG283+DG284</f>
        <v>0</v>
      </c>
      <c r="DH282" s="236"/>
      <c r="DI282" s="236"/>
      <c r="DJ282" s="236"/>
      <c r="DK282" s="23">
        <f>DK283+DK284</f>
        <v>0</v>
      </c>
      <c r="DL282" s="23">
        <f>DL283+DL284</f>
        <v>0</v>
      </c>
      <c r="DM282" s="236"/>
      <c r="DN282" s="236"/>
      <c r="DO282" s="236"/>
      <c r="DP282" s="518"/>
      <c r="DQ282" s="518"/>
      <c r="DR282" s="518"/>
      <c r="DS282" s="518"/>
      <c r="DT282" s="518"/>
      <c r="DU282" s="518"/>
      <c r="DV282" s="518"/>
      <c r="DW282" s="518"/>
      <c r="DX282" s="519"/>
      <c r="DY282" s="517"/>
      <c r="DZ282" s="517"/>
      <c r="EA282" s="520"/>
      <c r="EB282" s="518"/>
      <c r="EC282" s="518"/>
      <c r="ED282" s="518"/>
      <c r="EE282" s="518"/>
      <c r="EF282" s="518"/>
      <c r="EG282" s="518"/>
      <c r="EH282" s="518"/>
      <c r="EI282" s="236">
        <f t="shared" si="1674"/>
        <v>22536.06122</v>
      </c>
      <c r="EJ282" s="23">
        <f>EJ283+EJ284</f>
        <v>22536.06122</v>
      </c>
      <c r="EK282" s="198"/>
      <c r="EL282" s="198"/>
      <c r="EM282" s="198"/>
      <c r="EN282" s="198"/>
      <c r="EO282" s="45"/>
      <c r="EP282" s="236">
        <f t="shared" si="1660"/>
        <v>459.91962000000001</v>
      </c>
      <c r="EQ282" s="236">
        <f>EQ283+EQ284</f>
        <v>459.91962000000001</v>
      </c>
      <c r="ER282" s="236"/>
      <c r="ES282" s="263"/>
      <c r="ET282" s="263"/>
      <c r="EU282" s="236"/>
      <c r="EV282" s="42"/>
      <c r="EW282" s="312">
        <f>EX282+EY282</f>
        <v>22536.06122</v>
      </c>
      <c r="EX282" s="312">
        <f>AZ283+AZ284</f>
        <v>22536.06122</v>
      </c>
      <c r="EY282" s="456"/>
      <c r="EZ282" s="402">
        <f t="shared" ref="EZ282" si="1692">EX282/EW282</f>
        <v>1</v>
      </c>
      <c r="FA282" s="402">
        <f t="shared" ref="FA282" si="1693">EY282/EW282</f>
        <v>0</v>
      </c>
      <c r="FB282" s="312">
        <f>FC282+FD282</f>
        <v>22995.98084</v>
      </c>
      <c r="FC282" s="312">
        <f>EJ282</f>
        <v>22536.06122</v>
      </c>
      <c r="FD282" s="456">
        <f>EQ282</f>
        <v>459.91962000000001</v>
      </c>
      <c r="FE282" s="402">
        <f t="shared" ref="FE282" si="1694">FC282/FB282</f>
        <v>0.97999999986084518</v>
      </c>
      <c r="FF282" s="402">
        <f t="shared" ref="FF282" si="1695">FD282/FB282</f>
        <v>2.0000000139154751E-2</v>
      </c>
      <c r="FG282" s="402"/>
      <c r="FH282" s="312">
        <f>FB282*EZ282</f>
        <v>22995.98084</v>
      </c>
      <c r="FI282" s="312">
        <f>FC282-FH282</f>
        <v>-459.91962000000058</v>
      </c>
      <c r="FJ282" s="236"/>
      <c r="FK282" s="354"/>
      <c r="FL282" s="354"/>
      <c r="FM282" s="526"/>
      <c r="FN282" s="354"/>
      <c r="FO282" s="354"/>
      <c r="FP282" s="354"/>
      <c r="FQ282" s="354"/>
      <c r="FR282" s="526"/>
      <c r="FS282" s="354"/>
      <c r="FT282" s="354"/>
      <c r="FU282" s="354"/>
      <c r="FV282" s="354"/>
      <c r="FW282" s="354"/>
      <c r="FX282" s="312"/>
      <c r="FY282" s="312"/>
      <c r="FZ282" s="456"/>
      <c r="GA282" s="312"/>
      <c r="GB282" s="312"/>
      <c r="GC282" s="312"/>
      <c r="GD282" s="312"/>
      <c r="GE282" s="456"/>
      <c r="GF282" s="312"/>
      <c r="GG282" s="312"/>
      <c r="GH282" s="312"/>
      <c r="GI282" s="312"/>
      <c r="GJ282" s="456"/>
      <c r="GK282" s="303">
        <f t="shared" si="1637"/>
        <v>1</v>
      </c>
    </row>
    <row r="283" spans="2:193" s="37" customFormat="1" ht="19.5" hidden="1" customHeight="1" x14ac:dyDescent="0.25">
      <c r="B283" s="32"/>
      <c r="C283" s="33"/>
      <c r="D283" s="32"/>
      <c r="E283" s="39"/>
      <c r="F283" s="32"/>
      <c r="G283" s="33"/>
      <c r="H283" s="32"/>
      <c r="I283" s="32"/>
      <c r="J283" s="32"/>
      <c r="K283" s="32"/>
      <c r="L283" s="32"/>
      <c r="M283" s="528"/>
      <c r="N283" s="524" t="s">
        <v>284</v>
      </c>
      <c r="O283" s="529"/>
      <c r="P283" s="529"/>
      <c r="Q283" s="529"/>
      <c r="R283" s="529"/>
      <c r="S283" s="529"/>
      <c r="T283" s="530"/>
      <c r="U283" s="531"/>
      <c r="V283" s="2">
        <f>W283</f>
        <v>22536.06122</v>
      </c>
      <c r="W283" s="2">
        <v>22536.06122</v>
      </c>
      <c r="X283" s="143"/>
      <c r="Y283" s="143"/>
      <c r="Z283" s="143"/>
      <c r="AA283" s="143"/>
      <c r="AB283" s="567">
        <f>AC283</f>
        <v>22536.06122</v>
      </c>
      <c r="AC283" s="567">
        <v>22536.06122</v>
      </c>
      <c r="AD283" s="573"/>
      <c r="AE283" s="573"/>
      <c r="AF283" s="573"/>
      <c r="AG283" s="573"/>
      <c r="AH283" s="573"/>
      <c r="AI283" s="567">
        <f t="shared" ref="AI283:AI284" si="1696">AJ283+AK283+AL283+AM283</f>
        <v>36328.699999999997</v>
      </c>
      <c r="AJ283" s="573">
        <v>36328.699999999997</v>
      </c>
      <c r="AK283" s="573"/>
      <c r="AL283" s="573"/>
      <c r="AM283" s="573"/>
      <c r="AN283" s="567">
        <f t="shared" ref="AN283:AN284" si="1697">AO283+AP283+AQ283+AR283</f>
        <v>0</v>
      </c>
      <c r="AO283" s="573"/>
      <c r="AP283" s="573"/>
      <c r="AQ283" s="573"/>
      <c r="AR283" s="573"/>
      <c r="AS283" s="567">
        <f t="shared" ref="AS283:AS284" si="1698">AT283+AU283+AV283+AW283</f>
        <v>0</v>
      </c>
      <c r="AT283" s="573"/>
      <c r="AU283" s="573"/>
      <c r="AV283" s="573"/>
      <c r="AW283" s="573"/>
      <c r="AX283" s="631"/>
      <c r="AY283" s="567">
        <f t="shared" ref="AY283:AY296" si="1699">AZ283+BA283+BD283+BE283</f>
        <v>22536.06122</v>
      </c>
      <c r="AZ283" s="573">
        <f>23144.2778-608.21658</f>
        <v>22536.06122</v>
      </c>
      <c r="BA283" s="568"/>
      <c r="BB283" s="568"/>
      <c r="BC283" s="568"/>
      <c r="BD283" s="568"/>
      <c r="BE283" s="568"/>
      <c r="BF283" s="567">
        <f t="shared" si="1638"/>
        <v>0</v>
      </c>
      <c r="BG283" s="567">
        <f t="shared" si="1639"/>
        <v>0</v>
      </c>
      <c r="BH283" s="568"/>
      <c r="BI283" s="568"/>
      <c r="BJ283" s="568"/>
      <c r="BK283" s="568"/>
      <c r="BL283" s="568"/>
      <c r="BM283" s="567">
        <f t="shared" ref="BM283:BM284" si="1700">BN283+BO283+BP283+BQ283</f>
        <v>4445.9042099999997</v>
      </c>
      <c r="BN283" s="573">
        <f>2548.47552+1897.42869</f>
        <v>4445.9042099999997</v>
      </c>
      <c r="BO283" s="568"/>
      <c r="BP283" s="568"/>
      <c r="BQ283" s="568"/>
      <c r="BR283" s="567">
        <f t="shared" ref="BR283:BR284" si="1701">BS283+BT283+BU283+BV283</f>
        <v>0</v>
      </c>
      <c r="BS283" s="573"/>
      <c r="BT283" s="568"/>
      <c r="BU283" s="568"/>
      <c r="BV283" s="568"/>
      <c r="BW283" s="567">
        <f t="shared" ref="BW283:BW284" si="1702">BX283+BY283+CB283+CC283</f>
        <v>22536.06122</v>
      </c>
      <c r="BX283" s="573">
        <f>17718.49321+4817.56801</f>
        <v>22536.06122</v>
      </c>
      <c r="BY283" s="568"/>
      <c r="BZ283" s="568"/>
      <c r="CA283" s="568"/>
      <c r="CB283" s="568"/>
      <c r="CC283" s="568"/>
      <c r="CD283" s="574">
        <f>CE283+CF283+CI283+CJ283</f>
        <v>22536.06122</v>
      </c>
      <c r="CE283" s="573">
        <f>17718.49321+4817.56801</f>
        <v>22536.06122</v>
      </c>
      <c r="CF283" s="568"/>
      <c r="CG283" s="568"/>
      <c r="CH283" s="568"/>
      <c r="CI283" s="568"/>
      <c r="CJ283" s="568"/>
      <c r="CK283" s="569">
        <f t="shared" ref="CK283:CK284" si="1703">CL283+CM283+CP283+CQ283</f>
        <v>459.91962000000001</v>
      </c>
      <c r="CL283" s="568">
        <v>459.91962000000001</v>
      </c>
      <c r="CM283" s="568"/>
      <c r="CN283" s="568"/>
      <c r="CO283" s="568"/>
      <c r="CP283" s="568"/>
      <c r="CQ283" s="568"/>
      <c r="CR283" s="573">
        <f t="shared" si="1644"/>
        <v>22995.98084</v>
      </c>
      <c r="CS283" s="568">
        <f t="shared" si="1645"/>
        <v>22995.98084</v>
      </c>
      <c r="CT283" s="568">
        <f t="shared" si="1646"/>
        <v>22995.98084</v>
      </c>
      <c r="CU283" s="568"/>
      <c r="CV283" s="568"/>
      <c r="CW283" s="568"/>
      <c r="CX283" s="567">
        <f t="shared" ca="1" si="1691"/>
        <v>0</v>
      </c>
      <c r="CY283" s="567">
        <f t="shared" si="1649"/>
        <v>0</v>
      </c>
      <c r="CZ283" s="567"/>
      <c r="DA283" s="567"/>
      <c r="DB283" s="2"/>
      <c r="DC283" s="76"/>
      <c r="DD283" s="46"/>
      <c r="DE283" s="46"/>
      <c r="DF283" s="2">
        <f t="shared" ref="DF283:DF284" si="1704">DG283+DH283+DI283+DJ283</f>
        <v>0</v>
      </c>
      <c r="DG283" s="23"/>
      <c r="DH283" s="198"/>
      <c r="DI283" s="198"/>
      <c r="DJ283" s="198"/>
      <c r="DK283" s="2">
        <f t="shared" ref="DK283:DK284" si="1705">DL283+DM283+DN283+DO283</f>
        <v>0</v>
      </c>
      <c r="DL283" s="23"/>
      <c r="DM283" s="198"/>
      <c r="DN283" s="198"/>
      <c r="DO283" s="198"/>
      <c r="DP283" s="46"/>
      <c r="DQ283" s="46"/>
      <c r="DR283" s="46"/>
      <c r="DS283" s="46"/>
      <c r="DT283" s="46"/>
      <c r="DU283" s="46"/>
      <c r="DV283" s="46"/>
      <c r="DW283" s="46"/>
      <c r="DX283" s="242"/>
      <c r="DY283" s="76"/>
      <c r="DZ283" s="76"/>
      <c r="EA283" s="243"/>
      <c r="EB283" s="46"/>
      <c r="EC283" s="46"/>
      <c r="ED283" s="46"/>
      <c r="EE283" s="46"/>
      <c r="EF283" s="46"/>
      <c r="EG283" s="46"/>
      <c r="EH283" s="46"/>
      <c r="EI283" s="198">
        <f t="shared" si="1674"/>
        <v>22536.06122</v>
      </c>
      <c r="EJ283" s="23">
        <f>17718.49321+4817.56801</f>
        <v>22536.06122</v>
      </c>
      <c r="EK283" s="198"/>
      <c r="EL283" s="198"/>
      <c r="EM283" s="198"/>
      <c r="EN283" s="198"/>
      <c r="EO283" s="45"/>
      <c r="EP283" s="198">
        <f t="shared" si="1660"/>
        <v>459.91962000000001</v>
      </c>
      <c r="EQ283" s="198">
        <v>459.91962000000001</v>
      </c>
      <c r="ER283" s="198"/>
      <c r="ES283" s="45"/>
      <c r="ET283" s="45"/>
      <c r="EU283" s="198"/>
      <c r="EV283" s="42"/>
      <c r="EW283" s="317"/>
      <c r="EX283" s="317"/>
      <c r="EY283" s="522"/>
      <c r="EZ283" s="317"/>
      <c r="FA283" s="317"/>
      <c r="FB283" s="317"/>
      <c r="FC283" s="317"/>
      <c r="FD283" s="522"/>
      <c r="FE283" s="317"/>
      <c r="FF283" s="317"/>
      <c r="FG283" s="317"/>
      <c r="FH283" s="317"/>
      <c r="FI283" s="317"/>
      <c r="FJ283" s="198"/>
      <c r="FK283" s="358"/>
      <c r="FL283" s="358"/>
      <c r="FM283" s="521"/>
      <c r="FN283" s="358"/>
      <c r="FO283" s="358"/>
      <c r="FP283" s="358"/>
      <c r="FQ283" s="358"/>
      <c r="FR283" s="521"/>
      <c r="FS283" s="358"/>
      <c r="FT283" s="358"/>
      <c r="FU283" s="358"/>
      <c r="FV283" s="358"/>
      <c r="FW283" s="358"/>
      <c r="FX283" s="317"/>
      <c r="FY283" s="317"/>
      <c r="FZ283" s="522"/>
      <c r="GA283" s="317"/>
      <c r="GB283" s="317"/>
      <c r="GC283" s="317"/>
      <c r="GD283" s="317"/>
      <c r="GE283" s="522"/>
      <c r="GF283" s="317"/>
      <c r="GG283" s="317"/>
      <c r="GH283" s="317"/>
      <c r="GI283" s="317"/>
      <c r="GJ283" s="522"/>
      <c r="GK283" s="303">
        <f t="shared" si="1637"/>
        <v>1</v>
      </c>
    </row>
    <row r="284" spans="2:193" s="37" customFormat="1" ht="19.5" hidden="1" customHeight="1" x14ac:dyDescent="0.25">
      <c r="B284" s="32"/>
      <c r="C284" s="33"/>
      <c r="D284" s="32"/>
      <c r="E284" s="39"/>
      <c r="F284" s="32"/>
      <c r="G284" s="33"/>
      <c r="H284" s="32"/>
      <c r="I284" s="32"/>
      <c r="J284" s="32"/>
      <c r="K284" s="32"/>
      <c r="L284" s="32"/>
      <c r="M284" s="528"/>
      <c r="N284" s="524" t="s">
        <v>283</v>
      </c>
      <c r="O284" s="529"/>
      <c r="P284" s="529"/>
      <c r="Q284" s="529"/>
      <c r="R284" s="529"/>
      <c r="S284" s="529"/>
      <c r="T284" s="530"/>
      <c r="U284" s="531"/>
      <c r="V284" s="2">
        <f>W284+X284+AA284+AB284</f>
        <v>0</v>
      </c>
      <c r="W284" s="23"/>
      <c r="X284" s="143"/>
      <c r="Y284" s="143"/>
      <c r="Z284" s="143"/>
      <c r="AA284" s="143"/>
      <c r="AB284" s="567">
        <f>AC284+AD284+AG284+AH284</f>
        <v>0</v>
      </c>
      <c r="AC284" s="573"/>
      <c r="AD284" s="573"/>
      <c r="AE284" s="573"/>
      <c r="AF284" s="573"/>
      <c r="AG284" s="573"/>
      <c r="AH284" s="573"/>
      <c r="AI284" s="567">
        <f t="shared" si="1696"/>
        <v>0</v>
      </c>
      <c r="AJ284" s="573"/>
      <c r="AK284" s="573"/>
      <c r="AL284" s="573"/>
      <c r="AM284" s="573"/>
      <c r="AN284" s="567">
        <f t="shared" si="1697"/>
        <v>0</v>
      </c>
      <c r="AO284" s="573"/>
      <c r="AP284" s="573"/>
      <c r="AQ284" s="573"/>
      <c r="AR284" s="573"/>
      <c r="AS284" s="567">
        <f t="shared" si="1698"/>
        <v>0</v>
      </c>
      <c r="AT284" s="573"/>
      <c r="AU284" s="573"/>
      <c r="AV284" s="573"/>
      <c r="AW284" s="573"/>
      <c r="AX284" s="632"/>
      <c r="AY284" s="567">
        <f t="shared" si="1699"/>
        <v>0</v>
      </c>
      <c r="AZ284" s="573"/>
      <c r="BA284" s="568"/>
      <c r="BB284" s="568"/>
      <c r="BC284" s="568"/>
      <c r="BD284" s="568"/>
      <c r="BE284" s="568"/>
      <c r="BF284" s="567">
        <f t="shared" si="1638"/>
        <v>0</v>
      </c>
      <c r="BG284" s="567">
        <f t="shared" si="1639"/>
        <v>0</v>
      </c>
      <c r="BH284" s="568"/>
      <c r="BI284" s="568"/>
      <c r="BJ284" s="568"/>
      <c r="BK284" s="568"/>
      <c r="BL284" s="568"/>
      <c r="BM284" s="567">
        <f t="shared" si="1700"/>
        <v>1274.2018499999999</v>
      </c>
      <c r="BN284" s="573">
        <f>730.39635+543.8055</f>
        <v>1274.2018499999999</v>
      </c>
      <c r="BO284" s="568"/>
      <c r="BP284" s="568"/>
      <c r="BQ284" s="568"/>
      <c r="BR284" s="567">
        <f t="shared" si="1701"/>
        <v>0</v>
      </c>
      <c r="BS284" s="573"/>
      <c r="BT284" s="568"/>
      <c r="BU284" s="568"/>
      <c r="BV284" s="568"/>
      <c r="BW284" s="567">
        <f t="shared" si="1702"/>
        <v>0</v>
      </c>
      <c r="BX284" s="573"/>
      <c r="BY284" s="568"/>
      <c r="BZ284" s="568"/>
      <c r="CA284" s="568"/>
      <c r="CB284" s="568"/>
      <c r="CC284" s="568"/>
      <c r="CD284" s="574">
        <f>CE284+CF284+CI284+CJ284</f>
        <v>0</v>
      </c>
      <c r="CE284" s="573"/>
      <c r="CF284" s="568"/>
      <c r="CG284" s="568"/>
      <c r="CH284" s="568"/>
      <c r="CI284" s="568"/>
      <c r="CJ284" s="568"/>
      <c r="CK284" s="569">
        <f t="shared" si="1703"/>
        <v>0</v>
      </c>
      <c r="CL284" s="568"/>
      <c r="CM284" s="568"/>
      <c r="CN284" s="568"/>
      <c r="CO284" s="568"/>
      <c r="CP284" s="568"/>
      <c r="CQ284" s="568"/>
      <c r="CR284" s="573">
        <f t="shared" si="1644"/>
        <v>0</v>
      </c>
      <c r="CS284" s="568">
        <f t="shared" si="1645"/>
        <v>0</v>
      </c>
      <c r="CT284" s="568">
        <f t="shared" si="1646"/>
        <v>0</v>
      </c>
      <c r="CU284" s="568"/>
      <c r="CV284" s="568"/>
      <c r="CW284" s="568"/>
      <c r="CX284" s="567">
        <f t="shared" ca="1" si="1691"/>
        <v>0</v>
      </c>
      <c r="CY284" s="567">
        <f t="shared" si="1649"/>
        <v>0</v>
      </c>
      <c r="CZ284" s="567"/>
      <c r="DA284" s="567"/>
      <c r="DB284" s="2"/>
      <c r="DC284" s="76"/>
      <c r="DD284" s="46"/>
      <c r="DE284" s="46"/>
      <c r="DF284" s="2">
        <f t="shared" si="1704"/>
        <v>0</v>
      </c>
      <c r="DG284" s="23"/>
      <c r="DH284" s="198"/>
      <c r="DI284" s="198"/>
      <c r="DJ284" s="198"/>
      <c r="DK284" s="2">
        <f t="shared" si="1705"/>
        <v>0</v>
      </c>
      <c r="DL284" s="23"/>
      <c r="DM284" s="198"/>
      <c r="DN284" s="198"/>
      <c r="DO284" s="198"/>
      <c r="DP284" s="46"/>
      <c r="DQ284" s="46"/>
      <c r="DR284" s="46"/>
      <c r="DS284" s="46"/>
      <c r="DT284" s="46"/>
      <c r="DU284" s="46"/>
      <c r="DV284" s="46"/>
      <c r="DW284" s="46"/>
      <c r="DX284" s="242"/>
      <c r="DY284" s="76"/>
      <c r="DZ284" s="76"/>
      <c r="EA284" s="243"/>
      <c r="EB284" s="46"/>
      <c r="EC284" s="46"/>
      <c r="ED284" s="46"/>
      <c r="EE284" s="46"/>
      <c r="EF284" s="46"/>
      <c r="EG284" s="46"/>
      <c r="EH284" s="46"/>
      <c r="EI284" s="198">
        <f t="shared" si="1674"/>
        <v>0</v>
      </c>
      <c r="EJ284" s="23"/>
      <c r="EK284" s="198"/>
      <c r="EL284" s="198"/>
      <c r="EM284" s="198"/>
      <c r="EN284" s="198"/>
      <c r="EO284" s="45"/>
      <c r="EP284" s="198">
        <f t="shared" si="1660"/>
        <v>0</v>
      </c>
      <c r="EQ284" s="198"/>
      <c r="ER284" s="198"/>
      <c r="ES284" s="45"/>
      <c r="ET284" s="45"/>
      <c r="EU284" s="198"/>
      <c r="EV284" s="42"/>
      <c r="EW284" s="317"/>
      <c r="EX284" s="317"/>
      <c r="EY284" s="522"/>
      <c r="EZ284" s="317"/>
      <c r="FA284" s="317"/>
      <c r="FB284" s="317"/>
      <c r="FC284" s="317"/>
      <c r="FD284" s="522"/>
      <c r="FE284" s="317"/>
      <c r="FF284" s="317"/>
      <c r="FG284" s="317"/>
      <c r="FH284" s="317"/>
      <c r="FI284" s="317"/>
      <c r="FJ284" s="198"/>
      <c r="FK284" s="358"/>
      <c r="FL284" s="358"/>
      <c r="FM284" s="521"/>
      <c r="FN284" s="358"/>
      <c r="FO284" s="358"/>
      <c r="FP284" s="358"/>
      <c r="FQ284" s="358"/>
      <c r="FR284" s="521"/>
      <c r="FS284" s="358"/>
      <c r="FT284" s="358"/>
      <c r="FU284" s="358"/>
      <c r="FV284" s="358"/>
      <c r="FW284" s="358"/>
      <c r="FX284" s="317"/>
      <c r="FY284" s="317"/>
      <c r="FZ284" s="522"/>
      <c r="GA284" s="317"/>
      <c r="GB284" s="317"/>
      <c r="GC284" s="317"/>
      <c r="GD284" s="317"/>
      <c r="GE284" s="522"/>
      <c r="GF284" s="317"/>
      <c r="GG284" s="317"/>
      <c r="GH284" s="317"/>
      <c r="GI284" s="317"/>
      <c r="GJ284" s="522"/>
      <c r="GK284" s="303" t="e">
        <f t="shared" si="1637"/>
        <v>#DIV/0!</v>
      </c>
    </row>
    <row r="285" spans="2:193" s="37" customFormat="1" ht="75" customHeight="1" x14ac:dyDescent="0.25">
      <c r="B285" s="32"/>
      <c r="C285" s="33"/>
      <c r="D285" s="32"/>
      <c r="E285" s="39"/>
      <c r="F285" s="32"/>
      <c r="G285" s="33"/>
      <c r="H285" s="32"/>
      <c r="I285" s="32"/>
      <c r="J285" s="32"/>
      <c r="K285" s="32"/>
      <c r="L285" s="32"/>
      <c r="M285" s="475">
        <v>3</v>
      </c>
      <c r="N285" s="634" t="s">
        <v>364</v>
      </c>
      <c r="O285" s="532"/>
      <c r="P285" s="532"/>
      <c r="Q285" s="532"/>
      <c r="R285" s="532"/>
      <c r="S285" s="445">
        <v>188</v>
      </c>
      <c r="T285" s="166">
        <v>1</v>
      </c>
      <c r="U285" s="531"/>
      <c r="V285" s="23">
        <v>16538.32516</v>
      </c>
      <c r="W285" s="23">
        <f>W286+W287</f>
        <v>16538.32516</v>
      </c>
      <c r="X285" s="143"/>
      <c r="Y285" s="143"/>
      <c r="Z285" s="143"/>
      <c r="AA285" s="143"/>
      <c r="AB285" s="573">
        <f>AB286</f>
        <v>16538.32516</v>
      </c>
      <c r="AC285" s="573">
        <f>AC286+AC287</f>
        <v>16538.32516</v>
      </c>
      <c r="AD285" s="573"/>
      <c r="AE285" s="573"/>
      <c r="AF285" s="573"/>
      <c r="AG285" s="573"/>
      <c r="AH285" s="573"/>
      <c r="AI285" s="573">
        <f>AI286+AI287</f>
        <v>10200.799999999999</v>
      </c>
      <c r="AJ285" s="573">
        <f>AJ286+AJ287</f>
        <v>10200.799999999999</v>
      </c>
      <c r="AK285" s="573"/>
      <c r="AL285" s="573"/>
      <c r="AM285" s="573"/>
      <c r="AN285" s="573">
        <f>AN286+AN287</f>
        <v>0</v>
      </c>
      <c r="AO285" s="573">
        <f>AO286+AO287</f>
        <v>0</v>
      </c>
      <c r="AP285" s="573"/>
      <c r="AQ285" s="573"/>
      <c r="AR285" s="573"/>
      <c r="AS285" s="567">
        <f>AS286+AS287</f>
        <v>0</v>
      </c>
      <c r="AT285" s="573">
        <f>AT286+AT287</f>
        <v>0</v>
      </c>
      <c r="AU285" s="573"/>
      <c r="AV285" s="573"/>
      <c r="AW285" s="573"/>
      <c r="AX285" s="631" t="s">
        <v>372</v>
      </c>
      <c r="AY285" s="573">
        <f>AY286+AY287</f>
        <v>16538.32516</v>
      </c>
      <c r="AZ285" s="573">
        <f>AZ286+AZ287</f>
        <v>16538.32516</v>
      </c>
      <c r="BA285" s="568"/>
      <c r="BB285" s="568"/>
      <c r="BC285" s="568"/>
      <c r="BD285" s="568"/>
      <c r="BE285" s="568"/>
      <c r="BF285" s="573">
        <f t="shared" si="1638"/>
        <v>0</v>
      </c>
      <c r="BG285" s="573">
        <f t="shared" si="1639"/>
        <v>0</v>
      </c>
      <c r="BH285" s="568"/>
      <c r="BI285" s="568"/>
      <c r="BJ285" s="568"/>
      <c r="BK285" s="568"/>
      <c r="BL285" s="568"/>
      <c r="BM285" s="573">
        <f>BM286+BM287</f>
        <v>12297.111370000001</v>
      </c>
      <c r="BN285" s="573"/>
      <c r="BO285" s="568"/>
      <c r="BP285" s="568"/>
      <c r="BQ285" s="568"/>
      <c r="BR285" s="573">
        <f>BR286+BR287</f>
        <v>0</v>
      </c>
      <c r="BS285" s="573">
        <f>BS286+BS287</f>
        <v>0</v>
      </c>
      <c r="BT285" s="568"/>
      <c r="BU285" s="568"/>
      <c r="BV285" s="568"/>
      <c r="BW285" s="573">
        <f>BW286+BW287</f>
        <v>16538.32516</v>
      </c>
      <c r="BX285" s="573">
        <f>BX286+BX287</f>
        <v>16538.32516</v>
      </c>
      <c r="BY285" s="568"/>
      <c r="BZ285" s="568"/>
      <c r="CA285" s="568"/>
      <c r="CB285" s="568"/>
      <c r="CC285" s="568"/>
      <c r="CD285" s="573">
        <f>CD286+CD287</f>
        <v>16538.32516</v>
      </c>
      <c r="CE285" s="573">
        <f>CE286+CE287</f>
        <v>16538.32516</v>
      </c>
      <c r="CF285" s="568"/>
      <c r="CG285" s="568"/>
      <c r="CH285" s="568"/>
      <c r="CI285" s="568"/>
      <c r="CJ285" s="568"/>
      <c r="CK285" s="582">
        <f>CK286+CK287</f>
        <v>337.51684</v>
      </c>
      <c r="CL285" s="577">
        <f>CL286+CL287</f>
        <v>337.51684</v>
      </c>
      <c r="CM285" s="577"/>
      <c r="CN285" s="577"/>
      <c r="CO285" s="577"/>
      <c r="CP285" s="577"/>
      <c r="CQ285" s="577"/>
      <c r="CR285" s="573">
        <f t="shared" si="1644"/>
        <v>16875.842000000001</v>
      </c>
      <c r="CS285" s="577">
        <f t="shared" si="1645"/>
        <v>16875.842000000001</v>
      </c>
      <c r="CT285" s="577">
        <f t="shared" si="1646"/>
        <v>16875.842000000001</v>
      </c>
      <c r="CU285" s="577"/>
      <c r="CV285" s="577"/>
      <c r="CW285" s="577"/>
      <c r="CX285" s="567">
        <f t="shared" ca="1" si="1691"/>
        <v>0</v>
      </c>
      <c r="CY285" s="567">
        <f t="shared" si="1649"/>
        <v>0</v>
      </c>
      <c r="CZ285" s="567"/>
      <c r="DA285" s="567"/>
      <c r="DB285" s="2"/>
      <c r="DC285" s="517"/>
      <c r="DD285" s="518"/>
      <c r="DE285" s="518"/>
      <c r="DF285" s="23">
        <f>DF286+DF287</f>
        <v>0</v>
      </c>
      <c r="DG285" s="23">
        <f>DG286+DG287</f>
        <v>0</v>
      </c>
      <c r="DH285" s="236"/>
      <c r="DI285" s="236"/>
      <c r="DJ285" s="236"/>
      <c r="DK285" s="23">
        <f>DK286+DK287</f>
        <v>0</v>
      </c>
      <c r="DL285" s="23">
        <f>DL286+DL287</f>
        <v>0</v>
      </c>
      <c r="DM285" s="236"/>
      <c r="DN285" s="236"/>
      <c r="DO285" s="236"/>
      <c r="DP285" s="518"/>
      <c r="DQ285" s="518"/>
      <c r="DR285" s="518"/>
      <c r="DS285" s="518"/>
      <c r="DT285" s="518"/>
      <c r="DU285" s="518"/>
      <c r="DV285" s="518"/>
      <c r="DW285" s="518"/>
      <c r="DX285" s="519"/>
      <c r="DY285" s="517"/>
      <c r="DZ285" s="517"/>
      <c r="EA285" s="520"/>
      <c r="EB285" s="518"/>
      <c r="EC285" s="518"/>
      <c r="ED285" s="518"/>
      <c r="EE285" s="518"/>
      <c r="EF285" s="518"/>
      <c r="EG285" s="518"/>
      <c r="EH285" s="518"/>
      <c r="EI285" s="236">
        <f t="shared" si="1674"/>
        <v>16538.32516</v>
      </c>
      <c r="EJ285" s="23">
        <f>EJ286+EJ287</f>
        <v>16538.32516</v>
      </c>
      <c r="EK285" s="198"/>
      <c r="EL285" s="198"/>
      <c r="EM285" s="198"/>
      <c r="EN285" s="198"/>
      <c r="EO285" s="263"/>
      <c r="EP285" s="236">
        <f t="shared" si="1660"/>
        <v>337.51684</v>
      </c>
      <c r="EQ285" s="236">
        <f>EQ286+EQ287</f>
        <v>337.51684</v>
      </c>
      <c r="ER285" s="236"/>
      <c r="ES285" s="263"/>
      <c r="ET285" s="263"/>
      <c r="EU285" s="236"/>
      <c r="EV285" s="42"/>
      <c r="EW285" s="312">
        <f>EX285+EY285</f>
        <v>16538.32516</v>
      </c>
      <c r="EX285" s="312">
        <f>AZ286+AZ287</f>
        <v>16538.32516</v>
      </c>
      <c r="EY285" s="456"/>
      <c r="EZ285" s="402">
        <f t="shared" ref="EZ285" si="1706">EX285/EW285</f>
        <v>1</v>
      </c>
      <c r="FA285" s="402">
        <f t="shared" ref="FA285" si="1707">EY285/EW285</f>
        <v>0</v>
      </c>
      <c r="FB285" s="312">
        <f>FC285+FD285</f>
        <v>16875.842000000001</v>
      </c>
      <c r="FC285" s="312">
        <f>EJ285</f>
        <v>16538.32516</v>
      </c>
      <c r="FD285" s="456">
        <f>EQ285</f>
        <v>337.51684</v>
      </c>
      <c r="FE285" s="402">
        <f t="shared" ref="FE285" si="1708">FC285/FB285</f>
        <v>0.98</v>
      </c>
      <c r="FF285" s="402">
        <f t="shared" ref="FF285" si="1709">FD285/FB285</f>
        <v>0.02</v>
      </c>
      <c r="FG285" s="402"/>
      <c r="FH285" s="312">
        <f>FB285*EZ285</f>
        <v>16875.842000000001</v>
      </c>
      <c r="FI285" s="312">
        <f>FC285-FH285</f>
        <v>-337.51684000000023</v>
      </c>
      <c r="FJ285" s="236"/>
      <c r="FK285" s="354"/>
      <c r="FL285" s="354"/>
      <c r="FM285" s="526"/>
      <c r="FN285" s="354"/>
      <c r="FO285" s="354"/>
      <c r="FP285" s="354"/>
      <c r="FQ285" s="354"/>
      <c r="FR285" s="526"/>
      <c r="FS285" s="354"/>
      <c r="FT285" s="354"/>
      <c r="FU285" s="354"/>
      <c r="FV285" s="354"/>
      <c r="FW285" s="354"/>
      <c r="FX285" s="312"/>
      <c r="FY285" s="312"/>
      <c r="FZ285" s="456"/>
      <c r="GA285" s="312"/>
      <c r="GB285" s="312"/>
      <c r="GC285" s="312"/>
      <c r="GD285" s="312"/>
      <c r="GE285" s="456"/>
      <c r="GF285" s="312"/>
      <c r="GG285" s="312"/>
      <c r="GH285" s="312"/>
      <c r="GI285" s="312"/>
      <c r="GJ285" s="456"/>
      <c r="GK285" s="303">
        <f t="shared" si="1637"/>
        <v>1</v>
      </c>
    </row>
    <row r="286" spans="2:193" s="37" customFormat="1" ht="19.5" hidden="1" customHeight="1" x14ac:dyDescent="0.25">
      <c r="B286" s="32"/>
      <c r="C286" s="33"/>
      <c r="D286" s="32"/>
      <c r="E286" s="39"/>
      <c r="F286" s="32"/>
      <c r="G286" s="33"/>
      <c r="H286" s="32"/>
      <c r="I286" s="32"/>
      <c r="J286" s="32"/>
      <c r="K286" s="32"/>
      <c r="L286" s="32"/>
      <c r="M286" s="428"/>
      <c r="N286" s="66" t="s">
        <v>284</v>
      </c>
      <c r="O286" s="290"/>
      <c r="P286" s="290"/>
      <c r="Q286" s="290"/>
      <c r="R286" s="290"/>
      <c r="S286" s="290"/>
      <c r="T286" s="530"/>
      <c r="U286" s="531"/>
      <c r="V286" s="2">
        <v>16627.159</v>
      </c>
      <c r="W286" s="2">
        <v>16538.32516</v>
      </c>
      <c r="X286" s="143"/>
      <c r="Y286" s="143"/>
      <c r="Z286" s="143"/>
      <c r="AA286" s="150"/>
      <c r="AB286" s="567">
        <v>16538.32516</v>
      </c>
      <c r="AC286" s="567">
        <v>16538.32516</v>
      </c>
      <c r="AD286" s="573"/>
      <c r="AE286" s="573"/>
      <c r="AF286" s="573"/>
      <c r="AG286" s="627"/>
      <c r="AH286" s="627"/>
      <c r="AI286" s="567">
        <f t="shared" ref="AI286:AI287" si="1710">AJ286+AK286+AL286+AM286</f>
        <v>10200.799999999999</v>
      </c>
      <c r="AJ286" s="573">
        <v>10200.799999999999</v>
      </c>
      <c r="AK286" s="573"/>
      <c r="AL286" s="627"/>
      <c r="AM286" s="627"/>
      <c r="AN286" s="567">
        <f t="shared" ref="AN286:AN287" si="1711">AO286+AP286+AQ286+AR286</f>
        <v>0</v>
      </c>
      <c r="AO286" s="573"/>
      <c r="AP286" s="573"/>
      <c r="AQ286" s="627"/>
      <c r="AR286" s="627"/>
      <c r="AS286" s="567">
        <f t="shared" ref="AS286:AS287" si="1712">AT286+AU286+AV286+AW286</f>
        <v>0</v>
      </c>
      <c r="AT286" s="573"/>
      <c r="AU286" s="573"/>
      <c r="AV286" s="627"/>
      <c r="AW286" s="627"/>
      <c r="AX286" s="632"/>
      <c r="AY286" s="567">
        <f t="shared" ref="AY286:AY287" si="1713">AZ286+BA286+BD286+BE286</f>
        <v>16538.32516</v>
      </c>
      <c r="AZ286" s="573">
        <v>16538.32516</v>
      </c>
      <c r="BA286" s="583"/>
      <c r="BB286" s="583"/>
      <c r="BC286" s="583"/>
      <c r="BD286" s="583"/>
      <c r="BE286" s="583"/>
      <c r="BF286" s="567">
        <f t="shared" si="1638"/>
        <v>0</v>
      </c>
      <c r="BG286" s="567">
        <f t="shared" si="1639"/>
        <v>0</v>
      </c>
      <c r="BH286" s="583">
        <f t="shared" si="1640"/>
        <v>0</v>
      </c>
      <c r="BI286" s="583">
        <f t="shared" si="1641"/>
        <v>0</v>
      </c>
      <c r="BJ286" s="583">
        <f t="shared" si="1642"/>
        <v>0</v>
      </c>
      <c r="BK286" s="583">
        <f t="shared" si="1643"/>
        <v>0</v>
      </c>
      <c r="BL286" s="583"/>
      <c r="BM286" s="567">
        <f t="shared" ref="BM286:BM287" si="1714">BN286+BO286+BP286+BQ286</f>
        <v>8907.6532800000004</v>
      </c>
      <c r="BN286" s="573">
        <v>8907.6532800000004</v>
      </c>
      <c r="BO286" s="583"/>
      <c r="BP286" s="583"/>
      <c r="BQ286" s="583"/>
      <c r="BR286" s="567">
        <f t="shared" ref="BR286:BR287" si="1715">BS286+BT286+BU286+BV286</f>
        <v>0</v>
      </c>
      <c r="BS286" s="573"/>
      <c r="BT286" s="583"/>
      <c r="BU286" s="583"/>
      <c r="BV286" s="583"/>
      <c r="BW286" s="567">
        <f t="shared" ref="BW286:BW287" si="1716">BX286+BY286+CB286+CC286</f>
        <v>16538.32516</v>
      </c>
      <c r="BX286" s="573">
        <f>6704.1072+4933.16969+4901.04827</f>
        <v>16538.32516</v>
      </c>
      <c r="BY286" s="573"/>
      <c r="BZ286" s="573"/>
      <c r="CA286" s="573"/>
      <c r="CB286" s="583"/>
      <c r="CC286" s="583"/>
      <c r="CD286" s="567">
        <f>CE286+CF286+CI286+CJ286</f>
        <v>16538.32516</v>
      </c>
      <c r="CE286" s="573">
        <f>6704.1072+4933.16969+4901.04827</f>
        <v>16538.32516</v>
      </c>
      <c r="CF286" s="573"/>
      <c r="CG286" s="573"/>
      <c r="CH286" s="573"/>
      <c r="CI286" s="583"/>
      <c r="CJ286" s="583"/>
      <c r="CK286" s="569">
        <f t="shared" ref="CK286:CK287" si="1717">CL286+CM286+CP286+CQ286</f>
        <v>337.51684</v>
      </c>
      <c r="CL286" s="573">
        <v>337.51684</v>
      </c>
      <c r="CM286" s="583"/>
      <c r="CN286" s="583"/>
      <c r="CO286" s="583"/>
      <c r="CP286" s="583"/>
      <c r="CQ286" s="583"/>
      <c r="CR286" s="573">
        <f t="shared" si="1644"/>
        <v>16875.842000000001</v>
      </c>
      <c r="CS286" s="568">
        <f t="shared" si="1645"/>
        <v>16875.842000000001</v>
      </c>
      <c r="CT286" s="568">
        <f t="shared" si="1646"/>
        <v>16875.842000000001</v>
      </c>
      <c r="CU286" s="583">
        <f t="shared" si="1647"/>
        <v>0</v>
      </c>
      <c r="CV286" s="583">
        <f t="shared" si="1648"/>
        <v>0</v>
      </c>
      <c r="CW286" s="583"/>
      <c r="CX286" s="567">
        <f t="shared" ca="1" si="1691"/>
        <v>0</v>
      </c>
      <c r="CY286" s="567">
        <f t="shared" si="1649"/>
        <v>0</v>
      </c>
      <c r="CZ286" s="567">
        <f t="shared" si="1650"/>
        <v>0</v>
      </c>
      <c r="DA286" s="567">
        <f t="shared" si="1651"/>
        <v>0</v>
      </c>
      <c r="DB286" s="2"/>
      <c r="DC286" s="76"/>
      <c r="DD286" s="46"/>
      <c r="DE286" s="46"/>
      <c r="DF286" s="2">
        <f t="shared" ref="DF286:DF287" si="1718">DG286+DH286+DI286+DJ286</f>
        <v>0</v>
      </c>
      <c r="DG286" s="23"/>
      <c r="DH286" s="7"/>
      <c r="DI286" s="7"/>
      <c r="DJ286" s="7"/>
      <c r="DK286" s="2">
        <f t="shared" ref="DK286:DK287" si="1719">DL286+DM286+DN286+DO286</f>
        <v>0</v>
      </c>
      <c r="DL286" s="23"/>
      <c r="DM286" s="7"/>
      <c r="DN286" s="7"/>
      <c r="DO286" s="7"/>
      <c r="DP286" s="46"/>
      <c r="DQ286" s="46"/>
      <c r="DR286" s="46"/>
      <c r="DS286" s="46"/>
      <c r="DT286" s="46"/>
      <c r="DU286" s="46"/>
      <c r="DV286" s="46"/>
      <c r="DW286" s="46"/>
      <c r="DX286" s="242"/>
      <c r="DY286" s="76"/>
      <c r="DZ286" s="76"/>
      <c r="EA286" s="243"/>
      <c r="EB286" s="46"/>
      <c r="EC286" s="46"/>
      <c r="ED286" s="46"/>
      <c r="EE286" s="46"/>
      <c r="EF286" s="46"/>
      <c r="EG286" s="46"/>
      <c r="EH286" s="46"/>
      <c r="EI286" s="198">
        <f t="shared" si="1674"/>
        <v>16538.32516</v>
      </c>
      <c r="EJ286" s="23">
        <f>6704.1072+4933.16969+4901.04827</f>
        <v>16538.32516</v>
      </c>
      <c r="EK286" s="23"/>
      <c r="EL286" s="23"/>
      <c r="EM286" s="23"/>
      <c r="EN286" s="7"/>
      <c r="EO286" s="45"/>
      <c r="EP286" s="198">
        <f t="shared" si="1660"/>
        <v>337.51684</v>
      </c>
      <c r="EQ286" s="23">
        <v>337.51684</v>
      </c>
      <c r="ER286" s="7"/>
      <c r="ES286" s="8"/>
      <c r="ET286" s="8"/>
      <c r="EU286" s="7"/>
      <c r="EV286" s="6"/>
      <c r="EW286" s="317"/>
      <c r="EX286" s="322"/>
      <c r="EY286" s="327"/>
      <c r="EZ286" s="325"/>
      <c r="FA286" s="325"/>
      <c r="FB286" s="317"/>
      <c r="FC286" s="322"/>
      <c r="FD286" s="327"/>
      <c r="FE286" s="325"/>
      <c r="FF286" s="325"/>
      <c r="FG286" s="325"/>
      <c r="FH286" s="325"/>
      <c r="FI286" s="325"/>
      <c r="FJ286" s="7"/>
      <c r="FK286" s="358"/>
      <c r="FL286" s="360"/>
      <c r="FM286" s="364"/>
      <c r="FN286" s="362"/>
      <c r="FO286" s="362"/>
      <c r="FP286" s="358"/>
      <c r="FQ286" s="360"/>
      <c r="FR286" s="364"/>
      <c r="FS286" s="362"/>
      <c r="FT286" s="362"/>
      <c r="FU286" s="362"/>
      <c r="FV286" s="362"/>
      <c r="FW286" s="362"/>
      <c r="FX286" s="317"/>
      <c r="FY286" s="322"/>
      <c r="FZ286" s="327"/>
      <c r="GA286" s="325"/>
      <c r="GB286" s="325"/>
      <c r="GC286" s="317"/>
      <c r="GD286" s="322"/>
      <c r="GE286" s="327"/>
      <c r="GF286" s="325"/>
      <c r="GG286" s="325"/>
      <c r="GH286" s="325"/>
      <c r="GI286" s="325"/>
      <c r="GJ286" s="327"/>
      <c r="GK286" s="303">
        <f t="shared" si="1637"/>
        <v>1</v>
      </c>
    </row>
    <row r="287" spans="2:193" s="37" customFormat="1" ht="19.5" hidden="1" customHeight="1" x14ac:dyDescent="0.25">
      <c r="B287" s="32"/>
      <c r="C287" s="33"/>
      <c r="D287" s="32"/>
      <c r="E287" s="39"/>
      <c r="F287" s="32"/>
      <c r="G287" s="33"/>
      <c r="H287" s="32"/>
      <c r="I287" s="32"/>
      <c r="J287" s="32"/>
      <c r="K287" s="32"/>
      <c r="L287" s="32"/>
      <c r="M287" s="428"/>
      <c r="N287" s="66" t="s">
        <v>283</v>
      </c>
      <c r="O287" s="178"/>
      <c r="P287" s="178"/>
      <c r="Q287" s="178"/>
      <c r="R287" s="178"/>
      <c r="S287" s="178"/>
      <c r="T287" s="530"/>
      <c r="U287" s="531"/>
      <c r="V287" s="2">
        <f>W287+X287+AA287+AB287</f>
        <v>0</v>
      </c>
      <c r="W287" s="23"/>
      <c r="X287" s="143"/>
      <c r="Y287" s="143"/>
      <c r="Z287" s="143"/>
      <c r="AA287" s="150"/>
      <c r="AB287" s="567">
        <f>AC287+AD287+AG287+AH287</f>
        <v>0</v>
      </c>
      <c r="AC287" s="573"/>
      <c r="AD287" s="573"/>
      <c r="AE287" s="573"/>
      <c r="AF287" s="573"/>
      <c r="AG287" s="627"/>
      <c r="AH287" s="627"/>
      <c r="AI287" s="567">
        <f t="shared" si="1710"/>
        <v>0</v>
      </c>
      <c r="AJ287" s="573"/>
      <c r="AK287" s="573"/>
      <c r="AL287" s="627"/>
      <c r="AM287" s="627"/>
      <c r="AN287" s="567">
        <f t="shared" si="1711"/>
        <v>0</v>
      </c>
      <c r="AO287" s="573"/>
      <c r="AP287" s="573"/>
      <c r="AQ287" s="627"/>
      <c r="AR287" s="627"/>
      <c r="AS287" s="567">
        <f t="shared" si="1712"/>
        <v>0</v>
      </c>
      <c r="AT287" s="573"/>
      <c r="AU287" s="573"/>
      <c r="AV287" s="627"/>
      <c r="AW287" s="627"/>
      <c r="AX287" s="632"/>
      <c r="AY287" s="567">
        <f t="shared" si="1713"/>
        <v>0</v>
      </c>
      <c r="AZ287" s="573"/>
      <c r="BA287" s="583"/>
      <c r="BB287" s="583"/>
      <c r="BC287" s="583"/>
      <c r="BD287" s="583"/>
      <c r="BE287" s="583"/>
      <c r="BF287" s="567">
        <f t="shared" si="1638"/>
        <v>0</v>
      </c>
      <c r="BG287" s="567">
        <f t="shared" si="1639"/>
        <v>0</v>
      </c>
      <c r="BH287" s="583">
        <f t="shared" si="1640"/>
        <v>0</v>
      </c>
      <c r="BI287" s="583">
        <f t="shared" si="1641"/>
        <v>0</v>
      </c>
      <c r="BJ287" s="583">
        <f t="shared" si="1642"/>
        <v>0</v>
      </c>
      <c r="BK287" s="583">
        <f t="shared" si="1643"/>
        <v>0</v>
      </c>
      <c r="BL287" s="583"/>
      <c r="BM287" s="567">
        <f t="shared" si="1714"/>
        <v>3389.4580900000001</v>
      </c>
      <c r="BN287" s="573">
        <v>3389.4580900000001</v>
      </c>
      <c r="BO287" s="583"/>
      <c r="BP287" s="583"/>
      <c r="BQ287" s="583"/>
      <c r="BR287" s="567">
        <f t="shared" si="1715"/>
        <v>0</v>
      </c>
      <c r="BS287" s="573"/>
      <c r="BT287" s="583"/>
      <c r="BU287" s="583"/>
      <c r="BV287" s="583"/>
      <c r="BW287" s="567">
        <f t="shared" si="1716"/>
        <v>0</v>
      </c>
      <c r="BX287" s="573"/>
      <c r="BY287" s="573"/>
      <c r="BZ287" s="573"/>
      <c r="CA287" s="573"/>
      <c r="CB287" s="583"/>
      <c r="CC287" s="583"/>
      <c r="CD287" s="567">
        <f>CE287+CF287+CI287+CJ287</f>
        <v>0</v>
      </c>
      <c r="CE287" s="573"/>
      <c r="CF287" s="573"/>
      <c r="CG287" s="573"/>
      <c r="CH287" s="573"/>
      <c r="CI287" s="583"/>
      <c r="CJ287" s="583"/>
      <c r="CK287" s="569">
        <f t="shared" si="1717"/>
        <v>0</v>
      </c>
      <c r="CL287" s="568"/>
      <c r="CM287" s="583"/>
      <c r="CN287" s="583"/>
      <c r="CO287" s="583"/>
      <c r="CP287" s="583"/>
      <c r="CQ287" s="583"/>
      <c r="CR287" s="573">
        <f t="shared" si="1644"/>
        <v>0</v>
      </c>
      <c r="CS287" s="568">
        <f t="shared" si="1645"/>
        <v>0</v>
      </c>
      <c r="CT287" s="568">
        <f t="shared" si="1646"/>
        <v>0</v>
      </c>
      <c r="CU287" s="583">
        <f t="shared" si="1647"/>
        <v>0</v>
      </c>
      <c r="CV287" s="583">
        <f t="shared" si="1648"/>
        <v>0</v>
      </c>
      <c r="CW287" s="583"/>
      <c r="CX287" s="567">
        <f t="shared" ca="1" si="1691"/>
        <v>0</v>
      </c>
      <c r="CY287" s="567">
        <f t="shared" si="1649"/>
        <v>0</v>
      </c>
      <c r="CZ287" s="567">
        <f t="shared" si="1650"/>
        <v>0</v>
      </c>
      <c r="DA287" s="567">
        <f t="shared" si="1651"/>
        <v>0</v>
      </c>
      <c r="DB287" s="2"/>
      <c r="DC287" s="76"/>
      <c r="DD287" s="46"/>
      <c r="DE287" s="46"/>
      <c r="DF287" s="2">
        <f t="shared" si="1718"/>
        <v>0</v>
      </c>
      <c r="DG287" s="23"/>
      <c r="DH287" s="7"/>
      <c r="DI287" s="7"/>
      <c r="DJ287" s="7"/>
      <c r="DK287" s="2">
        <f t="shared" si="1719"/>
        <v>0</v>
      </c>
      <c r="DL287" s="23"/>
      <c r="DM287" s="7"/>
      <c r="DN287" s="7"/>
      <c r="DO287" s="7"/>
      <c r="DP287" s="46"/>
      <c r="DQ287" s="46"/>
      <c r="DR287" s="46"/>
      <c r="DS287" s="46"/>
      <c r="DT287" s="46"/>
      <c r="DU287" s="46"/>
      <c r="DV287" s="46"/>
      <c r="DW287" s="46"/>
      <c r="DX287" s="242"/>
      <c r="DY287" s="76"/>
      <c r="DZ287" s="76"/>
      <c r="EA287" s="243"/>
      <c r="EB287" s="46"/>
      <c r="EC287" s="46"/>
      <c r="ED287" s="46"/>
      <c r="EE287" s="46"/>
      <c r="EF287" s="46"/>
      <c r="EG287" s="46"/>
      <c r="EH287" s="46"/>
      <c r="EI287" s="198">
        <f t="shared" si="1674"/>
        <v>0</v>
      </c>
      <c r="EJ287" s="23"/>
      <c r="EK287" s="23"/>
      <c r="EL287" s="23"/>
      <c r="EM287" s="23"/>
      <c r="EN287" s="7"/>
      <c r="EO287" s="45"/>
      <c r="EP287" s="198">
        <f t="shared" si="1660"/>
        <v>0</v>
      </c>
      <c r="EQ287" s="198"/>
      <c r="ER287" s="7"/>
      <c r="ES287" s="8"/>
      <c r="ET287" s="8"/>
      <c r="EU287" s="7"/>
      <c r="EV287" s="6"/>
      <c r="EW287" s="317"/>
      <c r="EX287" s="317"/>
      <c r="EY287" s="327"/>
      <c r="EZ287" s="325"/>
      <c r="FA287" s="325"/>
      <c r="FB287" s="317"/>
      <c r="FC287" s="317"/>
      <c r="FD287" s="327"/>
      <c r="FE287" s="325"/>
      <c r="FF287" s="325"/>
      <c r="FG287" s="325"/>
      <c r="FH287" s="325"/>
      <c r="FI287" s="325"/>
      <c r="FJ287" s="7"/>
      <c r="FK287" s="358"/>
      <c r="FL287" s="358"/>
      <c r="FM287" s="364"/>
      <c r="FN287" s="362"/>
      <c r="FO287" s="362"/>
      <c r="FP287" s="358"/>
      <c r="FQ287" s="358"/>
      <c r="FR287" s="364"/>
      <c r="FS287" s="362"/>
      <c r="FT287" s="362"/>
      <c r="FU287" s="362"/>
      <c r="FV287" s="362"/>
      <c r="FW287" s="362"/>
      <c r="FX287" s="317"/>
      <c r="FY287" s="317"/>
      <c r="FZ287" s="327"/>
      <c r="GA287" s="325"/>
      <c r="GB287" s="325"/>
      <c r="GC287" s="317"/>
      <c r="GD287" s="317"/>
      <c r="GE287" s="327"/>
      <c r="GF287" s="325"/>
      <c r="GG287" s="325"/>
      <c r="GH287" s="325"/>
      <c r="GI287" s="325"/>
      <c r="GJ287" s="327"/>
      <c r="GK287" s="303" t="e">
        <f t="shared" si="1637"/>
        <v>#DIV/0!</v>
      </c>
    </row>
    <row r="288" spans="2:193" s="37" customFormat="1" ht="51.6" hidden="1" customHeight="1" x14ac:dyDescent="0.25">
      <c r="B288" s="32"/>
      <c r="C288" s="33"/>
      <c r="D288" s="32"/>
      <c r="E288" s="39"/>
      <c r="F288" s="32"/>
      <c r="G288" s="33"/>
      <c r="H288" s="32"/>
      <c r="I288" s="32"/>
      <c r="J288" s="32"/>
      <c r="K288" s="32"/>
      <c r="L288" s="32"/>
      <c r="M288" s="475">
        <v>7</v>
      </c>
      <c r="N288" s="202" t="s">
        <v>323</v>
      </c>
      <c r="O288" s="202"/>
      <c r="P288" s="202"/>
      <c r="Q288" s="202"/>
      <c r="R288" s="202"/>
      <c r="S288" s="202"/>
      <c r="T288" s="165"/>
      <c r="U288" s="166"/>
      <c r="V288" s="3">
        <f>V289+V290</f>
        <v>0</v>
      </c>
      <c r="W288" s="3">
        <f>W289+W290</f>
        <v>0</v>
      </c>
      <c r="X288" s="150"/>
      <c r="Y288" s="150"/>
      <c r="Z288" s="150"/>
      <c r="AA288" s="150"/>
      <c r="AB288" s="627">
        <f>AB289+AB290</f>
        <v>0</v>
      </c>
      <c r="AC288" s="627">
        <f>AC289+AC290</f>
        <v>0</v>
      </c>
      <c r="AD288" s="627"/>
      <c r="AE288" s="627"/>
      <c r="AF288" s="627"/>
      <c r="AG288" s="627"/>
      <c r="AH288" s="627"/>
      <c r="AI288" s="627">
        <f>AI289+AI290</f>
        <v>12821.901</v>
      </c>
      <c r="AJ288" s="627">
        <f>AJ289+AJ290</f>
        <v>12821.901</v>
      </c>
      <c r="AK288" s="627"/>
      <c r="AL288" s="627"/>
      <c r="AM288" s="627"/>
      <c r="AN288" s="627">
        <f>AN289+AN290</f>
        <v>0</v>
      </c>
      <c r="AO288" s="627">
        <f>AO289+AO290</f>
        <v>0</v>
      </c>
      <c r="AP288" s="627"/>
      <c r="AQ288" s="627"/>
      <c r="AR288" s="627"/>
      <c r="AS288" s="628">
        <f>AS289+AS290</f>
        <v>0</v>
      </c>
      <c r="AT288" s="627">
        <f>AT289+AT290</f>
        <v>0</v>
      </c>
      <c r="AU288" s="627"/>
      <c r="AV288" s="627"/>
      <c r="AW288" s="627"/>
      <c r="AX288" s="410"/>
      <c r="AY288" s="627">
        <f>AY289+AY290</f>
        <v>0</v>
      </c>
      <c r="AZ288" s="627">
        <f>AZ289+AZ290</f>
        <v>0</v>
      </c>
      <c r="BA288" s="583"/>
      <c r="BB288" s="583"/>
      <c r="BC288" s="583"/>
      <c r="BD288" s="583"/>
      <c r="BE288" s="583"/>
      <c r="BF288" s="627">
        <f t="shared" si="1638"/>
        <v>0</v>
      </c>
      <c r="BG288" s="627">
        <f t="shared" si="1639"/>
        <v>0</v>
      </c>
      <c r="BH288" s="583">
        <f t="shared" si="1640"/>
        <v>0</v>
      </c>
      <c r="BI288" s="583">
        <f t="shared" si="1641"/>
        <v>0</v>
      </c>
      <c r="BJ288" s="583">
        <f t="shared" si="1642"/>
        <v>0</v>
      </c>
      <c r="BK288" s="583">
        <f t="shared" si="1643"/>
        <v>0</v>
      </c>
      <c r="BL288" s="583"/>
      <c r="BM288" s="627">
        <f>BM289+BM290</f>
        <v>11912.71645</v>
      </c>
      <c r="BN288" s="627"/>
      <c r="BO288" s="583"/>
      <c r="BP288" s="583"/>
      <c r="BQ288" s="583"/>
      <c r="BR288" s="627">
        <f>BR289+BR290</f>
        <v>0</v>
      </c>
      <c r="BS288" s="627">
        <f>BS289+BS290</f>
        <v>0</v>
      </c>
      <c r="BT288" s="583"/>
      <c r="BU288" s="583"/>
      <c r="BV288" s="583"/>
      <c r="BW288" s="627">
        <f>BW289+BW290</f>
        <v>0</v>
      </c>
      <c r="BX288" s="627">
        <f>BX289+BX290</f>
        <v>0</v>
      </c>
      <c r="BY288" s="583"/>
      <c r="BZ288" s="583"/>
      <c r="CA288" s="583"/>
      <c r="CB288" s="583"/>
      <c r="CC288" s="583"/>
      <c r="CD288" s="627">
        <f>CD289+CD290</f>
        <v>0</v>
      </c>
      <c r="CE288" s="627">
        <f>CE289+CE290</f>
        <v>0</v>
      </c>
      <c r="CF288" s="583"/>
      <c r="CG288" s="583"/>
      <c r="CH288" s="583"/>
      <c r="CI288" s="583"/>
      <c r="CJ288" s="583"/>
      <c r="CK288" s="585">
        <f>CK289+CK290</f>
        <v>0</v>
      </c>
      <c r="CL288" s="629">
        <f>CL289+CL290</f>
        <v>0</v>
      </c>
      <c r="CM288" s="629"/>
      <c r="CN288" s="629"/>
      <c r="CO288" s="629"/>
      <c r="CP288" s="629"/>
      <c r="CQ288" s="629"/>
      <c r="CR288" s="627">
        <f t="shared" si="1644"/>
        <v>0</v>
      </c>
      <c r="CS288" s="629">
        <f t="shared" si="1645"/>
        <v>0</v>
      </c>
      <c r="CT288" s="629">
        <f t="shared" si="1646"/>
        <v>0</v>
      </c>
      <c r="CU288" s="629">
        <f t="shared" si="1647"/>
        <v>0</v>
      </c>
      <c r="CV288" s="629">
        <f t="shared" si="1648"/>
        <v>0</v>
      </c>
      <c r="CW288" s="629"/>
      <c r="CX288" s="628">
        <f t="shared" ca="1" si="1691"/>
        <v>0</v>
      </c>
      <c r="CY288" s="628">
        <f t="shared" si="1649"/>
        <v>0</v>
      </c>
      <c r="CZ288" s="628">
        <f t="shared" si="1650"/>
        <v>0</v>
      </c>
      <c r="DA288" s="628">
        <f t="shared" si="1651"/>
        <v>0</v>
      </c>
      <c r="DB288" s="228"/>
      <c r="DC288" s="284"/>
      <c r="DD288" s="285"/>
      <c r="DE288" s="285"/>
      <c r="DF288" s="3">
        <f>DF289+DF290</f>
        <v>0</v>
      </c>
      <c r="DG288" s="3">
        <f>DG289+DG290</f>
        <v>0</v>
      </c>
      <c r="DH288" s="275"/>
      <c r="DI288" s="275"/>
      <c r="DJ288" s="275"/>
      <c r="DK288" s="3">
        <f>DK289+DK290</f>
        <v>0</v>
      </c>
      <c r="DL288" s="3">
        <f>DL289+DL290</f>
        <v>0</v>
      </c>
      <c r="DM288" s="275"/>
      <c r="DN288" s="275"/>
      <c r="DO288" s="275"/>
      <c r="DP288" s="285"/>
      <c r="DQ288" s="285"/>
      <c r="DR288" s="285"/>
      <c r="DS288" s="285"/>
      <c r="DT288" s="285"/>
      <c r="DU288" s="285"/>
      <c r="DV288" s="285"/>
      <c r="DW288" s="285"/>
      <c r="DX288" s="287"/>
      <c r="DY288" s="284"/>
      <c r="DZ288" s="284"/>
      <c r="EA288" s="288"/>
      <c r="EB288" s="285"/>
      <c r="EC288" s="285"/>
      <c r="ED288" s="285"/>
      <c r="EE288" s="285"/>
      <c r="EF288" s="285"/>
      <c r="EG288" s="285"/>
      <c r="EH288" s="285"/>
      <c r="EI288" s="275">
        <f t="shared" si="1674"/>
        <v>0</v>
      </c>
      <c r="EJ288" s="3">
        <f>EJ289+EJ290</f>
        <v>0</v>
      </c>
      <c r="EK288" s="7"/>
      <c r="EL288" s="7"/>
      <c r="EM288" s="7"/>
      <c r="EN288" s="7"/>
      <c r="EO288" s="292"/>
      <c r="EP288" s="275">
        <f t="shared" si="1660"/>
        <v>0</v>
      </c>
      <c r="EQ288" s="275">
        <f>EQ289+EQ290</f>
        <v>0</v>
      </c>
      <c r="ER288" s="275"/>
      <c r="ES288" s="292"/>
      <c r="ET288" s="292"/>
      <c r="EU288" s="275"/>
      <c r="EV288" s="6"/>
      <c r="EW288" s="328">
        <f>EX288+EY288</f>
        <v>0</v>
      </c>
      <c r="EX288" s="328">
        <f>AZ289+AZ290</f>
        <v>0</v>
      </c>
      <c r="EY288" s="329">
        <v>0</v>
      </c>
      <c r="EZ288" s="403" t="e">
        <f t="shared" ref="EZ288" si="1720">EX288/EW288</f>
        <v>#DIV/0!</v>
      </c>
      <c r="FA288" s="403" t="e">
        <f t="shared" ref="FA288" si="1721">EY288/EW288</f>
        <v>#DIV/0!</v>
      </c>
      <c r="FB288" s="328">
        <f>FC288+FD288</f>
        <v>0</v>
      </c>
      <c r="FC288" s="328">
        <f>EJ288</f>
        <v>0</v>
      </c>
      <c r="FD288" s="329">
        <f>EQ288</f>
        <v>0</v>
      </c>
      <c r="FE288" s="403" t="e">
        <f t="shared" ref="FE288" si="1722">FC288/FB288</f>
        <v>#DIV/0!</v>
      </c>
      <c r="FF288" s="403" t="e">
        <f t="shared" ref="FF288" si="1723">FD288/FB288</f>
        <v>#DIV/0!</v>
      </c>
      <c r="FG288" s="403"/>
      <c r="FH288" s="328" t="e">
        <f>FB288*EZ288</f>
        <v>#DIV/0!</v>
      </c>
      <c r="FI288" s="328" t="e">
        <f>FC288-FH288</f>
        <v>#DIV/0!</v>
      </c>
      <c r="FJ288" s="275"/>
      <c r="FK288" s="365"/>
      <c r="FL288" s="365"/>
      <c r="FM288" s="366"/>
      <c r="FN288" s="365"/>
      <c r="FO288" s="365"/>
      <c r="FP288" s="365"/>
      <c r="FQ288" s="365"/>
      <c r="FR288" s="366"/>
      <c r="FS288" s="365"/>
      <c r="FT288" s="365"/>
      <c r="FU288" s="365"/>
      <c r="FV288" s="365"/>
      <c r="FW288" s="365"/>
      <c r="FX288" s="328"/>
      <c r="FY288" s="328"/>
      <c r="FZ288" s="329"/>
      <c r="GA288" s="328"/>
      <c r="GB288" s="328"/>
      <c r="GC288" s="328"/>
      <c r="GD288" s="328"/>
      <c r="GE288" s="329"/>
      <c r="GF288" s="328"/>
      <c r="GG288" s="328"/>
      <c r="GH288" s="328"/>
      <c r="GI288" s="328"/>
      <c r="GJ288" s="329"/>
      <c r="GK288" s="303" t="e">
        <f t="shared" si="1637"/>
        <v>#DIV/0!</v>
      </c>
    </row>
    <row r="289" spans="2:193" s="37" customFormat="1" ht="19.5" hidden="1" customHeight="1" x14ac:dyDescent="0.25">
      <c r="B289" s="32"/>
      <c r="C289" s="33"/>
      <c r="D289" s="32"/>
      <c r="E289" s="39"/>
      <c r="F289" s="32"/>
      <c r="G289" s="33"/>
      <c r="H289" s="32"/>
      <c r="I289" s="32"/>
      <c r="J289" s="32"/>
      <c r="K289" s="32"/>
      <c r="L289" s="32"/>
      <c r="M289" s="428"/>
      <c r="N289" s="66" t="s">
        <v>284</v>
      </c>
      <c r="O289" s="66"/>
      <c r="P289" s="66"/>
      <c r="Q289" s="66"/>
      <c r="R289" s="66"/>
      <c r="S289" s="66"/>
      <c r="T289" s="164"/>
      <c r="U289" s="164"/>
      <c r="V289" s="2">
        <f>W289+X289+AA289+AB289</f>
        <v>0</v>
      </c>
      <c r="W289" s="23">
        <v>0</v>
      </c>
      <c r="X289" s="143"/>
      <c r="Y289" s="143"/>
      <c r="Z289" s="143"/>
      <c r="AA289" s="150"/>
      <c r="AB289" s="567">
        <f>AC289+AD289+AG289+AH289</f>
        <v>0</v>
      </c>
      <c r="AC289" s="573">
        <v>0</v>
      </c>
      <c r="AD289" s="573"/>
      <c r="AE289" s="573"/>
      <c r="AF289" s="573"/>
      <c r="AG289" s="627"/>
      <c r="AH289" s="627"/>
      <c r="AI289" s="567">
        <f t="shared" ref="AI289:AI290" si="1724">AJ289+AK289+AL289+AM289</f>
        <v>12821.901</v>
      </c>
      <c r="AJ289" s="573">
        <v>12821.901</v>
      </c>
      <c r="AK289" s="573"/>
      <c r="AL289" s="627"/>
      <c r="AM289" s="627"/>
      <c r="AN289" s="567">
        <f t="shared" ref="AN289:AN290" si="1725">AO289+AP289+AQ289+AR289</f>
        <v>0</v>
      </c>
      <c r="AO289" s="573"/>
      <c r="AP289" s="573"/>
      <c r="AQ289" s="627"/>
      <c r="AR289" s="627"/>
      <c r="AS289" s="567">
        <f t="shared" ref="AS289:AS290" si="1726">AT289+AU289+AV289+AW289</f>
        <v>0</v>
      </c>
      <c r="AT289" s="573"/>
      <c r="AU289" s="573"/>
      <c r="AV289" s="627"/>
      <c r="AW289" s="627"/>
      <c r="AX289" s="412"/>
      <c r="AY289" s="567">
        <f t="shared" ref="AY289:AY290" si="1727">AZ289+BA289+BD289+BE289</f>
        <v>0</v>
      </c>
      <c r="AZ289" s="573">
        <v>0</v>
      </c>
      <c r="BA289" s="583"/>
      <c r="BB289" s="583"/>
      <c r="BC289" s="583"/>
      <c r="BD289" s="583"/>
      <c r="BE289" s="583"/>
      <c r="BF289" s="567">
        <f t="shared" si="1638"/>
        <v>0</v>
      </c>
      <c r="BG289" s="567">
        <f t="shared" si="1639"/>
        <v>0</v>
      </c>
      <c r="BH289" s="583">
        <f t="shared" si="1640"/>
        <v>0</v>
      </c>
      <c r="BI289" s="583">
        <f t="shared" si="1641"/>
        <v>0</v>
      </c>
      <c r="BJ289" s="583">
        <f t="shared" si="1642"/>
        <v>0</v>
      </c>
      <c r="BK289" s="583">
        <f t="shared" si="1643"/>
        <v>0</v>
      </c>
      <c r="BL289" s="583"/>
      <c r="BM289" s="567">
        <f t="shared" ref="BM289:BM290" si="1728">BN289+BO289+BP289+BQ289</f>
        <v>11912.71645</v>
      </c>
      <c r="BN289" s="573">
        <f>9955.9739+719.01923+1237.72332</f>
        <v>11912.71645</v>
      </c>
      <c r="BO289" s="583"/>
      <c r="BP289" s="583"/>
      <c r="BQ289" s="583"/>
      <c r="BR289" s="567">
        <f t="shared" ref="BR289:BR290" si="1729">BS289+BT289+BU289+BV289</f>
        <v>0</v>
      </c>
      <c r="BS289" s="573"/>
      <c r="BT289" s="583"/>
      <c r="BU289" s="583"/>
      <c r="BV289" s="583"/>
      <c r="BW289" s="567">
        <f t="shared" ref="BW289:BW290" si="1730">BX289+BY289+CB289+CC289</f>
        <v>0</v>
      </c>
      <c r="BX289" s="573">
        <v>0</v>
      </c>
      <c r="BY289" s="583"/>
      <c r="BZ289" s="583"/>
      <c r="CA289" s="583"/>
      <c r="CB289" s="583"/>
      <c r="CC289" s="583"/>
      <c r="CD289" s="567">
        <f>CE289+CF289+CI289+CJ289</f>
        <v>0</v>
      </c>
      <c r="CE289" s="573">
        <v>0</v>
      </c>
      <c r="CF289" s="583"/>
      <c r="CG289" s="583"/>
      <c r="CH289" s="583"/>
      <c r="CI289" s="583"/>
      <c r="CJ289" s="583"/>
      <c r="CK289" s="569">
        <f t="shared" ref="CK289:CK290" si="1731">CL289+CM289+CP289+CQ289</f>
        <v>0</v>
      </c>
      <c r="CL289" s="568"/>
      <c r="CM289" s="583"/>
      <c r="CN289" s="583"/>
      <c r="CO289" s="583"/>
      <c r="CP289" s="583"/>
      <c r="CQ289" s="583"/>
      <c r="CR289" s="573">
        <f t="shared" si="1644"/>
        <v>0</v>
      </c>
      <c r="CS289" s="568">
        <f t="shared" si="1645"/>
        <v>0</v>
      </c>
      <c r="CT289" s="568">
        <f t="shared" si="1646"/>
        <v>0</v>
      </c>
      <c r="CU289" s="583">
        <f t="shared" si="1647"/>
        <v>0</v>
      </c>
      <c r="CV289" s="583">
        <f t="shared" si="1648"/>
        <v>0</v>
      </c>
      <c r="CW289" s="583"/>
      <c r="CX289" s="567">
        <f t="shared" ca="1" si="1691"/>
        <v>0</v>
      </c>
      <c r="CY289" s="567">
        <f t="shared" si="1649"/>
        <v>0</v>
      </c>
      <c r="CZ289" s="567">
        <f t="shared" si="1650"/>
        <v>0</v>
      </c>
      <c r="DA289" s="567">
        <f t="shared" si="1651"/>
        <v>0</v>
      </c>
      <c r="DB289" s="2"/>
      <c r="DC289" s="76"/>
      <c r="DD289" s="46"/>
      <c r="DE289" s="46"/>
      <c r="DF289" s="2">
        <f t="shared" ref="DF289:DF290" si="1732">DG289+DH289+DI289+DJ289</f>
        <v>0</v>
      </c>
      <c r="DG289" s="23"/>
      <c r="DH289" s="7"/>
      <c r="DI289" s="7"/>
      <c r="DJ289" s="7"/>
      <c r="DK289" s="2">
        <f t="shared" ref="DK289:DK290" si="1733">DL289+DM289+DN289+DO289</f>
        <v>0</v>
      </c>
      <c r="DL289" s="23"/>
      <c r="DM289" s="7"/>
      <c r="DN289" s="7"/>
      <c r="DO289" s="7"/>
      <c r="DP289" s="46"/>
      <c r="DQ289" s="46"/>
      <c r="DR289" s="46"/>
      <c r="DS289" s="46"/>
      <c r="DT289" s="46"/>
      <c r="DU289" s="46"/>
      <c r="DV289" s="46"/>
      <c r="DW289" s="46"/>
      <c r="DX289" s="242"/>
      <c r="DY289" s="76"/>
      <c r="DZ289" s="76"/>
      <c r="EA289" s="243"/>
      <c r="EB289" s="46"/>
      <c r="EC289" s="46"/>
      <c r="ED289" s="46"/>
      <c r="EE289" s="46"/>
      <c r="EF289" s="46"/>
      <c r="EG289" s="46"/>
      <c r="EH289" s="46"/>
      <c r="EI289" s="198">
        <f t="shared" si="1674"/>
        <v>0</v>
      </c>
      <c r="EJ289" s="23"/>
      <c r="EK289" s="7"/>
      <c r="EL289" s="7"/>
      <c r="EM289" s="7"/>
      <c r="EN289" s="7"/>
      <c r="EO289" s="45"/>
      <c r="EP289" s="198">
        <f t="shared" si="1660"/>
        <v>0</v>
      </c>
      <c r="EQ289" s="198"/>
      <c r="ER289" s="7"/>
      <c r="ES289" s="8"/>
      <c r="ET289" s="8"/>
      <c r="EU289" s="7"/>
      <c r="EV289" s="6"/>
      <c r="EW289" s="317"/>
      <c r="EX289" s="317"/>
      <c r="EY289" s="327"/>
      <c r="EZ289" s="325"/>
      <c r="FA289" s="325"/>
      <c r="FB289" s="317"/>
      <c r="FC289" s="317"/>
      <c r="FD289" s="327"/>
      <c r="FE289" s="325"/>
      <c r="FF289" s="325"/>
      <c r="FG289" s="325"/>
      <c r="FH289" s="325"/>
      <c r="FI289" s="325"/>
      <c r="FJ289" s="7"/>
      <c r="FK289" s="358"/>
      <c r="FL289" s="358"/>
      <c r="FM289" s="364"/>
      <c r="FN289" s="362"/>
      <c r="FO289" s="362"/>
      <c r="FP289" s="358"/>
      <c r="FQ289" s="358"/>
      <c r="FR289" s="364"/>
      <c r="FS289" s="362"/>
      <c r="FT289" s="362"/>
      <c r="FU289" s="362"/>
      <c r="FV289" s="362"/>
      <c r="FW289" s="362"/>
      <c r="FX289" s="317"/>
      <c r="FY289" s="317"/>
      <c r="FZ289" s="327"/>
      <c r="GA289" s="325"/>
      <c r="GB289" s="325"/>
      <c r="GC289" s="317"/>
      <c r="GD289" s="317"/>
      <c r="GE289" s="327"/>
      <c r="GF289" s="325"/>
      <c r="GG289" s="325"/>
      <c r="GH289" s="325"/>
      <c r="GI289" s="325"/>
      <c r="GJ289" s="327"/>
      <c r="GK289" s="303" t="e">
        <f t="shared" si="1637"/>
        <v>#DIV/0!</v>
      </c>
    </row>
    <row r="290" spans="2:193" s="37" customFormat="1" ht="19.5" hidden="1" customHeight="1" x14ac:dyDescent="0.25">
      <c r="B290" s="32"/>
      <c r="C290" s="33"/>
      <c r="D290" s="32"/>
      <c r="E290" s="39"/>
      <c r="F290" s="32"/>
      <c r="G290" s="33"/>
      <c r="H290" s="32"/>
      <c r="I290" s="32"/>
      <c r="J290" s="32"/>
      <c r="K290" s="32"/>
      <c r="L290" s="32"/>
      <c r="M290" s="428"/>
      <c r="N290" s="66" t="s">
        <v>283</v>
      </c>
      <c r="O290" s="66"/>
      <c r="P290" s="66"/>
      <c r="Q290" s="66"/>
      <c r="R290" s="66"/>
      <c r="S290" s="66"/>
      <c r="T290" s="164"/>
      <c r="U290" s="164"/>
      <c r="V290" s="2">
        <f>W290+X290+AA290+AB290</f>
        <v>0</v>
      </c>
      <c r="W290" s="23">
        <v>0</v>
      </c>
      <c r="X290" s="143"/>
      <c r="Y290" s="143"/>
      <c r="Z290" s="143"/>
      <c r="AA290" s="150"/>
      <c r="AB290" s="567">
        <f>AC290+AD290+AG290+AH290</f>
        <v>0</v>
      </c>
      <c r="AC290" s="573">
        <v>0</v>
      </c>
      <c r="AD290" s="573"/>
      <c r="AE290" s="573"/>
      <c r="AF290" s="573"/>
      <c r="AG290" s="627"/>
      <c r="AH290" s="627"/>
      <c r="AI290" s="567">
        <f t="shared" si="1724"/>
        <v>0</v>
      </c>
      <c r="AJ290" s="573"/>
      <c r="AK290" s="573"/>
      <c r="AL290" s="627"/>
      <c r="AM290" s="627"/>
      <c r="AN290" s="567">
        <f t="shared" si="1725"/>
        <v>0</v>
      </c>
      <c r="AO290" s="573"/>
      <c r="AP290" s="573"/>
      <c r="AQ290" s="627"/>
      <c r="AR290" s="627"/>
      <c r="AS290" s="567">
        <f t="shared" si="1726"/>
        <v>0</v>
      </c>
      <c r="AT290" s="573"/>
      <c r="AU290" s="573"/>
      <c r="AV290" s="627"/>
      <c r="AW290" s="627"/>
      <c r="AX290" s="412"/>
      <c r="AY290" s="567">
        <f t="shared" si="1727"/>
        <v>0</v>
      </c>
      <c r="AZ290" s="573">
        <v>0</v>
      </c>
      <c r="BA290" s="583"/>
      <c r="BB290" s="583"/>
      <c r="BC290" s="583"/>
      <c r="BD290" s="583"/>
      <c r="BE290" s="583"/>
      <c r="BF290" s="567">
        <f t="shared" si="1638"/>
        <v>0</v>
      </c>
      <c r="BG290" s="567">
        <f t="shared" si="1639"/>
        <v>0</v>
      </c>
      <c r="BH290" s="583">
        <f t="shared" si="1640"/>
        <v>0</v>
      </c>
      <c r="BI290" s="583">
        <f t="shared" si="1641"/>
        <v>0</v>
      </c>
      <c r="BJ290" s="583">
        <f t="shared" si="1642"/>
        <v>0</v>
      </c>
      <c r="BK290" s="583">
        <f t="shared" si="1643"/>
        <v>0</v>
      </c>
      <c r="BL290" s="583"/>
      <c r="BM290" s="567">
        <f t="shared" si="1728"/>
        <v>0</v>
      </c>
      <c r="BN290" s="573"/>
      <c r="BO290" s="583"/>
      <c r="BP290" s="583"/>
      <c r="BQ290" s="583"/>
      <c r="BR290" s="567">
        <f t="shared" si="1729"/>
        <v>0</v>
      </c>
      <c r="BS290" s="573"/>
      <c r="BT290" s="583"/>
      <c r="BU290" s="583"/>
      <c r="BV290" s="583"/>
      <c r="BW290" s="567">
        <f t="shared" si="1730"/>
        <v>0</v>
      </c>
      <c r="BX290" s="573">
        <v>0</v>
      </c>
      <c r="BY290" s="583"/>
      <c r="BZ290" s="583"/>
      <c r="CA290" s="583"/>
      <c r="CB290" s="583"/>
      <c r="CC290" s="583"/>
      <c r="CD290" s="567">
        <f>CE290+CF290+CI290+CJ290</f>
        <v>0</v>
      </c>
      <c r="CE290" s="573">
        <v>0</v>
      </c>
      <c r="CF290" s="583"/>
      <c r="CG290" s="583"/>
      <c r="CH290" s="583"/>
      <c r="CI290" s="583"/>
      <c r="CJ290" s="583"/>
      <c r="CK290" s="569">
        <f t="shared" si="1731"/>
        <v>0</v>
      </c>
      <c r="CL290" s="568"/>
      <c r="CM290" s="583"/>
      <c r="CN290" s="583"/>
      <c r="CO290" s="583"/>
      <c r="CP290" s="583"/>
      <c r="CQ290" s="583"/>
      <c r="CR290" s="573">
        <f t="shared" si="1644"/>
        <v>0</v>
      </c>
      <c r="CS290" s="568">
        <f t="shared" si="1645"/>
        <v>0</v>
      </c>
      <c r="CT290" s="568">
        <f t="shared" si="1646"/>
        <v>0</v>
      </c>
      <c r="CU290" s="583">
        <f t="shared" si="1647"/>
        <v>0</v>
      </c>
      <c r="CV290" s="583">
        <f t="shared" si="1648"/>
        <v>0</v>
      </c>
      <c r="CW290" s="583"/>
      <c r="CX290" s="567">
        <f t="shared" ca="1" si="1691"/>
        <v>0</v>
      </c>
      <c r="CY290" s="567">
        <f t="shared" si="1649"/>
        <v>0</v>
      </c>
      <c r="CZ290" s="567">
        <f t="shared" si="1650"/>
        <v>0</v>
      </c>
      <c r="DA290" s="567">
        <f t="shared" si="1651"/>
        <v>0</v>
      </c>
      <c r="DB290" s="2"/>
      <c r="DC290" s="76"/>
      <c r="DD290" s="46"/>
      <c r="DE290" s="46"/>
      <c r="DF290" s="2">
        <f t="shared" si="1732"/>
        <v>0</v>
      </c>
      <c r="DG290" s="23"/>
      <c r="DH290" s="7"/>
      <c r="DI290" s="7"/>
      <c r="DJ290" s="7"/>
      <c r="DK290" s="2">
        <f t="shared" si="1733"/>
        <v>0</v>
      </c>
      <c r="DL290" s="23"/>
      <c r="DM290" s="7"/>
      <c r="DN290" s="7"/>
      <c r="DO290" s="7"/>
      <c r="DP290" s="46"/>
      <c r="DQ290" s="46"/>
      <c r="DR290" s="46"/>
      <c r="DS290" s="46"/>
      <c r="DT290" s="46"/>
      <c r="DU290" s="46"/>
      <c r="DV290" s="46"/>
      <c r="DW290" s="46"/>
      <c r="DX290" s="242"/>
      <c r="DY290" s="76"/>
      <c r="DZ290" s="76"/>
      <c r="EA290" s="243"/>
      <c r="EB290" s="46"/>
      <c r="EC290" s="46"/>
      <c r="ED290" s="46"/>
      <c r="EE290" s="46"/>
      <c r="EF290" s="46"/>
      <c r="EG290" s="46"/>
      <c r="EH290" s="46"/>
      <c r="EI290" s="198">
        <f t="shared" si="1674"/>
        <v>0</v>
      </c>
      <c r="EJ290" s="23"/>
      <c r="EK290" s="7"/>
      <c r="EL290" s="7"/>
      <c r="EM290" s="7"/>
      <c r="EN290" s="7"/>
      <c r="EO290" s="45"/>
      <c r="EP290" s="198">
        <f t="shared" si="1660"/>
        <v>0</v>
      </c>
      <c r="EQ290" s="198"/>
      <c r="ER290" s="7"/>
      <c r="ES290" s="8"/>
      <c r="ET290" s="8"/>
      <c r="EU290" s="7"/>
      <c r="EV290" s="6"/>
      <c r="EW290" s="317"/>
      <c r="EX290" s="317"/>
      <c r="EY290" s="327"/>
      <c r="EZ290" s="325"/>
      <c r="FA290" s="325"/>
      <c r="FB290" s="317"/>
      <c r="FC290" s="317"/>
      <c r="FD290" s="327"/>
      <c r="FE290" s="325"/>
      <c r="FF290" s="325"/>
      <c r="FG290" s="325"/>
      <c r="FH290" s="325"/>
      <c r="FI290" s="325"/>
      <c r="FJ290" s="7"/>
      <c r="FK290" s="358"/>
      <c r="FL290" s="358"/>
      <c r="FM290" s="364"/>
      <c r="FN290" s="362"/>
      <c r="FO290" s="362"/>
      <c r="FP290" s="358"/>
      <c r="FQ290" s="358"/>
      <c r="FR290" s="364"/>
      <c r="FS290" s="362"/>
      <c r="FT290" s="362"/>
      <c r="FU290" s="362"/>
      <c r="FV290" s="362"/>
      <c r="FW290" s="362"/>
      <c r="FX290" s="317"/>
      <c r="FY290" s="317"/>
      <c r="FZ290" s="327"/>
      <c r="GA290" s="325"/>
      <c r="GB290" s="325"/>
      <c r="GC290" s="317"/>
      <c r="GD290" s="317"/>
      <c r="GE290" s="327"/>
      <c r="GF290" s="325"/>
      <c r="GG290" s="325"/>
      <c r="GH290" s="325"/>
      <c r="GI290" s="325"/>
      <c r="GJ290" s="327"/>
      <c r="GK290" s="303" t="e">
        <f t="shared" si="1637"/>
        <v>#DIV/0!</v>
      </c>
    </row>
    <row r="291" spans="2:193" s="37" customFormat="1" ht="51.6" hidden="1" customHeight="1" x14ac:dyDescent="0.25">
      <c r="B291" s="32"/>
      <c r="C291" s="33"/>
      <c r="D291" s="32"/>
      <c r="E291" s="39"/>
      <c r="F291" s="32"/>
      <c r="G291" s="33"/>
      <c r="H291" s="32"/>
      <c r="I291" s="32"/>
      <c r="J291" s="32"/>
      <c r="K291" s="32"/>
      <c r="L291" s="32"/>
      <c r="M291" s="475">
        <v>8</v>
      </c>
      <c r="N291" s="202" t="s">
        <v>324</v>
      </c>
      <c r="O291" s="202"/>
      <c r="P291" s="202"/>
      <c r="Q291" s="202"/>
      <c r="R291" s="202"/>
      <c r="S291" s="202"/>
      <c r="T291" s="166"/>
      <c r="U291" s="166"/>
      <c r="V291" s="3">
        <f>V292+V293</f>
        <v>0</v>
      </c>
      <c r="W291" s="3">
        <f>W292+W293</f>
        <v>0</v>
      </c>
      <c r="X291" s="150"/>
      <c r="Y291" s="150"/>
      <c r="Z291" s="150"/>
      <c r="AA291" s="150"/>
      <c r="AB291" s="627">
        <f>AB292+AB293</f>
        <v>0</v>
      </c>
      <c r="AC291" s="627">
        <f>AC292+AC293</f>
        <v>0</v>
      </c>
      <c r="AD291" s="627"/>
      <c r="AE291" s="627"/>
      <c r="AF291" s="627"/>
      <c r="AG291" s="627"/>
      <c r="AH291" s="627"/>
      <c r="AI291" s="627">
        <f>AI292+AI293</f>
        <v>29855.4</v>
      </c>
      <c r="AJ291" s="627">
        <f>AJ292+AJ293</f>
        <v>29855.4</v>
      </c>
      <c r="AK291" s="627"/>
      <c r="AL291" s="627"/>
      <c r="AM291" s="627"/>
      <c r="AN291" s="627">
        <f>AN292+AN293</f>
        <v>0</v>
      </c>
      <c r="AO291" s="627">
        <f>AO292+AO293</f>
        <v>0</v>
      </c>
      <c r="AP291" s="627"/>
      <c r="AQ291" s="627"/>
      <c r="AR291" s="627"/>
      <c r="AS291" s="628">
        <f>AS292+AS293</f>
        <v>0</v>
      </c>
      <c r="AT291" s="627">
        <f>AT292+AT293</f>
        <v>0</v>
      </c>
      <c r="AU291" s="627"/>
      <c r="AV291" s="627"/>
      <c r="AW291" s="627"/>
      <c r="AX291" s="410"/>
      <c r="AY291" s="627">
        <f>AY292+AY293</f>
        <v>0</v>
      </c>
      <c r="AZ291" s="627">
        <f>AZ292+AZ293</f>
        <v>0</v>
      </c>
      <c r="BA291" s="583"/>
      <c r="BB291" s="583"/>
      <c r="BC291" s="583"/>
      <c r="BD291" s="583"/>
      <c r="BE291" s="583"/>
      <c r="BF291" s="627">
        <f t="shared" si="1638"/>
        <v>0</v>
      </c>
      <c r="BG291" s="627">
        <f t="shared" si="1639"/>
        <v>0</v>
      </c>
      <c r="BH291" s="583">
        <f t="shared" si="1640"/>
        <v>0</v>
      </c>
      <c r="BI291" s="583">
        <f t="shared" si="1641"/>
        <v>0</v>
      </c>
      <c r="BJ291" s="583">
        <f t="shared" si="1642"/>
        <v>0</v>
      </c>
      <c r="BK291" s="583">
        <f t="shared" si="1643"/>
        <v>0</v>
      </c>
      <c r="BL291" s="583"/>
      <c r="BM291" s="627">
        <f>BM292+BM293</f>
        <v>24778.6</v>
      </c>
      <c r="BN291" s="627"/>
      <c r="BO291" s="583"/>
      <c r="BP291" s="583"/>
      <c r="BQ291" s="583"/>
      <c r="BR291" s="627">
        <f>BR292+BR293</f>
        <v>0</v>
      </c>
      <c r="BS291" s="627">
        <f>BS292+BS293</f>
        <v>0</v>
      </c>
      <c r="BT291" s="583"/>
      <c r="BU291" s="583"/>
      <c r="BV291" s="583"/>
      <c r="BW291" s="627">
        <f>BW292+BW293</f>
        <v>0</v>
      </c>
      <c r="BX291" s="627">
        <f>BX292+BX293</f>
        <v>0</v>
      </c>
      <c r="BY291" s="583"/>
      <c r="BZ291" s="583"/>
      <c r="CA291" s="583"/>
      <c r="CB291" s="583"/>
      <c r="CC291" s="583"/>
      <c r="CD291" s="627">
        <f>CD292+CD293</f>
        <v>0</v>
      </c>
      <c r="CE291" s="627">
        <f>CE292+CE293</f>
        <v>0</v>
      </c>
      <c r="CF291" s="583"/>
      <c r="CG291" s="583"/>
      <c r="CH291" s="583"/>
      <c r="CI291" s="583"/>
      <c r="CJ291" s="583"/>
      <c r="CK291" s="585">
        <f>CK292+CK293</f>
        <v>0</v>
      </c>
      <c r="CL291" s="629">
        <f>CL292+CL293</f>
        <v>0</v>
      </c>
      <c r="CM291" s="629"/>
      <c r="CN291" s="629"/>
      <c r="CO291" s="629"/>
      <c r="CP291" s="629"/>
      <c r="CQ291" s="629"/>
      <c r="CR291" s="627">
        <f t="shared" si="1644"/>
        <v>0</v>
      </c>
      <c r="CS291" s="629">
        <f t="shared" si="1645"/>
        <v>0</v>
      </c>
      <c r="CT291" s="629">
        <f t="shared" si="1646"/>
        <v>0</v>
      </c>
      <c r="CU291" s="629">
        <f t="shared" si="1647"/>
        <v>0</v>
      </c>
      <c r="CV291" s="629">
        <f t="shared" si="1648"/>
        <v>0</v>
      </c>
      <c r="CW291" s="629"/>
      <c r="CX291" s="628">
        <f t="shared" ca="1" si="1691"/>
        <v>0</v>
      </c>
      <c r="CY291" s="628">
        <f t="shared" si="1649"/>
        <v>0</v>
      </c>
      <c r="CZ291" s="628">
        <f t="shared" si="1650"/>
        <v>0</v>
      </c>
      <c r="DA291" s="628">
        <f t="shared" si="1651"/>
        <v>0</v>
      </c>
      <c r="DB291" s="228"/>
      <c r="DC291" s="284"/>
      <c r="DD291" s="285"/>
      <c r="DE291" s="285"/>
      <c r="DF291" s="3">
        <f>DF292+DF293</f>
        <v>0</v>
      </c>
      <c r="DG291" s="3">
        <f>DG292+DG293</f>
        <v>0</v>
      </c>
      <c r="DH291" s="275"/>
      <c r="DI291" s="275"/>
      <c r="DJ291" s="275"/>
      <c r="DK291" s="3">
        <f>DK292+DK293</f>
        <v>0</v>
      </c>
      <c r="DL291" s="3">
        <f>DL292+DL293</f>
        <v>0</v>
      </c>
      <c r="DM291" s="275"/>
      <c r="DN291" s="275"/>
      <c r="DO291" s="275"/>
      <c r="DP291" s="285"/>
      <c r="DQ291" s="285"/>
      <c r="DR291" s="285"/>
      <c r="DS291" s="285"/>
      <c r="DT291" s="285"/>
      <c r="DU291" s="285"/>
      <c r="DV291" s="285"/>
      <c r="DW291" s="285"/>
      <c r="DX291" s="287"/>
      <c r="DY291" s="284"/>
      <c r="DZ291" s="284"/>
      <c r="EA291" s="288"/>
      <c r="EB291" s="285"/>
      <c r="EC291" s="285"/>
      <c r="ED291" s="285"/>
      <c r="EE291" s="285"/>
      <c r="EF291" s="285"/>
      <c r="EG291" s="285"/>
      <c r="EH291" s="285"/>
      <c r="EI291" s="275">
        <f t="shared" si="1674"/>
        <v>0</v>
      </c>
      <c r="EJ291" s="3">
        <f>EJ292+EJ293</f>
        <v>0</v>
      </c>
      <c r="EK291" s="7"/>
      <c r="EL291" s="7"/>
      <c r="EM291" s="7"/>
      <c r="EN291" s="7"/>
      <c r="EO291" s="45"/>
      <c r="EP291" s="275">
        <f t="shared" si="1660"/>
        <v>0</v>
      </c>
      <c r="EQ291" s="275">
        <f>EQ292+EQ293</f>
        <v>0</v>
      </c>
      <c r="ER291" s="275"/>
      <c r="ES291" s="8"/>
      <c r="ET291" s="8"/>
      <c r="EU291" s="275"/>
      <c r="EV291" s="6"/>
      <c r="EW291" s="328">
        <f>EX291+EY291</f>
        <v>0</v>
      </c>
      <c r="EX291" s="328">
        <f>AZ292+AZ293</f>
        <v>0</v>
      </c>
      <c r="EY291" s="329"/>
      <c r="EZ291" s="403" t="e">
        <f t="shared" ref="EZ291" si="1734">EX291/EW291</f>
        <v>#DIV/0!</v>
      </c>
      <c r="FA291" s="403" t="e">
        <f t="shared" ref="FA291" si="1735">EY291/EW291</f>
        <v>#DIV/0!</v>
      </c>
      <c r="FB291" s="328">
        <f>FC291+FD291</f>
        <v>0</v>
      </c>
      <c r="FC291" s="328">
        <f>EJ291</f>
        <v>0</v>
      </c>
      <c r="FD291" s="329">
        <f>EQ291</f>
        <v>0</v>
      </c>
      <c r="FE291" s="403" t="e">
        <f t="shared" ref="FE291" si="1736">FC291/FB291</f>
        <v>#DIV/0!</v>
      </c>
      <c r="FF291" s="403" t="e">
        <f t="shared" ref="FF291" si="1737">FD291/FB291</f>
        <v>#DIV/0!</v>
      </c>
      <c r="FG291" s="403"/>
      <c r="FH291" s="328" t="e">
        <f>FB291*EZ291</f>
        <v>#DIV/0!</v>
      </c>
      <c r="FI291" s="328" t="e">
        <f>FC291-FH291</f>
        <v>#DIV/0!</v>
      </c>
      <c r="FJ291" s="7"/>
      <c r="FK291" s="365"/>
      <c r="FL291" s="365"/>
      <c r="FM291" s="364"/>
      <c r="FN291" s="362"/>
      <c r="FO291" s="362"/>
      <c r="FP291" s="365"/>
      <c r="FQ291" s="365"/>
      <c r="FR291" s="364"/>
      <c r="FS291" s="362"/>
      <c r="FT291" s="362"/>
      <c r="FU291" s="362"/>
      <c r="FV291" s="362"/>
      <c r="FW291" s="362"/>
      <c r="FX291" s="328"/>
      <c r="FY291" s="328"/>
      <c r="FZ291" s="327"/>
      <c r="GA291" s="325"/>
      <c r="GB291" s="325"/>
      <c r="GC291" s="328"/>
      <c r="GD291" s="328"/>
      <c r="GE291" s="327"/>
      <c r="GF291" s="325"/>
      <c r="GG291" s="325"/>
      <c r="GH291" s="325"/>
      <c r="GI291" s="325"/>
      <c r="GJ291" s="327"/>
      <c r="GK291" s="303" t="e">
        <f t="shared" si="1637"/>
        <v>#DIV/0!</v>
      </c>
    </row>
    <row r="292" spans="2:193" s="37" customFormat="1" ht="19.5" hidden="1" customHeight="1" x14ac:dyDescent="0.25">
      <c r="B292" s="32"/>
      <c r="C292" s="33"/>
      <c r="D292" s="32"/>
      <c r="E292" s="39"/>
      <c r="F292" s="32"/>
      <c r="G292" s="33"/>
      <c r="H292" s="32"/>
      <c r="I292" s="32"/>
      <c r="J292" s="32"/>
      <c r="K292" s="32"/>
      <c r="L292" s="32"/>
      <c r="M292" s="65"/>
      <c r="N292" s="66" t="s">
        <v>284</v>
      </c>
      <c r="O292" s="66"/>
      <c r="P292" s="66"/>
      <c r="Q292" s="66"/>
      <c r="R292" s="66"/>
      <c r="S292" s="66"/>
      <c r="T292" s="164"/>
      <c r="U292" s="164"/>
      <c r="V292" s="2">
        <f>W292+X292+AA292+AB292</f>
        <v>0</v>
      </c>
      <c r="W292" s="23"/>
      <c r="X292" s="143"/>
      <c r="Y292" s="143"/>
      <c r="Z292" s="143"/>
      <c r="AA292" s="150"/>
      <c r="AB292" s="567">
        <f>AC292+AD292+AG292+AH292</f>
        <v>0</v>
      </c>
      <c r="AC292" s="573"/>
      <c r="AD292" s="573"/>
      <c r="AE292" s="573"/>
      <c r="AF292" s="573"/>
      <c r="AG292" s="627"/>
      <c r="AH292" s="627"/>
      <c r="AI292" s="567">
        <f t="shared" ref="AI292:AI293" si="1738">AJ292+AK292+AL292+AM292</f>
        <v>29855.4</v>
      </c>
      <c r="AJ292" s="573">
        <v>29855.4</v>
      </c>
      <c r="AK292" s="573"/>
      <c r="AL292" s="627"/>
      <c r="AM292" s="627"/>
      <c r="AN292" s="567">
        <f t="shared" ref="AN292:AN293" si="1739">AO292+AP292+AQ292+AR292</f>
        <v>0</v>
      </c>
      <c r="AO292" s="573"/>
      <c r="AP292" s="573"/>
      <c r="AQ292" s="627"/>
      <c r="AR292" s="627"/>
      <c r="AS292" s="567">
        <f t="shared" ref="AS292:AS293" si="1740">AT292+AU292+AV292+AW292</f>
        <v>0</v>
      </c>
      <c r="AT292" s="573"/>
      <c r="AU292" s="573"/>
      <c r="AV292" s="627"/>
      <c r="AW292" s="627"/>
      <c r="AX292" s="412"/>
      <c r="AY292" s="567">
        <f t="shared" ref="AY292:AY293" si="1741">AZ292+BA292+BD292+BE292</f>
        <v>0</v>
      </c>
      <c r="AZ292" s="573"/>
      <c r="BA292" s="583"/>
      <c r="BB292" s="583"/>
      <c r="BC292" s="583"/>
      <c r="BD292" s="583"/>
      <c r="BE292" s="583"/>
      <c r="BF292" s="567">
        <f t="shared" si="1638"/>
        <v>0</v>
      </c>
      <c r="BG292" s="567">
        <f t="shared" si="1639"/>
        <v>0</v>
      </c>
      <c r="BH292" s="583">
        <f t="shared" si="1640"/>
        <v>0</v>
      </c>
      <c r="BI292" s="583">
        <f t="shared" si="1641"/>
        <v>0</v>
      </c>
      <c r="BJ292" s="583">
        <f t="shared" si="1642"/>
        <v>0</v>
      </c>
      <c r="BK292" s="583">
        <f t="shared" si="1643"/>
        <v>0</v>
      </c>
      <c r="BL292" s="583"/>
      <c r="BM292" s="567">
        <f t="shared" ref="BM292:BM293" si="1742">BN292+BO292+BP292+BQ292</f>
        <v>24778.6</v>
      </c>
      <c r="BN292" s="573">
        <f>11220.3+585+616.311+12356.989</f>
        <v>24778.6</v>
      </c>
      <c r="BO292" s="583"/>
      <c r="BP292" s="583"/>
      <c r="BQ292" s="583"/>
      <c r="BR292" s="567">
        <f t="shared" ref="BR292:BR293" si="1743">BS292+BT292+BU292+BV292</f>
        <v>0</v>
      </c>
      <c r="BS292" s="573"/>
      <c r="BT292" s="583"/>
      <c r="BU292" s="583"/>
      <c r="BV292" s="583"/>
      <c r="BW292" s="567">
        <f t="shared" ref="BW292:BW293" si="1744">BX292+BY292+CB292+CC292</f>
        <v>0</v>
      </c>
      <c r="BX292" s="568"/>
      <c r="BY292" s="583"/>
      <c r="BZ292" s="583"/>
      <c r="CA292" s="583"/>
      <c r="CB292" s="583"/>
      <c r="CC292" s="583"/>
      <c r="CD292" s="567">
        <f>CE292+CF292+CI292+CJ292</f>
        <v>0</v>
      </c>
      <c r="CE292" s="568"/>
      <c r="CF292" s="583"/>
      <c r="CG292" s="583"/>
      <c r="CH292" s="583"/>
      <c r="CI292" s="583"/>
      <c r="CJ292" s="583"/>
      <c r="CK292" s="569">
        <f t="shared" ref="CK292:CK296" si="1745">CL292+CM292+CP292+CQ292</f>
        <v>0</v>
      </c>
      <c r="CL292" s="568"/>
      <c r="CM292" s="583"/>
      <c r="CN292" s="583"/>
      <c r="CO292" s="583"/>
      <c r="CP292" s="583"/>
      <c r="CQ292" s="583"/>
      <c r="CR292" s="573">
        <f t="shared" si="1644"/>
        <v>0</v>
      </c>
      <c r="CS292" s="568">
        <f t="shared" si="1645"/>
        <v>0</v>
      </c>
      <c r="CT292" s="568">
        <f t="shared" si="1646"/>
        <v>0</v>
      </c>
      <c r="CU292" s="583">
        <f t="shared" si="1647"/>
        <v>0</v>
      </c>
      <c r="CV292" s="583">
        <f t="shared" si="1648"/>
        <v>0</v>
      </c>
      <c r="CW292" s="583"/>
      <c r="CX292" s="567">
        <f t="shared" ca="1" si="1691"/>
        <v>0</v>
      </c>
      <c r="CY292" s="567">
        <f t="shared" si="1649"/>
        <v>0</v>
      </c>
      <c r="CZ292" s="567">
        <f t="shared" si="1650"/>
        <v>0</v>
      </c>
      <c r="DA292" s="567">
        <f t="shared" si="1651"/>
        <v>0</v>
      </c>
      <c r="DB292" s="2"/>
      <c r="DC292" s="76"/>
      <c r="DD292" s="46"/>
      <c r="DE292" s="46"/>
      <c r="DF292" s="2">
        <f t="shared" ref="DF292:DF296" si="1746">DG292+DH292+DI292+DJ292</f>
        <v>0</v>
      </c>
      <c r="DG292" s="23"/>
      <c r="DH292" s="7"/>
      <c r="DI292" s="7"/>
      <c r="DJ292" s="7"/>
      <c r="DK292" s="2">
        <f t="shared" ref="DK292:DK296" si="1747">DL292+DM292+DN292+DO292</f>
        <v>0</v>
      </c>
      <c r="DL292" s="23"/>
      <c r="DM292" s="7"/>
      <c r="DN292" s="7"/>
      <c r="DO292" s="7"/>
      <c r="DP292" s="46"/>
      <c r="DQ292" s="46"/>
      <c r="DR292" s="46"/>
      <c r="DS292" s="46"/>
      <c r="DT292" s="46"/>
      <c r="DU292" s="46"/>
      <c r="DV292" s="46"/>
      <c r="DW292" s="46"/>
      <c r="DX292" s="242"/>
      <c r="DY292" s="76"/>
      <c r="DZ292" s="76"/>
      <c r="EA292" s="243"/>
      <c r="EB292" s="46"/>
      <c r="EC292" s="46"/>
      <c r="ED292" s="46"/>
      <c r="EE292" s="46"/>
      <c r="EF292" s="46"/>
      <c r="EG292" s="46"/>
      <c r="EH292" s="46"/>
      <c r="EI292" s="198">
        <f t="shared" si="1674"/>
        <v>0</v>
      </c>
      <c r="EJ292" s="198"/>
      <c r="EK292" s="7"/>
      <c r="EL292" s="7"/>
      <c r="EM292" s="7"/>
      <c r="EN292" s="7"/>
      <c r="EO292" s="45"/>
      <c r="EP292" s="198">
        <f t="shared" si="1660"/>
        <v>0</v>
      </c>
      <c r="EQ292" s="198"/>
      <c r="ER292" s="7"/>
      <c r="ES292" s="8"/>
      <c r="ET292" s="8"/>
      <c r="EU292" s="7"/>
      <c r="EV292" s="6"/>
      <c r="EW292" s="317"/>
      <c r="EX292" s="317"/>
      <c r="EY292" s="327"/>
      <c r="EZ292" s="325"/>
      <c r="FA292" s="325"/>
      <c r="FB292" s="317"/>
      <c r="FC292" s="317"/>
      <c r="FD292" s="327"/>
      <c r="FE292" s="325"/>
      <c r="FF292" s="325"/>
      <c r="FG292" s="325"/>
      <c r="FH292" s="325"/>
      <c r="FI292" s="325"/>
      <c r="FJ292" s="7"/>
      <c r="FK292" s="358"/>
      <c r="FL292" s="358"/>
      <c r="FM292" s="364"/>
      <c r="FN292" s="362"/>
      <c r="FO292" s="362"/>
      <c r="FP292" s="358"/>
      <c r="FQ292" s="358"/>
      <c r="FR292" s="364"/>
      <c r="FS292" s="362"/>
      <c r="FT292" s="362"/>
      <c r="FU292" s="362"/>
      <c r="FV292" s="362"/>
      <c r="FW292" s="362"/>
      <c r="FX292" s="317"/>
      <c r="FY292" s="317"/>
      <c r="FZ292" s="327"/>
      <c r="GA292" s="325"/>
      <c r="GB292" s="325"/>
      <c r="GC292" s="317"/>
      <c r="GD292" s="317"/>
      <c r="GE292" s="327"/>
      <c r="GF292" s="325"/>
      <c r="GG292" s="325"/>
      <c r="GH292" s="325"/>
      <c r="GI292" s="325"/>
      <c r="GJ292" s="327"/>
      <c r="GK292" s="303" t="e">
        <f t="shared" si="1637"/>
        <v>#DIV/0!</v>
      </c>
    </row>
    <row r="293" spans="2:193" s="37" customFormat="1" ht="19.5" hidden="1" customHeight="1" x14ac:dyDescent="0.25">
      <c r="B293" s="32"/>
      <c r="C293" s="33"/>
      <c r="D293" s="32"/>
      <c r="E293" s="39"/>
      <c r="F293" s="32"/>
      <c r="G293" s="33"/>
      <c r="H293" s="32"/>
      <c r="I293" s="32"/>
      <c r="J293" s="32"/>
      <c r="K293" s="32"/>
      <c r="L293" s="32"/>
      <c r="M293" s="65"/>
      <c r="N293" s="66" t="s">
        <v>283</v>
      </c>
      <c r="O293" s="66"/>
      <c r="P293" s="66"/>
      <c r="Q293" s="66"/>
      <c r="R293" s="66"/>
      <c r="S293" s="66"/>
      <c r="T293" s="164"/>
      <c r="U293" s="164"/>
      <c r="V293" s="2">
        <f>W293+X293+AA293+AB293</f>
        <v>0</v>
      </c>
      <c r="W293" s="23">
        <v>0</v>
      </c>
      <c r="X293" s="143"/>
      <c r="Y293" s="143"/>
      <c r="Z293" s="143"/>
      <c r="AA293" s="150"/>
      <c r="AB293" s="567">
        <f>AC293+AD293+AG293+AH293</f>
        <v>0</v>
      </c>
      <c r="AC293" s="573">
        <v>0</v>
      </c>
      <c r="AD293" s="573"/>
      <c r="AE293" s="573"/>
      <c r="AF293" s="573"/>
      <c r="AG293" s="627"/>
      <c r="AH293" s="627"/>
      <c r="AI293" s="567">
        <f t="shared" si="1738"/>
        <v>0</v>
      </c>
      <c r="AJ293" s="573"/>
      <c r="AK293" s="573"/>
      <c r="AL293" s="627"/>
      <c r="AM293" s="627"/>
      <c r="AN293" s="567">
        <f t="shared" si="1739"/>
        <v>0</v>
      </c>
      <c r="AO293" s="573"/>
      <c r="AP293" s="573"/>
      <c r="AQ293" s="627"/>
      <c r="AR293" s="627"/>
      <c r="AS293" s="567">
        <f t="shared" si="1740"/>
        <v>0</v>
      </c>
      <c r="AT293" s="573"/>
      <c r="AU293" s="573"/>
      <c r="AV293" s="627"/>
      <c r="AW293" s="627"/>
      <c r="AX293" s="412"/>
      <c r="AY293" s="567">
        <f t="shared" si="1741"/>
        <v>0</v>
      </c>
      <c r="AZ293" s="573">
        <v>0</v>
      </c>
      <c r="BA293" s="583"/>
      <c r="BB293" s="583"/>
      <c r="BC293" s="583"/>
      <c r="BD293" s="583"/>
      <c r="BE293" s="583"/>
      <c r="BF293" s="567">
        <f t="shared" si="1638"/>
        <v>0</v>
      </c>
      <c r="BG293" s="567">
        <f t="shared" si="1639"/>
        <v>0</v>
      </c>
      <c r="BH293" s="583">
        <f t="shared" si="1640"/>
        <v>0</v>
      </c>
      <c r="BI293" s="583">
        <f t="shared" si="1641"/>
        <v>0</v>
      </c>
      <c r="BJ293" s="583">
        <f t="shared" si="1642"/>
        <v>0</v>
      </c>
      <c r="BK293" s="583">
        <f t="shared" si="1643"/>
        <v>0</v>
      </c>
      <c r="BL293" s="583"/>
      <c r="BM293" s="567">
        <f t="shared" si="1742"/>
        <v>0</v>
      </c>
      <c r="BN293" s="573"/>
      <c r="BO293" s="583"/>
      <c r="BP293" s="583"/>
      <c r="BQ293" s="583"/>
      <c r="BR293" s="567">
        <f t="shared" si="1743"/>
        <v>0</v>
      </c>
      <c r="BS293" s="573"/>
      <c r="BT293" s="583"/>
      <c r="BU293" s="583"/>
      <c r="BV293" s="583"/>
      <c r="BW293" s="567">
        <f t="shared" si="1744"/>
        <v>0</v>
      </c>
      <c r="BX293" s="573">
        <v>0</v>
      </c>
      <c r="BY293" s="583"/>
      <c r="BZ293" s="583"/>
      <c r="CA293" s="583"/>
      <c r="CB293" s="583"/>
      <c r="CC293" s="583"/>
      <c r="CD293" s="567">
        <f>CE293+CF293+CI293+CJ293</f>
        <v>0</v>
      </c>
      <c r="CE293" s="573">
        <v>0</v>
      </c>
      <c r="CF293" s="583"/>
      <c r="CG293" s="583"/>
      <c r="CH293" s="583"/>
      <c r="CI293" s="583"/>
      <c r="CJ293" s="583"/>
      <c r="CK293" s="569">
        <f t="shared" si="1745"/>
        <v>0</v>
      </c>
      <c r="CL293" s="568"/>
      <c r="CM293" s="583"/>
      <c r="CN293" s="583"/>
      <c r="CO293" s="583"/>
      <c r="CP293" s="583"/>
      <c r="CQ293" s="583"/>
      <c r="CR293" s="573">
        <f t="shared" si="1644"/>
        <v>0</v>
      </c>
      <c r="CS293" s="568">
        <f t="shared" si="1645"/>
        <v>0</v>
      </c>
      <c r="CT293" s="568">
        <f t="shared" si="1646"/>
        <v>0</v>
      </c>
      <c r="CU293" s="583">
        <f t="shared" si="1647"/>
        <v>0</v>
      </c>
      <c r="CV293" s="583">
        <f t="shared" si="1648"/>
        <v>0</v>
      </c>
      <c r="CW293" s="583"/>
      <c r="CX293" s="567">
        <f t="shared" ca="1" si="1691"/>
        <v>0</v>
      </c>
      <c r="CY293" s="567">
        <f t="shared" si="1649"/>
        <v>0</v>
      </c>
      <c r="CZ293" s="567">
        <f t="shared" si="1650"/>
        <v>0</v>
      </c>
      <c r="DA293" s="567">
        <f t="shared" si="1651"/>
        <v>0</v>
      </c>
      <c r="DB293" s="2"/>
      <c r="DC293" s="76"/>
      <c r="DD293" s="46"/>
      <c r="DE293" s="46"/>
      <c r="DF293" s="2">
        <f t="shared" si="1746"/>
        <v>0</v>
      </c>
      <c r="DG293" s="23"/>
      <c r="DH293" s="7"/>
      <c r="DI293" s="7"/>
      <c r="DJ293" s="7"/>
      <c r="DK293" s="2">
        <f t="shared" si="1747"/>
        <v>0</v>
      </c>
      <c r="DL293" s="23"/>
      <c r="DM293" s="7"/>
      <c r="DN293" s="7"/>
      <c r="DO293" s="7"/>
      <c r="DP293" s="46"/>
      <c r="DQ293" s="46"/>
      <c r="DR293" s="46"/>
      <c r="DS293" s="46"/>
      <c r="DT293" s="46"/>
      <c r="DU293" s="46"/>
      <c r="DV293" s="46"/>
      <c r="DW293" s="46"/>
      <c r="DX293" s="242"/>
      <c r="DY293" s="76"/>
      <c r="DZ293" s="76"/>
      <c r="EA293" s="243"/>
      <c r="EB293" s="46"/>
      <c r="EC293" s="46"/>
      <c r="ED293" s="46"/>
      <c r="EE293" s="46"/>
      <c r="EF293" s="46"/>
      <c r="EG293" s="46"/>
      <c r="EH293" s="46"/>
      <c r="EI293" s="198">
        <f t="shared" si="1674"/>
        <v>0</v>
      </c>
      <c r="EJ293" s="23"/>
      <c r="EK293" s="7"/>
      <c r="EL293" s="7"/>
      <c r="EM293" s="7"/>
      <c r="EN293" s="7"/>
      <c r="EO293" s="45"/>
      <c r="EP293" s="198">
        <f t="shared" si="1660"/>
        <v>0</v>
      </c>
      <c r="EQ293" s="198"/>
      <c r="ER293" s="7"/>
      <c r="ES293" s="8"/>
      <c r="ET293" s="8"/>
      <c r="EU293" s="7"/>
      <c r="EV293" s="6"/>
      <c r="EW293" s="317"/>
      <c r="EX293" s="317"/>
      <c r="EY293" s="327"/>
      <c r="EZ293" s="325"/>
      <c r="FA293" s="325"/>
      <c r="FB293" s="317"/>
      <c r="FC293" s="317"/>
      <c r="FD293" s="327"/>
      <c r="FE293" s="325"/>
      <c r="FF293" s="325"/>
      <c r="FG293" s="325"/>
      <c r="FH293" s="325"/>
      <c r="FI293" s="325"/>
      <c r="FJ293" s="7"/>
      <c r="FK293" s="358"/>
      <c r="FL293" s="358"/>
      <c r="FM293" s="364"/>
      <c r="FN293" s="362"/>
      <c r="FO293" s="362"/>
      <c r="FP293" s="358"/>
      <c r="FQ293" s="358"/>
      <c r="FR293" s="364"/>
      <c r="FS293" s="362"/>
      <c r="FT293" s="362"/>
      <c r="FU293" s="362"/>
      <c r="FV293" s="362"/>
      <c r="FW293" s="362"/>
      <c r="FX293" s="317"/>
      <c r="FY293" s="317"/>
      <c r="FZ293" s="327"/>
      <c r="GA293" s="325"/>
      <c r="GB293" s="325"/>
      <c r="GC293" s="317"/>
      <c r="GD293" s="317"/>
      <c r="GE293" s="327"/>
      <c r="GF293" s="325"/>
      <c r="GG293" s="325"/>
      <c r="GH293" s="325"/>
      <c r="GI293" s="325"/>
      <c r="GJ293" s="327"/>
      <c r="GK293" s="303" t="e">
        <f t="shared" si="1637"/>
        <v>#DIV/0!</v>
      </c>
    </row>
    <row r="294" spans="2:193" s="504" customFormat="1" ht="47.25" customHeight="1" x14ac:dyDescent="0.2">
      <c r="B294" s="505"/>
      <c r="C294" s="506"/>
      <c r="D294" s="505"/>
      <c r="E294" s="507"/>
      <c r="F294" s="505"/>
      <c r="G294" s="506"/>
      <c r="H294" s="505"/>
      <c r="I294" s="505"/>
      <c r="J294" s="505"/>
      <c r="K294" s="505"/>
      <c r="L294" s="505"/>
      <c r="M294" s="711" t="s">
        <v>743</v>
      </c>
      <c r="N294" s="712"/>
      <c r="O294" s="635"/>
      <c r="P294" s="635"/>
      <c r="Q294" s="635"/>
      <c r="R294" s="635"/>
      <c r="S294" s="635"/>
      <c r="T294" s="635"/>
      <c r="U294" s="635"/>
      <c r="V294" s="57">
        <f t="shared" ref="V294" si="1748">W294+X294+AA294</f>
        <v>1497775.2146999999</v>
      </c>
      <c r="W294" s="57">
        <f>W266+W267</f>
        <v>225766.18290000001</v>
      </c>
      <c r="X294" s="57">
        <f>X266+X267</f>
        <v>720855.7</v>
      </c>
      <c r="Y294" s="57">
        <f t="shared" ref="Y294:Z294" si="1749">Y266+Y267</f>
        <v>228431.10000000003</v>
      </c>
      <c r="Z294" s="57">
        <f t="shared" si="1749"/>
        <v>492424.6</v>
      </c>
      <c r="AA294" s="57">
        <f>AA266+AA267</f>
        <v>551153.33180000004</v>
      </c>
      <c r="AB294" s="564">
        <f>AC294+AD294+AG294+AH294</f>
        <v>1497775.1961600001</v>
      </c>
      <c r="AC294" s="564">
        <f>AC266+AC267</f>
        <v>225766.16436</v>
      </c>
      <c r="AD294" s="564">
        <f>AD266+AD267</f>
        <v>720855.7</v>
      </c>
      <c r="AE294" s="564">
        <f t="shared" ref="AE294:AF294" si="1750">AE266+AE267</f>
        <v>228431.10000000003</v>
      </c>
      <c r="AF294" s="564">
        <f t="shared" si="1750"/>
        <v>492424.6</v>
      </c>
      <c r="AG294" s="564">
        <f>AG266+AG267</f>
        <v>551153.33180000004</v>
      </c>
      <c r="AH294" s="564">
        <f>AH266+AH267</f>
        <v>0</v>
      </c>
      <c r="AI294" s="564">
        <f t="shared" ref="AI294:AI296" si="1751">AJ294+AK294+AL294+AM294</f>
        <v>713429.13100000005</v>
      </c>
      <c r="AJ294" s="564">
        <f>AJ266+AJ267</f>
        <v>434727.951</v>
      </c>
      <c r="AK294" s="564">
        <f>AK266+AK267</f>
        <v>102879</v>
      </c>
      <c r="AL294" s="564">
        <f>AL266+AL267</f>
        <v>175822.18</v>
      </c>
      <c r="AM294" s="564">
        <f>AM266+AM267</f>
        <v>0</v>
      </c>
      <c r="AN294" s="564">
        <f t="shared" ref="AN294:AN296" si="1752">AO294+AP294+AQ294+AR294</f>
        <v>817193.18799999985</v>
      </c>
      <c r="AO294" s="564">
        <f>AO266+AO267</f>
        <v>510805.45099999994</v>
      </c>
      <c r="AP294" s="564">
        <f>AP266+AP267</f>
        <v>102879</v>
      </c>
      <c r="AQ294" s="564">
        <f>AQ266+AQ267</f>
        <v>203508.73699999999</v>
      </c>
      <c r="AR294" s="564">
        <f>AR266+AR267</f>
        <v>0</v>
      </c>
      <c r="AS294" s="566">
        <f t="shared" ref="AS294:AS296" si="1753">AT294+AU294+AV294+AW294</f>
        <v>500208.04399999994</v>
      </c>
      <c r="AT294" s="564">
        <f>AT266+AT267</f>
        <v>345126.65799999994</v>
      </c>
      <c r="AU294" s="564">
        <f>AU266+AU267</f>
        <v>44730</v>
      </c>
      <c r="AV294" s="564">
        <f>AV266+AV267</f>
        <v>110351.386</v>
      </c>
      <c r="AW294" s="564">
        <f>AW266+AW267</f>
        <v>0</v>
      </c>
      <c r="AX294" s="610"/>
      <c r="AY294" s="564">
        <f>AZ294+BA294+BD294+BE294</f>
        <v>1490950.9526200001</v>
      </c>
      <c r="AZ294" s="564">
        <f>AZ266+AZ267</f>
        <v>225766.182</v>
      </c>
      <c r="BA294" s="564">
        <f>BA266+BA267</f>
        <v>716239.26753999991</v>
      </c>
      <c r="BB294" s="564">
        <f t="shared" ref="BB294:BC294" si="1754">BB266+BB267</f>
        <v>223814.66754000002</v>
      </c>
      <c r="BC294" s="564">
        <f t="shared" si="1754"/>
        <v>492424.6</v>
      </c>
      <c r="BD294" s="564">
        <f>BD266+BD267</f>
        <v>548945.50308000005</v>
      </c>
      <c r="BE294" s="564">
        <f>BE266+BE267</f>
        <v>0</v>
      </c>
      <c r="BF294" s="564">
        <f t="shared" si="1638"/>
        <v>6824.2435399999958</v>
      </c>
      <c r="BG294" s="564">
        <f t="shared" si="1639"/>
        <v>-1.764000000548549E-2</v>
      </c>
      <c r="BH294" s="564">
        <f t="shared" si="1640"/>
        <v>4616.4324600000109</v>
      </c>
      <c r="BI294" s="564">
        <f t="shared" si="1641"/>
        <v>4616.4324600000109</v>
      </c>
      <c r="BJ294" s="564">
        <f t="shared" si="1642"/>
        <v>0</v>
      </c>
      <c r="BK294" s="564">
        <f t="shared" si="1643"/>
        <v>2207.8287199999904</v>
      </c>
      <c r="BL294" s="564" t="e">
        <f>BL266+BL267</f>
        <v>#REF!</v>
      </c>
      <c r="BM294" s="564">
        <f t="shared" ref="BM294:BM296" si="1755">BN294+BO294+BP294+BQ294</f>
        <v>793737.85177999991</v>
      </c>
      <c r="BN294" s="564">
        <f>BN266+BN267</f>
        <v>315089.22378</v>
      </c>
      <c r="BO294" s="564">
        <f>BO266+BO267</f>
        <v>223922.57699999999</v>
      </c>
      <c r="BP294" s="564">
        <f>BP266+BP267</f>
        <v>254726.05100000004</v>
      </c>
      <c r="BQ294" s="564">
        <f>BQ266+BQ267</f>
        <v>0</v>
      </c>
      <c r="BR294" s="564">
        <f t="shared" ref="BR294:BR296" si="1756">BS294+BT294+BU294+BV294</f>
        <v>0</v>
      </c>
      <c r="BS294" s="564">
        <f>BS266+BS267</f>
        <v>0</v>
      </c>
      <c r="BT294" s="564">
        <f>BT266+BT267</f>
        <v>0</v>
      </c>
      <c r="BU294" s="564">
        <f>BU266+BU267</f>
        <v>0</v>
      </c>
      <c r="BV294" s="564">
        <f>BV266+BV267</f>
        <v>0</v>
      </c>
      <c r="BW294" s="564">
        <v>1382433.3</v>
      </c>
      <c r="BX294" s="564">
        <f>BX266+BX267</f>
        <v>207264.85717</v>
      </c>
      <c r="BY294" s="564">
        <f>BY266+BY267</f>
        <v>654667.08874000004</v>
      </c>
      <c r="BZ294" s="564">
        <f t="shared" ref="BZ294:CA294" si="1757">BZ266+BZ267</f>
        <v>202012.05953000003</v>
      </c>
      <c r="CA294" s="564">
        <f t="shared" si="1757"/>
        <v>452655.02921000007</v>
      </c>
      <c r="CB294" s="564">
        <f>CB266+CB267</f>
        <v>520501.27117000002</v>
      </c>
      <c r="CC294" s="564">
        <f>CC266+CC267</f>
        <v>0</v>
      </c>
      <c r="CD294" s="564">
        <v>1382433.2</v>
      </c>
      <c r="CE294" s="564">
        <f>CE266+CE267</f>
        <v>207264.85717</v>
      </c>
      <c r="CF294" s="564">
        <f>CF266+CF267</f>
        <v>654667.08874000004</v>
      </c>
      <c r="CG294" s="564">
        <f t="shared" ref="CG294:CH294" si="1758">CG266+CG267</f>
        <v>202012.05953000003</v>
      </c>
      <c r="CH294" s="564">
        <f t="shared" si="1758"/>
        <v>452655.02921000007</v>
      </c>
      <c r="CI294" s="564">
        <f>CI266+CI267</f>
        <v>520501.17117000005</v>
      </c>
      <c r="CJ294" s="564">
        <f>CJ266+CJ267</f>
        <v>0</v>
      </c>
      <c r="CK294" s="564">
        <v>239742.5</v>
      </c>
      <c r="CL294" s="564">
        <f>CL266+CL267</f>
        <v>12675.160190000002</v>
      </c>
      <c r="CM294" s="564">
        <f>CM266+CM267</f>
        <v>168059.98470999996</v>
      </c>
      <c r="CN294" s="564">
        <f t="shared" ref="CN294:CO294" si="1759">CN266+CN267</f>
        <v>28695.317720000006</v>
      </c>
      <c r="CO294" s="564">
        <f t="shared" si="1759"/>
        <v>45806.000700000004</v>
      </c>
      <c r="CP294" s="564">
        <f>CP266+CP267</f>
        <v>59012.272929999999</v>
      </c>
      <c r="CQ294" s="564">
        <f>CQ266+CQ267</f>
        <v>0</v>
      </c>
      <c r="CR294" s="564">
        <f t="shared" si="1644"/>
        <v>1622180.5349099999</v>
      </c>
      <c r="CS294" s="564">
        <f t="shared" si="1645"/>
        <v>1622180.5349099999</v>
      </c>
      <c r="CT294" s="564">
        <f t="shared" si="1646"/>
        <v>219940.01736</v>
      </c>
      <c r="CU294" s="564">
        <f t="shared" si="1647"/>
        <v>822727.07345000003</v>
      </c>
      <c r="CV294" s="564">
        <f t="shared" si="1648"/>
        <v>579513.44410000008</v>
      </c>
      <c r="CW294" s="633">
        <f>CW266+CW267</f>
        <v>0</v>
      </c>
      <c r="CX294" s="633">
        <f t="shared" ca="1" si="1691"/>
        <v>0</v>
      </c>
      <c r="CY294" s="633">
        <f t="shared" si="1649"/>
        <v>0</v>
      </c>
      <c r="CZ294" s="633">
        <f t="shared" si="1650"/>
        <v>0</v>
      </c>
      <c r="DA294" s="633">
        <f t="shared" si="1651"/>
        <v>9.9999999976716936E-2</v>
      </c>
      <c r="DB294" s="496">
        <f>DB266+DB267</f>
        <v>0</v>
      </c>
      <c r="DC294" s="510"/>
      <c r="DD294" s="512"/>
      <c r="DE294" s="512"/>
      <c r="DF294" s="496">
        <f t="shared" si="1746"/>
        <v>0</v>
      </c>
      <c r="DG294" s="496">
        <f>DG266+DG267</f>
        <v>0</v>
      </c>
      <c r="DH294" s="496">
        <f>DH266+DH267</f>
        <v>0</v>
      </c>
      <c r="DI294" s="496">
        <f>DI266+DI267</f>
        <v>0</v>
      </c>
      <c r="DJ294" s="496">
        <f>DJ266+DJ267</f>
        <v>0</v>
      </c>
      <c r="DK294" s="496">
        <f t="shared" si="1747"/>
        <v>0</v>
      </c>
      <c r="DL294" s="496">
        <f>DL266+DL267</f>
        <v>0</v>
      </c>
      <c r="DM294" s="496">
        <f>DM266+DM267</f>
        <v>0</v>
      </c>
      <c r="DN294" s="496">
        <f>DN266+DN267</f>
        <v>0</v>
      </c>
      <c r="DO294" s="496">
        <f>DO266+DO267</f>
        <v>0</v>
      </c>
      <c r="DP294" s="496">
        <f>DQ294+DR294+DS294+DT294</f>
        <v>0</v>
      </c>
      <c r="DQ294" s="496">
        <f>DQ266+DQ267</f>
        <v>0</v>
      </c>
      <c r="DR294" s="496">
        <f>DR266+DR267</f>
        <v>0</v>
      </c>
      <c r="DS294" s="496">
        <f>DS266+DS267</f>
        <v>0</v>
      </c>
      <c r="DT294" s="496">
        <f>DT266+DT267</f>
        <v>0</v>
      </c>
      <c r="DU294" s="512"/>
      <c r="DV294" s="512"/>
      <c r="DW294" s="512"/>
      <c r="DX294" s="533"/>
      <c r="DY294" s="510"/>
      <c r="DZ294" s="510"/>
      <c r="EA294" s="534"/>
      <c r="EB294" s="512"/>
      <c r="EC294" s="512"/>
      <c r="ED294" s="512"/>
      <c r="EE294" s="512"/>
      <c r="EF294" s="512"/>
      <c r="EG294" s="512"/>
      <c r="EH294" s="512"/>
      <c r="EI294" s="496">
        <f t="shared" ref="EI294:EI296" si="1760">EJ294+EK294+EN294+EO294</f>
        <v>1382433.2170800001</v>
      </c>
      <c r="EJ294" s="496">
        <f>EJ266+EJ267</f>
        <v>207264.85717</v>
      </c>
      <c r="EK294" s="496">
        <f>EK266+EK267</f>
        <v>654667.08874000004</v>
      </c>
      <c r="EL294" s="496">
        <f t="shared" ref="EL294:EM294" si="1761">EL266+EL267</f>
        <v>202012.05953000003</v>
      </c>
      <c r="EM294" s="496">
        <f t="shared" si="1761"/>
        <v>452655.02921000007</v>
      </c>
      <c r="EN294" s="496">
        <f>EN266+EN267</f>
        <v>520501.27117000002</v>
      </c>
      <c r="EO294" s="496">
        <f>EO266+EO267</f>
        <v>0</v>
      </c>
      <c r="EP294" s="496">
        <f t="shared" ref="EP294" si="1762">EQ294+ER294+EU294+EV294</f>
        <v>239747.41782999996</v>
      </c>
      <c r="EQ294" s="496">
        <f>EQ266+EQ267</f>
        <v>12675.160190000002</v>
      </c>
      <c r="ER294" s="496">
        <f>ER266+ER267</f>
        <v>168059.98470999996</v>
      </c>
      <c r="ES294" s="513">
        <f t="shared" ref="ES294:ET294" si="1763">ES266+ES267</f>
        <v>68865.676649999994</v>
      </c>
      <c r="ET294" s="513">
        <f t="shared" si="1763"/>
        <v>100988.87749799997</v>
      </c>
      <c r="EU294" s="496">
        <f>EU266+EU267</f>
        <v>59012.272929999999</v>
      </c>
      <c r="EV294" s="515">
        <f>EV266+EV267</f>
        <v>0</v>
      </c>
      <c r="EW294" s="496">
        <f t="shared" ref="EW294" si="1764">EX294+EY294+EZ294+FA294</f>
        <v>40498.388749999998</v>
      </c>
      <c r="EX294" s="496">
        <f>EX266+EX267</f>
        <v>40421.86436</v>
      </c>
      <c r="EY294" s="513">
        <f>EY266+EY267</f>
        <v>76.524389999999997</v>
      </c>
      <c r="EZ294" s="496">
        <f>EZ266+EZ267</f>
        <v>0</v>
      </c>
      <c r="FA294" s="496">
        <f>FA266+FA267</f>
        <v>0</v>
      </c>
      <c r="FB294" s="496">
        <f t="shared" ref="FB294" si="1765">FC294+FD294+FE294+FF294</f>
        <v>41260.54679</v>
      </c>
      <c r="FC294" s="496">
        <f>FC266+FC267</f>
        <v>40421.86436</v>
      </c>
      <c r="FD294" s="513">
        <f>FD266+FD267</f>
        <v>838.68243000000007</v>
      </c>
      <c r="FE294" s="496">
        <f>FE266+FE267</f>
        <v>0</v>
      </c>
      <c r="FF294" s="496">
        <f>FF266+FF267</f>
        <v>0</v>
      </c>
      <c r="FG294" s="496"/>
      <c r="FH294" s="496">
        <f>FH266+FH267</f>
        <v>0</v>
      </c>
      <c r="FI294" s="496">
        <f>FI266+FI267</f>
        <v>0</v>
      </c>
      <c r="FJ294" s="496">
        <f>FJ266+FJ267</f>
        <v>0</v>
      </c>
      <c r="FK294" s="496"/>
      <c r="FL294" s="496"/>
      <c r="FM294" s="513"/>
      <c r="FN294" s="496"/>
      <c r="FO294" s="496"/>
      <c r="FP294" s="496"/>
      <c r="FQ294" s="496"/>
      <c r="FR294" s="513"/>
      <c r="FS294" s="496"/>
      <c r="FT294" s="496"/>
      <c r="FU294" s="496"/>
      <c r="FV294" s="496"/>
      <c r="FW294" s="496"/>
      <c r="FX294" s="496"/>
      <c r="FY294" s="496"/>
      <c r="FZ294" s="513"/>
      <c r="GA294" s="496"/>
      <c r="GB294" s="496"/>
      <c r="GC294" s="496"/>
      <c r="GD294" s="496"/>
      <c r="GE294" s="513"/>
      <c r="GF294" s="496"/>
      <c r="GG294" s="496"/>
      <c r="GH294" s="496"/>
      <c r="GI294" s="496"/>
      <c r="GJ294" s="513"/>
      <c r="GK294" s="514">
        <f t="shared" si="1637"/>
        <v>0.9229911828853129</v>
      </c>
    </row>
    <row r="295" spans="2:193" s="37" customFormat="1" ht="19.5" hidden="1" customHeight="1" x14ac:dyDescent="0.2">
      <c r="B295" s="168"/>
      <c r="C295" s="169"/>
      <c r="D295" s="168"/>
      <c r="E295" s="170"/>
      <c r="F295" s="168"/>
      <c r="G295" s="169"/>
      <c r="H295" s="168"/>
      <c r="I295" s="168"/>
      <c r="J295" s="168"/>
      <c r="K295" s="168"/>
      <c r="L295" s="168"/>
      <c r="M295" s="171"/>
      <c r="N295" s="172" t="s">
        <v>283</v>
      </c>
      <c r="O295" s="172"/>
      <c r="P295" s="172"/>
      <c r="Q295" s="172"/>
      <c r="R295" s="172"/>
      <c r="S295" s="172"/>
      <c r="T295" s="172"/>
      <c r="U295" s="172"/>
      <c r="V295" s="175">
        <f>W295+X295+AA295+AB295</f>
        <v>0</v>
      </c>
      <c r="W295" s="176">
        <f>W265+W269</f>
        <v>0</v>
      </c>
      <c r="X295" s="176"/>
      <c r="Y295" s="176"/>
      <c r="Z295" s="176"/>
      <c r="AA295" s="176"/>
      <c r="AB295" s="175">
        <f>AC295+AD295+AG295+AH295</f>
        <v>0</v>
      </c>
      <c r="AC295" s="176">
        <f>AC265+AC269</f>
        <v>0</v>
      </c>
      <c r="AD295" s="176"/>
      <c r="AE295" s="176"/>
      <c r="AF295" s="176"/>
      <c r="AG295" s="176"/>
      <c r="AH295" s="23"/>
      <c r="AI295" s="175">
        <f t="shared" si="1751"/>
        <v>33741.300000000003</v>
      </c>
      <c r="AJ295" s="176">
        <f>AJ265+AJ269</f>
        <v>33741.300000000003</v>
      </c>
      <c r="AK295" s="176"/>
      <c r="AL295" s="176"/>
      <c r="AM295" s="23"/>
      <c r="AN295" s="175">
        <f t="shared" si="1752"/>
        <v>97565.494999999995</v>
      </c>
      <c r="AO295" s="176">
        <f>AO265+AO269</f>
        <v>97565.494999999995</v>
      </c>
      <c r="AP295" s="176"/>
      <c r="AQ295" s="176"/>
      <c r="AR295" s="23"/>
      <c r="AS295" s="175">
        <f t="shared" si="1753"/>
        <v>0</v>
      </c>
      <c r="AT295" s="176">
        <f>AT265+AT269</f>
        <v>0</v>
      </c>
      <c r="AU295" s="176"/>
      <c r="AV295" s="176"/>
      <c r="AW295" s="176"/>
      <c r="AX295" s="416"/>
      <c r="AY295" s="175">
        <f t="shared" si="1699"/>
        <v>0</v>
      </c>
      <c r="AZ295" s="176">
        <f>AZ265+AZ269</f>
        <v>0</v>
      </c>
      <c r="BA295" s="176"/>
      <c r="BB295" s="176"/>
      <c r="BC295" s="176"/>
      <c r="BD295" s="176"/>
      <c r="BE295" s="176"/>
      <c r="BF295" s="175">
        <f>BG295+BH295+BK295+BL295</f>
        <v>0</v>
      </c>
      <c r="BG295" s="176">
        <f>BG265+BG269</f>
        <v>0</v>
      </c>
      <c r="BH295" s="176"/>
      <c r="BI295" s="176"/>
      <c r="BJ295" s="176"/>
      <c r="BK295" s="176"/>
      <c r="BL295" s="176"/>
      <c r="BM295" s="175">
        <f t="shared" si="1755"/>
        <v>22388.043260000002</v>
      </c>
      <c r="BN295" s="176">
        <f>BN265+BN269</f>
        <v>22388.043260000002</v>
      </c>
      <c r="BO295" s="176"/>
      <c r="BP295" s="176"/>
      <c r="BQ295" s="176"/>
      <c r="BR295" s="175">
        <f t="shared" si="1756"/>
        <v>0</v>
      </c>
      <c r="BS295" s="176">
        <f>BS265+BS269</f>
        <v>0</v>
      </c>
      <c r="BT295" s="176"/>
      <c r="BU295" s="176"/>
      <c r="BV295" s="176"/>
      <c r="BW295" s="175">
        <f t="shared" ref="BW295:BW296" si="1766">BX295+BY295+CB295+CC295</f>
        <v>0</v>
      </c>
      <c r="BX295" s="176">
        <f>BX265+BX269</f>
        <v>0</v>
      </c>
      <c r="BY295" s="176">
        <f>BY265+BY269</f>
        <v>0</v>
      </c>
      <c r="BZ295" s="176"/>
      <c r="CA295" s="176"/>
      <c r="CB295" s="176">
        <f>CB265+CB269</f>
        <v>0</v>
      </c>
      <c r="CC295" s="176">
        <f>CC265+CC269</f>
        <v>0</v>
      </c>
      <c r="CD295" s="175">
        <f>CE295+CF295+CI295+CJ295</f>
        <v>0</v>
      </c>
      <c r="CE295" s="176">
        <f>CE265+CE269</f>
        <v>0</v>
      </c>
      <c r="CF295" s="176">
        <f>CF265+CF269</f>
        <v>0</v>
      </c>
      <c r="CG295" s="176"/>
      <c r="CH295" s="176"/>
      <c r="CI295" s="176">
        <f>CI265+CI269</f>
        <v>0</v>
      </c>
      <c r="CJ295" s="176">
        <f>CJ265+CJ269</f>
        <v>0</v>
      </c>
      <c r="CK295" s="175">
        <f t="shared" si="1745"/>
        <v>0</v>
      </c>
      <c r="CL295" s="176">
        <f>CL265+CL269</f>
        <v>0</v>
      </c>
      <c r="CM295" s="176">
        <f>CM265+CM269</f>
        <v>0</v>
      </c>
      <c r="CN295" s="176"/>
      <c r="CO295" s="176"/>
      <c r="CP295" s="176">
        <f>CP265+CP269</f>
        <v>0</v>
      </c>
      <c r="CQ295" s="176">
        <f>CQ265+CQ269</f>
        <v>0</v>
      </c>
      <c r="CR295" s="176">
        <f t="shared" si="1644"/>
        <v>0</v>
      </c>
      <c r="CS295" s="175">
        <f t="shared" si="1645"/>
        <v>0</v>
      </c>
      <c r="CT295" s="176">
        <f t="shared" si="1646"/>
        <v>0</v>
      </c>
      <c r="CU295" s="176">
        <f t="shared" si="1647"/>
        <v>0</v>
      </c>
      <c r="CV295" s="176">
        <f t="shared" si="1648"/>
        <v>0</v>
      </c>
      <c r="CW295" s="176">
        <f>CW265+CW269</f>
        <v>0</v>
      </c>
      <c r="CX295" s="175">
        <f t="shared" ca="1" si="1691"/>
        <v>0</v>
      </c>
      <c r="CY295" s="176">
        <f t="shared" si="1649"/>
        <v>0</v>
      </c>
      <c r="CZ295" s="176">
        <f t="shared" si="1650"/>
        <v>0</v>
      </c>
      <c r="DA295" s="176">
        <f t="shared" si="1651"/>
        <v>0</v>
      </c>
      <c r="DB295" s="176">
        <f>DB265+DB269</f>
        <v>0</v>
      </c>
      <c r="DC295" s="76"/>
      <c r="DD295" s="46"/>
      <c r="DE295" s="46"/>
      <c r="DF295" s="175">
        <f t="shared" si="1746"/>
        <v>0</v>
      </c>
      <c r="DG295" s="176">
        <f>DG265+DG269</f>
        <v>0</v>
      </c>
      <c r="DH295" s="176"/>
      <c r="DI295" s="176"/>
      <c r="DJ295" s="176"/>
      <c r="DK295" s="175">
        <f t="shared" si="1747"/>
        <v>0</v>
      </c>
      <c r="DL295" s="176">
        <f>DL265+DL269</f>
        <v>0</v>
      </c>
      <c r="DM295" s="176"/>
      <c r="DN295" s="176"/>
      <c r="DO295" s="176"/>
      <c r="DP295" s="175">
        <f>DQ295+DR295+DS295+DT295</f>
        <v>0</v>
      </c>
      <c r="DQ295" s="176">
        <f>DQ265+DQ269</f>
        <v>0</v>
      </c>
      <c r="DR295" s="176">
        <f>DR294</f>
        <v>0</v>
      </c>
      <c r="DS295" s="176">
        <f>DS294</f>
        <v>0</v>
      </c>
      <c r="DT295" s="176">
        <f>DT294</f>
        <v>0</v>
      </c>
      <c r="DU295" s="46"/>
      <c r="DV295" s="46"/>
      <c r="DW295" s="46"/>
      <c r="DX295" s="242"/>
      <c r="DY295" s="76"/>
      <c r="DZ295" s="76"/>
      <c r="EA295" s="243"/>
      <c r="EB295" s="46"/>
      <c r="EC295" s="46"/>
      <c r="ED295" s="46"/>
      <c r="EE295" s="46"/>
      <c r="EF295" s="46"/>
      <c r="EG295" s="46"/>
      <c r="EH295" s="46"/>
      <c r="EI295" s="175">
        <f t="shared" si="1760"/>
        <v>0</v>
      </c>
      <c r="EJ295" s="176">
        <f>EJ265+EJ269</f>
        <v>0</v>
      </c>
      <c r="EK295" s="176">
        <f>EK265+EK269</f>
        <v>0</v>
      </c>
      <c r="EL295" s="176"/>
      <c r="EM295" s="176"/>
      <c r="EN295" s="176">
        <f>EN265+EN269</f>
        <v>0</v>
      </c>
      <c r="EO295" s="176"/>
      <c r="EP295" s="175">
        <f>EQ295+ER295+EU295+EV295</f>
        <v>0</v>
      </c>
      <c r="EQ295" s="176">
        <f>EQ265+EQ269</f>
        <v>0</v>
      </c>
      <c r="ER295" s="176">
        <f>ER265+ER269</f>
        <v>0</v>
      </c>
      <c r="ES295" s="193"/>
      <c r="ET295" s="193"/>
      <c r="EU295" s="176">
        <f>EU265+EU269</f>
        <v>0</v>
      </c>
      <c r="EV295" s="2">
        <f>EV294</f>
        <v>0</v>
      </c>
      <c r="EW295" s="331"/>
      <c r="EX295" s="332"/>
      <c r="EY295" s="333"/>
      <c r="EZ295" s="322"/>
      <c r="FA295" s="322"/>
      <c r="FB295" s="331"/>
      <c r="FC295" s="332"/>
      <c r="FD295" s="333"/>
      <c r="FE295" s="322"/>
      <c r="FF295" s="322"/>
      <c r="FG295" s="322"/>
      <c r="FH295" s="322"/>
      <c r="FI295" s="322"/>
      <c r="FJ295" s="23">
        <f t="shared" ref="FJ295" si="1767">FJ294</f>
        <v>0</v>
      </c>
      <c r="FK295" s="368"/>
      <c r="FL295" s="369"/>
      <c r="FM295" s="370"/>
      <c r="FN295" s="360"/>
      <c r="FO295" s="360"/>
      <c r="FP295" s="368"/>
      <c r="FQ295" s="369"/>
      <c r="FR295" s="370"/>
      <c r="FS295" s="360"/>
      <c r="FT295" s="360"/>
      <c r="FU295" s="360"/>
      <c r="FV295" s="360"/>
      <c r="FW295" s="360"/>
      <c r="FX295" s="331"/>
      <c r="FY295" s="332"/>
      <c r="FZ295" s="333"/>
      <c r="GA295" s="322"/>
      <c r="GB295" s="322"/>
      <c r="GC295" s="331"/>
      <c r="GD295" s="332"/>
      <c r="GE295" s="333"/>
      <c r="GF295" s="322"/>
      <c r="GG295" s="322"/>
      <c r="GH295" s="322"/>
      <c r="GI295" s="322"/>
      <c r="GJ295" s="339"/>
      <c r="GK295" s="303" t="e">
        <f t="shared" si="1637"/>
        <v>#DIV/0!</v>
      </c>
    </row>
    <row r="296" spans="2:193" s="189" customFormat="1" ht="19.5" hidden="1" customHeight="1" x14ac:dyDescent="0.2">
      <c r="B296" s="190"/>
      <c r="C296" s="190"/>
      <c r="D296" s="190"/>
      <c r="E296" s="39"/>
      <c r="F296" s="190"/>
      <c r="G296" s="190"/>
      <c r="H296" s="190"/>
      <c r="I296" s="190"/>
      <c r="J296" s="190"/>
      <c r="K296" s="190"/>
      <c r="L296" s="192"/>
      <c r="M296" s="65"/>
      <c r="N296" s="66" t="s">
        <v>284</v>
      </c>
      <c r="O296" s="66"/>
      <c r="P296" s="66"/>
      <c r="Q296" s="66"/>
      <c r="R296" s="66"/>
      <c r="S296" s="66"/>
      <c r="T296" s="191"/>
      <c r="U296" s="191"/>
      <c r="V296" s="23">
        <f t="shared" ref="V296" si="1768">W296+X296+AA296</f>
        <v>1497775.2146999999</v>
      </c>
      <c r="W296" s="23">
        <f>W262+W268</f>
        <v>225766.18290000001</v>
      </c>
      <c r="X296" s="23">
        <f>X262+X268</f>
        <v>720855.7</v>
      </c>
      <c r="Y296" s="23"/>
      <c r="Z296" s="23"/>
      <c r="AA296" s="23">
        <f>AA262+AA268</f>
        <v>551153.33180000004</v>
      </c>
      <c r="AB296" s="23">
        <f>AC296+AD296+AG296+AH296</f>
        <v>1497775.1961600001</v>
      </c>
      <c r="AC296" s="23">
        <f>AC262+AC268</f>
        <v>225766.16436</v>
      </c>
      <c r="AD296" s="23">
        <f>AD262+AD268</f>
        <v>720855.7</v>
      </c>
      <c r="AE296" s="23"/>
      <c r="AF296" s="23"/>
      <c r="AG296" s="23">
        <f>AG262+AG268</f>
        <v>551153.33180000004</v>
      </c>
      <c r="AH296" s="23">
        <f>AH262+AH268</f>
        <v>0</v>
      </c>
      <c r="AI296" s="23">
        <f t="shared" si="1751"/>
        <v>679687.83100000001</v>
      </c>
      <c r="AJ296" s="23">
        <f>AJ262+AJ268</f>
        <v>400986.65100000007</v>
      </c>
      <c r="AK296" s="23">
        <f>AK262+AK268</f>
        <v>102879</v>
      </c>
      <c r="AL296" s="23">
        <f>AL262+AL268</f>
        <v>175822.18</v>
      </c>
      <c r="AM296" s="23">
        <f>AM262+AM268</f>
        <v>0</v>
      </c>
      <c r="AN296" s="23">
        <f t="shared" si="1752"/>
        <v>719627.69299999997</v>
      </c>
      <c r="AO296" s="23">
        <f>AO262+AO268</f>
        <v>413239.95599999995</v>
      </c>
      <c r="AP296" s="23">
        <f>AP262+AP268</f>
        <v>102879</v>
      </c>
      <c r="AQ296" s="23">
        <f>AQ262+AQ268</f>
        <v>203508.73699999999</v>
      </c>
      <c r="AR296" s="23">
        <f>AR262+AR268</f>
        <v>0</v>
      </c>
      <c r="AS296" s="23">
        <f t="shared" si="1753"/>
        <v>500208.04399999994</v>
      </c>
      <c r="AT296" s="23">
        <f>AT262+AT268</f>
        <v>345126.65799999994</v>
      </c>
      <c r="AU296" s="23">
        <f>AU262+AU268</f>
        <v>44730</v>
      </c>
      <c r="AV296" s="23">
        <f>AV262+AV268</f>
        <v>110351.386</v>
      </c>
      <c r="AW296" s="23">
        <f>AW262+AW268</f>
        <v>0</v>
      </c>
      <c r="AX296" s="417"/>
      <c r="AY296" s="23">
        <f t="shared" si="1699"/>
        <v>1490950.9526200001</v>
      </c>
      <c r="AZ296" s="23">
        <f>AZ262+AZ268</f>
        <v>225766.182</v>
      </c>
      <c r="BA296" s="23">
        <f>BA294</f>
        <v>716239.26753999991</v>
      </c>
      <c r="BB296" s="23"/>
      <c r="BC296" s="23"/>
      <c r="BD296" s="23">
        <f>BD294</f>
        <v>548945.50308000005</v>
      </c>
      <c r="BE296" s="23">
        <f>BE294</f>
        <v>0</v>
      </c>
      <c r="BF296" s="23" t="e">
        <f>BG296+BH296+BK296+BL296</f>
        <v>#REF!</v>
      </c>
      <c r="BG296" s="23">
        <f>BG262+BG268</f>
        <v>-1.764000000548549E-2</v>
      </c>
      <c r="BH296" s="23">
        <f>BH262+BH268</f>
        <v>4616.4324600000109</v>
      </c>
      <c r="BI296" s="23"/>
      <c r="BJ296" s="23"/>
      <c r="BK296" s="23">
        <f>BK262+BK268</f>
        <v>2207.8287199999904</v>
      </c>
      <c r="BL296" s="23" t="e">
        <f>BL262+BL268</f>
        <v>#REF!</v>
      </c>
      <c r="BM296" s="23">
        <f t="shared" si="1755"/>
        <v>771349.80851999996</v>
      </c>
      <c r="BN296" s="23">
        <f>BN262+BN268</f>
        <v>292701.18051999999</v>
      </c>
      <c r="BO296" s="23">
        <f>BO294</f>
        <v>223922.57699999999</v>
      </c>
      <c r="BP296" s="23">
        <f>BP294</f>
        <v>254726.05100000004</v>
      </c>
      <c r="BQ296" s="23">
        <f>BQ294</f>
        <v>0</v>
      </c>
      <c r="BR296" s="23">
        <f t="shared" si="1756"/>
        <v>0</v>
      </c>
      <c r="BS296" s="23">
        <f>BS262+BS268</f>
        <v>0</v>
      </c>
      <c r="BT296" s="23">
        <f>BT294</f>
        <v>0</v>
      </c>
      <c r="BU296" s="23">
        <f>BU294</f>
        <v>0</v>
      </c>
      <c r="BV296" s="23">
        <f>BV294</f>
        <v>0</v>
      </c>
      <c r="BW296" s="23">
        <f t="shared" si="1766"/>
        <v>1382433.2170800001</v>
      </c>
      <c r="BX296" s="23">
        <f>BX262+BX268</f>
        <v>207264.85717</v>
      </c>
      <c r="BY296" s="23">
        <f>BY294</f>
        <v>654667.08874000004</v>
      </c>
      <c r="BZ296" s="23"/>
      <c r="CA296" s="23"/>
      <c r="CB296" s="23">
        <f>CB294</f>
        <v>520501.27117000002</v>
      </c>
      <c r="CC296" s="23">
        <f>CC294</f>
        <v>0</v>
      </c>
      <c r="CD296" s="23">
        <f>CE296+CF296+CI296+CJ296</f>
        <v>1382433.11708</v>
      </c>
      <c r="CE296" s="23">
        <f>CE262+CE268</f>
        <v>207264.85717</v>
      </c>
      <c r="CF296" s="23">
        <f>CF294</f>
        <v>654667.08874000004</v>
      </c>
      <c r="CG296" s="23"/>
      <c r="CH296" s="23"/>
      <c r="CI296" s="23">
        <f>CI294</f>
        <v>520501.17117000005</v>
      </c>
      <c r="CJ296" s="23">
        <f>CJ294</f>
        <v>0</v>
      </c>
      <c r="CK296" s="23">
        <f t="shared" si="1745"/>
        <v>239747.41782999996</v>
      </c>
      <c r="CL296" s="23">
        <f>CL262+CL268</f>
        <v>12675.160190000002</v>
      </c>
      <c r="CM296" s="23">
        <f>CM294</f>
        <v>168059.98470999996</v>
      </c>
      <c r="CN296" s="23"/>
      <c r="CO296" s="23"/>
      <c r="CP296" s="23">
        <f>CP294</f>
        <v>59012.272929999999</v>
      </c>
      <c r="CQ296" s="23">
        <f>CQ294</f>
        <v>0</v>
      </c>
      <c r="CR296" s="23">
        <f t="shared" si="1644"/>
        <v>1622180.5349099999</v>
      </c>
      <c r="CS296" s="23">
        <f t="shared" si="1645"/>
        <v>1622180.5349099999</v>
      </c>
      <c r="CT296" s="23">
        <f t="shared" si="1646"/>
        <v>219940.01736</v>
      </c>
      <c r="CU296" s="23">
        <f t="shared" si="1647"/>
        <v>822727.07345000003</v>
      </c>
      <c r="CV296" s="23">
        <f t="shared" si="1648"/>
        <v>579513.44410000008</v>
      </c>
      <c r="CW296" s="23">
        <f>CW294</f>
        <v>0</v>
      </c>
      <c r="CX296" s="23">
        <f t="shared" ca="1" si="1691"/>
        <v>0</v>
      </c>
      <c r="CY296" s="23">
        <f t="shared" si="1649"/>
        <v>0</v>
      </c>
      <c r="CZ296" s="23">
        <f t="shared" si="1650"/>
        <v>0</v>
      </c>
      <c r="DA296" s="23">
        <f t="shared" si="1651"/>
        <v>9.9999999976716936E-2</v>
      </c>
      <c r="DB296" s="23">
        <f>DB294</f>
        <v>0</v>
      </c>
      <c r="DC296" s="197"/>
      <c r="DD296" s="197"/>
      <c r="DE296" s="197"/>
      <c r="DF296" s="23">
        <f t="shared" si="1746"/>
        <v>0</v>
      </c>
      <c r="DG296" s="23">
        <f>DG262+DG268</f>
        <v>0</v>
      </c>
      <c r="DH296" s="23">
        <f>DH294</f>
        <v>0</v>
      </c>
      <c r="DI296" s="23">
        <f>DI294</f>
        <v>0</v>
      </c>
      <c r="DJ296" s="23">
        <f>DJ294</f>
        <v>0</v>
      </c>
      <c r="DK296" s="23">
        <f t="shared" si="1747"/>
        <v>0</v>
      </c>
      <c r="DL296" s="23">
        <f>DL262+DL268</f>
        <v>0</v>
      </c>
      <c r="DM296" s="23">
        <f>DM294</f>
        <v>0</v>
      </c>
      <c r="DN296" s="23">
        <f>DN294</f>
        <v>0</v>
      </c>
      <c r="DO296" s="23">
        <f>DO294</f>
        <v>0</v>
      </c>
      <c r="DP296" s="23">
        <f>DQ296+DR296+DS296+DT296</f>
        <v>0</v>
      </c>
      <c r="DQ296" s="23">
        <f>DQ262+DQ268</f>
        <v>0</v>
      </c>
      <c r="DR296" s="3"/>
      <c r="DS296" s="3"/>
      <c r="DT296" s="3"/>
      <c r="DU296" s="197"/>
      <c r="DV296" s="197"/>
      <c r="DW296" s="197"/>
      <c r="DX296" s="197"/>
      <c r="DY296" s="197"/>
      <c r="DZ296" s="197"/>
      <c r="EA296" s="197"/>
      <c r="EB296" s="197"/>
      <c r="EC296" s="197"/>
      <c r="ED296" s="197"/>
      <c r="EE296" s="197"/>
      <c r="EF296" s="197"/>
      <c r="EG296" s="197"/>
      <c r="EH296" s="197"/>
      <c r="EI296" s="23">
        <f t="shared" si="1760"/>
        <v>1382433.2170800001</v>
      </c>
      <c r="EJ296" s="23">
        <f>EJ262+EJ268</f>
        <v>207264.85717</v>
      </c>
      <c r="EK296" s="23">
        <f>EK294</f>
        <v>654667.08874000004</v>
      </c>
      <c r="EL296" s="23"/>
      <c r="EM296" s="23"/>
      <c r="EN296" s="23">
        <f>EN294</f>
        <v>520501.27117000002</v>
      </c>
      <c r="EO296" s="3">
        <f>EO294</f>
        <v>0</v>
      </c>
      <c r="EP296" s="23">
        <f>EQ296+ER296+EU296+EV296</f>
        <v>239747.41782999996</v>
      </c>
      <c r="EQ296" s="23">
        <f>EQ262+EQ268</f>
        <v>12675.160190000002</v>
      </c>
      <c r="ER296" s="23">
        <f>ER294</f>
        <v>168059.98470999996</v>
      </c>
      <c r="ES296" s="94"/>
      <c r="ET296" s="94"/>
      <c r="EU296" s="23">
        <f>EU294</f>
        <v>59012.272929999999</v>
      </c>
      <c r="EV296" s="228"/>
      <c r="EW296" s="322"/>
      <c r="EX296" s="322"/>
      <c r="EY296" s="330"/>
      <c r="EZ296" s="309"/>
      <c r="FA296" s="309"/>
      <c r="FB296" s="322"/>
      <c r="FC296" s="322"/>
      <c r="FD296" s="330"/>
      <c r="FE296" s="309"/>
      <c r="FF296" s="309"/>
      <c r="FG296" s="309"/>
      <c r="FH296" s="309"/>
      <c r="FI296" s="309"/>
      <c r="FJ296" s="3"/>
      <c r="FK296" s="360"/>
      <c r="FL296" s="360"/>
      <c r="FM296" s="367"/>
      <c r="FN296" s="352"/>
      <c r="FO296" s="352"/>
      <c r="FP296" s="360"/>
      <c r="FQ296" s="360"/>
      <c r="FR296" s="367"/>
      <c r="FS296" s="352"/>
      <c r="FT296" s="352"/>
      <c r="FU296" s="352"/>
      <c r="FV296" s="352"/>
      <c r="FW296" s="352"/>
      <c r="FX296" s="322"/>
      <c r="FY296" s="322"/>
      <c r="FZ296" s="330"/>
      <c r="GA296" s="309"/>
      <c r="GB296" s="309"/>
      <c r="GC296" s="322"/>
      <c r="GD296" s="322"/>
      <c r="GE296" s="330"/>
      <c r="GF296" s="309"/>
      <c r="GG296" s="309"/>
      <c r="GH296" s="309"/>
      <c r="GI296" s="309"/>
      <c r="GJ296" s="330"/>
      <c r="GK296" s="303">
        <f t="shared" si="1637"/>
        <v>0.92299112752319967</v>
      </c>
    </row>
    <row r="297" spans="2:193" s="97" customFormat="1" ht="18" hidden="1" customHeight="1" x14ac:dyDescent="0.25">
      <c r="B297" s="52"/>
      <c r="C297" s="52"/>
      <c r="D297" s="52"/>
      <c r="E297" s="67"/>
      <c r="F297" s="52"/>
      <c r="G297" s="52"/>
      <c r="H297" s="52"/>
      <c r="I297" s="52"/>
      <c r="J297" s="52"/>
      <c r="K297" s="52"/>
      <c r="L297" s="52"/>
      <c r="M297" s="187"/>
      <c r="N297" s="188"/>
      <c r="O297" s="188"/>
      <c r="P297" s="188"/>
      <c r="Q297" s="188"/>
      <c r="R297" s="188"/>
      <c r="S297" s="188"/>
      <c r="T297" s="188"/>
      <c r="U297" s="18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  <c r="AJ297" s="78"/>
      <c r="AK297" s="78"/>
      <c r="AL297" s="78"/>
      <c r="AM297" s="78"/>
      <c r="AN297" s="78"/>
      <c r="AO297" s="78"/>
      <c r="AP297" s="78"/>
      <c r="AQ297" s="78"/>
      <c r="AR297" s="78"/>
      <c r="AS297" s="78"/>
      <c r="AT297" s="78"/>
      <c r="AU297" s="78"/>
      <c r="AV297" s="78"/>
      <c r="AW297" s="78"/>
      <c r="AX297" s="188"/>
      <c r="AY297" s="78"/>
      <c r="AZ297" s="78"/>
      <c r="BA297" s="78"/>
      <c r="BB297" s="78"/>
      <c r="BC297" s="78"/>
      <c r="BD297" s="78"/>
      <c r="BE297" s="78"/>
      <c r="BF297" s="78"/>
      <c r="BG297" s="78"/>
      <c r="BH297" s="78"/>
      <c r="BI297" s="78"/>
      <c r="BJ297" s="78"/>
      <c r="BK297" s="78"/>
      <c r="BL297" s="78"/>
      <c r="BM297" s="78"/>
      <c r="BN297" s="78"/>
      <c r="BO297" s="78"/>
      <c r="BP297" s="78"/>
      <c r="BQ297" s="78"/>
      <c r="BR297" s="78"/>
      <c r="BS297" s="78"/>
      <c r="BT297" s="78"/>
      <c r="BU297" s="78"/>
      <c r="BV297" s="78"/>
      <c r="BW297" s="78"/>
      <c r="BX297" s="78"/>
      <c r="BY297" s="78"/>
      <c r="BZ297" s="78"/>
      <c r="CA297" s="78"/>
      <c r="CB297" s="78"/>
      <c r="CC297" s="78"/>
      <c r="CD297" s="7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83"/>
      <c r="CS297" s="78">
        <f t="shared" si="1645"/>
        <v>0</v>
      </c>
      <c r="CT297" s="78">
        <f t="shared" si="1646"/>
        <v>0</v>
      </c>
      <c r="CU297" s="78">
        <f t="shared" si="1647"/>
        <v>0</v>
      </c>
      <c r="CV297" s="78">
        <f t="shared" si="1648"/>
        <v>0</v>
      </c>
      <c r="CW297" s="78"/>
      <c r="CX297" s="78">
        <f t="shared" ca="1" si="1691"/>
        <v>0</v>
      </c>
      <c r="CY297" s="78">
        <f t="shared" si="1649"/>
        <v>0</v>
      </c>
      <c r="CZ297" s="78">
        <f t="shared" si="1650"/>
        <v>0</v>
      </c>
      <c r="DA297" s="78">
        <f t="shared" si="1651"/>
        <v>0</v>
      </c>
      <c r="DB297" s="78"/>
      <c r="DC297" s="76"/>
      <c r="DD297" s="76"/>
      <c r="DE297" s="76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6"/>
      <c r="DV297" s="76"/>
      <c r="DW297" s="76"/>
      <c r="DX297" s="76"/>
      <c r="DY297" s="76"/>
      <c r="DZ297" s="76"/>
      <c r="EA297" s="76"/>
      <c r="EB297" s="76"/>
      <c r="EC297" s="76"/>
      <c r="ED297" s="76"/>
      <c r="EE297" s="76"/>
      <c r="EF297" s="76"/>
      <c r="EG297" s="76"/>
      <c r="EH297" s="76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228"/>
      <c r="EW297" s="334"/>
      <c r="EX297" s="334"/>
      <c r="EY297" s="334"/>
      <c r="EZ297" s="309"/>
      <c r="FA297" s="309"/>
      <c r="FB297" s="334"/>
      <c r="FC297" s="334"/>
      <c r="FD297" s="334"/>
      <c r="FE297" s="309"/>
      <c r="FF297" s="309"/>
      <c r="FG297" s="309"/>
      <c r="FH297" s="309"/>
      <c r="FI297" s="309"/>
      <c r="FJ297" s="3"/>
      <c r="FK297" s="371"/>
      <c r="FL297" s="371"/>
      <c r="FM297" s="371"/>
      <c r="FN297" s="352"/>
      <c r="FO297" s="352"/>
      <c r="FP297" s="371"/>
      <c r="FQ297" s="371"/>
      <c r="FR297" s="371"/>
      <c r="FS297" s="352"/>
      <c r="FT297" s="352"/>
      <c r="FU297" s="352"/>
      <c r="FV297" s="352"/>
      <c r="FW297" s="352"/>
      <c r="FX297" s="334"/>
      <c r="FY297" s="334"/>
      <c r="FZ297" s="334"/>
      <c r="GA297" s="309"/>
      <c r="GB297" s="309"/>
      <c r="GC297" s="334"/>
      <c r="GD297" s="334"/>
      <c r="GE297" s="334"/>
      <c r="GF297" s="309"/>
      <c r="GG297" s="309"/>
      <c r="GH297" s="309"/>
      <c r="GI297" s="309"/>
      <c r="GJ297" s="330"/>
      <c r="GK297" s="303" t="e">
        <f t="shared" si="1637"/>
        <v>#DIV/0!</v>
      </c>
    </row>
    <row r="298" spans="2:193" ht="24" hidden="1" customHeight="1" x14ac:dyDescent="0.3">
      <c r="M298" s="713" t="s">
        <v>285</v>
      </c>
      <c r="N298" s="714"/>
      <c r="O298" s="489"/>
      <c r="P298" s="489"/>
      <c r="Q298" s="489"/>
      <c r="R298" s="489"/>
      <c r="S298" s="489"/>
      <c r="T298" s="489"/>
      <c r="U298" s="489"/>
      <c r="V298" s="185">
        <f>V299+V300</f>
        <v>0</v>
      </c>
      <c r="W298" s="237"/>
      <c r="X298" s="185">
        <f>X299+X300</f>
        <v>0</v>
      </c>
      <c r="Y298" s="185"/>
      <c r="Z298" s="185"/>
      <c r="AA298" s="238"/>
      <c r="AB298" s="185">
        <f>AB299+AB300</f>
        <v>0</v>
      </c>
      <c r="AC298" s="237"/>
      <c r="AD298" s="185">
        <f>AD299+AD300</f>
        <v>0</v>
      </c>
      <c r="AE298" s="185"/>
      <c r="AF298" s="185"/>
      <c r="AG298" s="238"/>
      <c r="AH298" s="183"/>
      <c r="AI298" s="182">
        <f>AI299+AI300</f>
        <v>0</v>
      </c>
      <c r="AJ298" s="151"/>
      <c r="AK298" s="182">
        <f>AK299+AK300</f>
        <v>0</v>
      </c>
      <c r="AL298" s="183"/>
      <c r="AM298" s="183"/>
      <c r="AN298" s="182">
        <f>AN299+AN300</f>
        <v>0</v>
      </c>
      <c r="AO298" s="151"/>
      <c r="AP298" s="182">
        <f>AP299+AP300</f>
        <v>0</v>
      </c>
      <c r="AQ298" s="183"/>
      <c r="AR298" s="183"/>
      <c r="AS298" s="182">
        <f>AS299+AS300</f>
        <v>0</v>
      </c>
      <c r="AT298" s="151"/>
      <c r="AU298" s="182">
        <f>AU299+AU300</f>
        <v>0</v>
      </c>
      <c r="AV298" s="183"/>
      <c r="AW298" s="183"/>
      <c r="AX298" s="418"/>
      <c r="AY298" s="185">
        <f>AY299+AY300</f>
        <v>0</v>
      </c>
      <c r="AZ298" s="186"/>
      <c r="BA298" s="185">
        <f>BA299+BA300</f>
        <v>0</v>
      </c>
      <c r="BB298" s="185"/>
      <c r="BC298" s="185"/>
      <c r="BD298" s="186"/>
      <c r="BE298" s="186"/>
      <c r="BF298" s="93" t="e">
        <f t="shared" ref="BF298:BF305" si="1769">BG298+BH298+BK298+BL298</f>
        <v>#REF!</v>
      </c>
      <c r="BG298" s="47" t="e">
        <f>#REF!-AZ298</f>
        <v>#REF!</v>
      </c>
      <c r="BH298" s="47" t="e">
        <f>#REF!-BA298</f>
        <v>#REF!</v>
      </c>
      <c r="BI298" s="47"/>
      <c r="BJ298" s="47"/>
      <c r="BK298" s="47" t="e">
        <f>#REF!-BD298</f>
        <v>#REF!</v>
      </c>
      <c r="BL298" s="47" t="e">
        <f>#REF!-BE298</f>
        <v>#REF!</v>
      </c>
      <c r="BM298" s="185">
        <f>BM299+BM300</f>
        <v>0</v>
      </c>
      <c r="BN298" s="186"/>
      <c r="BO298" s="185">
        <f>BO299+BO300</f>
        <v>0</v>
      </c>
      <c r="BP298" s="186"/>
      <c r="BQ298" s="186"/>
      <c r="BR298" s="185">
        <f>BR299+BR300</f>
        <v>0</v>
      </c>
      <c r="BS298" s="278"/>
      <c r="BT298" s="185">
        <f>BT299+BT300</f>
        <v>0</v>
      </c>
      <c r="BU298" s="278"/>
      <c r="BV298" s="278"/>
      <c r="BW298" s="185">
        <f>BW299+BW300</f>
        <v>0</v>
      </c>
      <c r="BX298" s="186"/>
      <c r="BY298" s="185">
        <f>BY299+BY300</f>
        <v>0</v>
      </c>
      <c r="BZ298" s="185"/>
      <c r="CA298" s="185"/>
      <c r="CB298" s="186"/>
      <c r="CC298" s="186"/>
      <c r="CD298" s="185">
        <f>CD299+CD300</f>
        <v>0</v>
      </c>
      <c r="CE298" s="186"/>
      <c r="CF298" s="185">
        <f>CF299+CF300</f>
        <v>0</v>
      </c>
      <c r="CG298" s="185"/>
      <c r="CH298" s="185"/>
      <c r="CI298" s="186"/>
      <c r="CJ298" s="184"/>
      <c r="CK298" s="185">
        <f>CK299+CK300</f>
        <v>0</v>
      </c>
      <c r="CL298" s="278"/>
      <c r="CM298" s="278">
        <f>CM299+CM300</f>
        <v>0</v>
      </c>
      <c r="CN298" s="278"/>
      <c r="CO298" s="278"/>
      <c r="CP298" s="278"/>
      <c r="CQ298" s="278"/>
      <c r="CR298" s="279">
        <f t="shared" si="1644"/>
        <v>0</v>
      </c>
      <c r="CS298" s="185">
        <f t="shared" si="1645"/>
        <v>0</v>
      </c>
      <c r="CT298" s="278">
        <f t="shared" si="1646"/>
        <v>0</v>
      </c>
      <c r="CU298" s="278">
        <f t="shared" si="1647"/>
        <v>0</v>
      </c>
      <c r="CV298" s="278">
        <f t="shared" si="1648"/>
        <v>0</v>
      </c>
      <c r="CW298" s="278"/>
      <c r="CX298" s="185">
        <f t="shared" ca="1" si="1691"/>
        <v>0</v>
      </c>
      <c r="CY298" s="278">
        <f t="shared" si="1649"/>
        <v>0</v>
      </c>
      <c r="CZ298" s="185">
        <f t="shared" si="1650"/>
        <v>0</v>
      </c>
      <c r="DA298" s="278">
        <f t="shared" si="1651"/>
        <v>0</v>
      </c>
      <c r="DB298" s="278"/>
      <c r="DF298" s="185">
        <f>DF299+DF300</f>
        <v>0</v>
      </c>
      <c r="DG298" s="278"/>
      <c r="DH298" s="185">
        <f>DH299+DH300</f>
        <v>0</v>
      </c>
      <c r="DI298" s="278"/>
      <c r="DJ298" s="278"/>
      <c r="DK298" s="185">
        <f>DK299+DK300</f>
        <v>0</v>
      </c>
      <c r="DL298" s="278"/>
      <c r="DM298" s="185">
        <f>DM299+DM300</f>
        <v>0</v>
      </c>
      <c r="DN298" s="278"/>
      <c r="DO298" s="278"/>
      <c r="DP298" s="185">
        <f>DP299+DP300</f>
        <v>0</v>
      </c>
      <c r="DQ298" s="278"/>
      <c r="DR298" s="278"/>
      <c r="DS298" s="278"/>
      <c r="DT298" s="278"/>
      <c r="DU298" s="15"/>
      <c r="DV298" s="15"/>
      <c r="DW298" s="15"/>
      <c r="DX298" s="242"/>
      <c r="DY298" s="76"/>
      <c r="DZ298" s="76"/>
      <c r="EA298" s="243"/>
      <c r="EB298" s="15"/>
      <c r="EC298" s="46"/>
      <c r="ED298" s="46"/>
      <c r="EE298" s="46"/>
      <c r="EF298" s="46"/>
      <c r="EG298" s="15"/>
      <c r="EH298" s="15"/>
      <c r="EI298" s="185">
        <f>EI299+EI300</f>
        <v>0</v>
      </c>
      <c r="EJ298" s="186"/>
      <c r="EK298" s="185">
        <f>EK299+EK300</f>
        <v>0</v>
      </c>
      <c r="EL298" s="185"/>
      <c r="EM298" s="185"/>
      <c r="EN298" s="186"/>
      <c r="EO298" s="186"/>
      <c r="EP298" s="185">
        <f>EP299+EP300</f>
        <v>0</v>
      </c>
      <c r="EQ298" s="278"/>
      <c r="ER298" s="278">
        <f>ER299+ER300</f>
        <v>0</v>
      </c>
      <c r="ES298" s="227"/>
      <c r="ET298" s="227"/>
      <c r="EU298" s="278"/>
      <c r="EV298" s="229"/>
      <c r="EW298" s="336"/>
      <c r="EX298" s="337"/>
      <c r="EY298" s="338"/>
      <c r="EZ298" s="335"/>
      <c r="FA298" s="335"/>
      <c r="FB298" s="336"/>
      <c r="FC298" s="337"/>
      <c r="FD298" s="338"/>
      <c r="FE298" s="335"/>
      <c r="FF298" s="335"/>
      <c r="FG298" s="335"/>
      <c r="FH298" s="335"/>
      <c r="FI298" s="335"/>
      <c r="FJ298" s="92"/>
      <c r="FK298" s="372"/>
      <c r="FL298" s="373"/>
      <c r="FM298" s="374"/>
      <c r="FN298" s="375"/>
      <c r="FO298" s="375"/>
      <c r="FP298" s="372"/>
      <c r="FQ298" s="373"/>
      <c r="FR298" s="374"/>
      <c r="FS298" s="375"/>
      <c r="FT298" s="375"/>
      <c r="FU298" s="375"/>
      <c r="FV298" s="375"/>
      <c r="FW298" s="375"/>
      <c r="FX298" s="336"/>
      <c r="FY298" s="337"/>
      <c r="FZ298" s="338"/>
      <c r="GA298" s="335"/>
      <c r="GB298" s="335"/>
      <c r="GC298" s="336"/>
      <c r="GD298" s="337"/>
      <c r="GE298" s="338"/>
      <c r="GF298" s="335"/>
      <c r="GG298" s="335"/>
      <c r="GH298" s="335"/>
      <c r="GI298" s="335"/>
      <c r="GJ298" s="340"/>
      <c r="GK298" s="461" t="e">
        <f t="shared" si="1637"/>
        <v>#DIV/0!</v>
      </c>
    </row>
    <row r="299" spans="2:193" ht="14.25" hidden="1" customHeight="1" x14ac:dyDescent="0.3">
      <c r="M299" s="65"/>
      <c r="N299" s="66" t="s">
        <v>284</v>
      </c>
      <c r="O299" s="66"/>
      <c r="P299" s="66"/>
      <c r="Q299" s="66"/>
      <c r="R299" s="66"/>
      <c r="S299" s="66"/>
      <c r="T299" s="66"/>
      <c r="U299" s="66"/>
      <c r="V299" s="23">
        <f>V302+V305+V307</f>
        <v>0</v>
      </c>
      <c r="W299" s="197"/>
      <c r="X299" s="23">
        <f>X302+X305+X307</f>
        <v>0</v>
      </c>
      <c r="Y299" s="23"/>
      <c r="Z299" s="23"/>
      <c r="AA299" s="239"/>
      <c r="AB299" s="23">
        <f>AB302+AB305+AB307</f>
        <v>0</v>
      </c>
      <c r="AC299" s="197"/>
      <c r="AD299" s="23">
        <f>AD302+AD305+AD307</f>
        <v>0</v>
      </c>
      <c r="AE299" s="23"/>
      <c r="AF299" s="23"/>
      <c r="AG299" s="239"/>
      <c r="AH299" s="152"/>
      <c r="AI299" s="143">
        <f>AI302+AI305+AI307</f>
        <v>0</v>
      </c>
      <c r="AJ299" s="146"/>
      <c r="AK299" s="143">
        <f>AK302+AK305+AK307</f>
        <v>0</v>
      </c>
      <c r="AL299" s="152"/>
      <c r="AM299" s="152"/>
      <c r="AN299" s="143">
        <f>AN302+AN305+AN307</f>
        <v>0</v>
      </c>
      <c r="AO299" s="146"/>
      <c r="AP299" s="143">
        <f>AP302+AP305+AP307</f>
        <v>0</v>
      </c>
      <c r="AQ299" s="152"/>
      <c r="AR299" s="152"/>
      <c r="AS299" s="143">
        <f>AS302+AS305+AS307</f>
        <v>0</v>
      </c>
      <c r="AT299" s="146"/>
      <c r="AU299" s="143">
        <f>AU302+AU305+AU307</f>
        <v>0</v>
      </c>
      <c r="AV299" s="152"/>
      <c r="AW299" s="152"/>
      <c r="AX299" s="419"/>
      <c r="AY299" s="23">
        <f>AY302+AY305+AY307</f>
        <v>0</v>
      </c>
      <c r="AZ299" s="92"/>
      <c r="BA299" s="23">
        <f>BA302+BA305+BA307</f>
        <v>0</v>
      </c>
      <c r="BB299" s="23"/>
      <c r="BC299" s="23"/>
      <c r="BD299" s="92"/>
      <c r="BE299" s="92"/>
      <c r="BF299" s="23" t="e">
        <f t="shared" si="1769"/>
        <v>#REF!</v>
      </c>
      <c r="BG299" s="2" t="e">
        <f>#REF!-AZ299</f>
        <v>#REF!</v>
      </c>
      <c r="BH299" s="2" t="e">
        <f>#REF!-BA299</f>
        <v>#REF!</v>
      </c>
      <c r="BI299" s="2"/>
      <c r="BJ299" s="2"/>
      <c r="BK299" s="2" t="e">
        <f>#REF!-BD299</f>
        <v>#REF!</v>
      </c>
      <c r="BL299" s="2" t="e">
        <f>#REF!-BE299</f>
        <v>#REF!</v>
      </c>
      <c r="BM299" s="23">
        <f>BM302+BM305+BM307</f>
        <v>0</v>
      </c>
      <c r="BN299" s="92"/>
      <c r="BO299" s="23">
        <f>BO302+BO305+BO307</f>
        <v>0</v>
      </c>
      <c r="BP299" s="92"/>
      <c r="BQ299" s="92"/>
      <c r="BR299" s="23">
        <f>BR302+BR305+BR307</f>
        <v>0</v>
      </c>
      <c r="BS299" s="280"/>
      <c r="BT299" s="23">
        <f>BT302+BT305+BT307</f>
        <v>0</v>
      </c>
      <c r="BU299" s="280"/>
      <c r="BV299" s="280"/>
      <c r="BW299" s="23">
        <f>BW302+BW305+BW307</f>
        <v>0</v>
      </c>
      <c r="BX299" s="92"/>
      <c r="BY299" s="23">
        <f>BY302+BY305+BY307</f>
        <v>0</v>
      </c>
      <c r="BZ299" s="23"/>
      <c r="CA299" s="23"/>
      <c r="CB299" s="92"/>
      <c r="CC299" s="92"/>
      <c r="CD299" s="23">
        <f>CD302+CD305+CD307</f>
        <v>0</v>
      </c>
      <c r="CE299" s="92"/>
      <c r="CF299" s="23">
        <f>CF302+CF305+CF307</f>
        <v>0</v>
      </c>
      <c r="CG299" s="23"/>
      <c r="CH299" s="23"/>
      <c r="CI299" s="92"/>
      <c r="CJ299" s="153"/>
      <c r="CK299" s="23">
        <f>CK302+CK305+CK307</f>
        <v>0</v>
      </c>
      <c r="CL299" s="280"/>
      <c r="CM299" s="280">
        <f>CM302+CM305+CM307</f>
        <v>0</v>
      </c>
      <c r="CN299" s="280"/>
      <c r="CO299" s="280"/>
      <c r="CP299" s="280"/>
      <c r="CQ299" s="280"/>
      <c r="CR299" s="281">
        <f t="shared" si="1644"/>
        <v>0</v>
      </c>
      <c r="CS299" s="23">
        <f t="shared" si="1645"/>
        <v>0</v>
      </c>
      <c r="CT299" s="280">
        <f t="shared" si="1646"/>
        <v>0</v>
      </c>
      <c r="CU299" s="280">
        <f t="shared" si="1647"/>
        <v>0</v>
      </c>
      <c r="CV299" s="280">
        <f t="shared" si="1648"/>
        <v>0</v>
      </c>
      <c r="CW299" s="280"/>
      <c r="CX299" s="2">
        <f t="shared" ca="1" si="1691"/>
        <v>0</v>
      </c>
      <c r="CY299" s="2">
        <f t="shared" si="1649"/>
        <v>0</v>
      </c>
      <c r="CZ299" s="2">
        <f t="shared" si="1650"/>
        <v>0</v>
      </c>
      <c r="DA299" s="2">
        <f t="shared" si="1651"/>
        <v>0</v>
      </c>
      <c r="DB299" s="2"/>
      <c r="DF299" s="23">
        <f>DF302+DF305+DF307</f>
        <v>0</v>
      </c>
      <c r="DG299" s="280"/>
      <c r="DH299" s="23">
        <f>DH302+DH305+DH307</f>
        <v>0</v>
      </c>
      <c r="DI299" s="280"/>
      <c r="DJ299" s="280"/>
      <c r="DK299" s="23">
        <f>DK302+DK305+DK307</f>
        <v>0</v>
      </c>
      <c r="DL299" s="280"/>
      <c r="DM299" s="23">
        <f>DM302+DM305+DM307</f>
        <v>0</v>
      </c>
      <c r="DN299" s="280"/>
      <c r="DO299" s="280"/>
      <c r="DP299" s="23">
        <f>DP302+DP305+DP307</f>
        <v>0</v>
      </c>
      <c r="DQ299" s="280"/>
      <c r="DR299" s="280"/>
      <c r="DS299" s="280"/>
      <c r="DT299" s="280"/>
      <c r="DU299" s="15"/>
      <c r="DV299" s="15"/>
      <c r="DW299" s="15"/>
      <c r="DX299" s="242"/>
      <c r="DY299" s="76"/>
      <c r="DZ299" s="76"/>
      <c r="EA299" s="243"/>
      <c r="EB299" s="15"/>
      <c r="EC299" s="46"/>
      <c r="ED299" s="46"/>
      <c r="EE299" s="46"/>
      <c r="EF299" s="46"/>
      <c r="EG299" s="15"/>
      <c r="EH299" s="15"/>
      <c r="EI299" s="23">
        <f>EI302+EI305+EI307</f>
        <v>0</v>
      </c>
      <c r="EJ299" s="92"/>
      <c r="EK299" s="23">
        <f>EK302+EK305+EK307</f>
        <v>0</v>
      </c>
      <c r="EL299" s="23"/>
      <c r="EM299" s="23"/>
      <c r="EN299" s="92"/>
      <c r="EO299" s="92"/>
      <c r="EP299" s="23">
        <f>EP302+EP305+EP307</f>
        <v>0</v>
      </c>
      <c r="EQ299" s="280"/>
      <c r="ER299" s="280">
        <f>ER302+ER305+ER307</f>
        <v>0</v>
      </c>
      <c r="ES299" s="195"/>
      <c r="ET299" s="195"/>
      <c r="EU299" s="280"/>
      <c r="EV299" s="229"/>
      <c r="EW299" s="322"/>
      <c r="EX299" s="335"/>
      <c r="EY299" s="339"/>
      <c r="EZ299" s="335"/>
      <c r="FA299" s="335"/>
      <c r="FB299" s="322"/>
      <c r="FC299" s="335"/>
      <c r="FD299" s="339"/>
      <c r="FE299" s="335"/>
      <c r="FF299" s="335"/>
      <c r="FG299" s="335"/>
      <c r="FH299" s="335"/>
      <c r="FI299" s="335"/>
      <c r="FJ299" s="92"/>
      <c r="FK299" s="360"/>
      <c r="FL299" s="375"/>
      <c r="FM299" s="376"/>
      <c r="FN299" s="375"/>
      <c r="FO299" s="375"/>
      <c r="FP299" s="360"/>
      <c r="FQ299" s="375"/>
      <c r="FR299" s="376"/>
      <c r="FS299" s="375"/>
      <c r="FT299" s="375"/>
      <c r="FU299" s="375"/>
      <c r="FV299" s="375"/>
      <c r="FW299" s="375"/>
      <c r="FX299" s="322"/>
      <c r="FY299" s="335"/>
      <c r="FZ299" s="339"/>
      <c r="GA299" s="335"/>
      <c r="GB299" s="335"/>
      <c r="GC299" s="322"/>
      <c r="GD299" s="335"/>
      <c r="GE299" s="339"/>
      <c r="GF299" s="335"/>
      <c r="GG299" s="335"/>
      <c r="GH299" s="335"/>
      <c r="GI299" s="335"/>
      <c r="GJ299" s="340"/>
      <c r="GK299" s="461" t="e">
        <f t="shared" si="1637"/>
        <v>#DIV/0!</v>
      </c>
    </row>
    <row r="300" spans="2:193" ht="14.25" hidden="1" customHeight="1" x14ac:dyDescent="0.3">
      <c r="M300" s="65"/>
      <c r="N300" s="66" t="s">
        <v>283</v>
      </c>
      <c r="O300" s="66"/>
      <c r="P300" s="66"/>
      <c r="Q300" s="66"/>
      <c r="R300" s="66"/>
      <c r="S300" s="66"/>
      <c r="T300" s="66"/>
      <c r="U300" s="66"/>
      <c r="V300" s="23">
        <f>V303+V306</f>
        <v>0</v>
      </c>
      <c r="W300" s="197"/>
      <c r="X300" s="23">
        <f>X303+X306</f>
        <v>0</v>
      </c>
      <c r="Y300" s="23"/>
      <c r="Z300" s="23"/>
      <c r="AA300" s="239"/>
      <c r="AB300" s="23">
        <f>AB303+AB306</f>
        <v>0</v>
      </c>
      <c r="AC300" s="197"/>
      <c r="AD300" s="23">
        <f>AD303+AD306</f>
        <v>0</v>
      </c>
      <c r="AE300" s="23"/>
      <c r="AF300" s="23"/>
      <c r="AG300" s="239"/>
      <c r="AH300" s="152"/>
      <c r="AI300" s="143">
        <f>AI303+AI306</f>
        <v>0</v>
      </c>
      <c r="AJ300" s="146"/>
      <c r="AK300" s="143">
        <f>AK303+AK306</f>
        <v>0</v>
      </c>
      <c r="AL300" s="152"/>
      <c r="AM300" s="152"/>
      <c r="AN300" s="143">
        <f>AN303+AN306</f>
        <v>0</v>
      </c>
      <c r="AO300" s="146"/>
      <c r="AP300" s="143">
        <f>AP303+AP306</f>
        <v>0</v>
      </c>
      <c r="AQ300" s="152"/>
      <c r="AR300" s="152"/>
      <c r="AS300" s="143">
        <f>AS303+AS306</f>
        <v>0</v>
      </c>
      <c r="AT300" s="146"/>
      <c r="AU300" s="143">
        <f>AU303+AU306</f>
        <v>0</v>
      </c>
      <c r="AV300" s="152"/>
      <c r="AW300" s="152"/>
      <c r="AX300" s="419"/>
      <c r="AY300" s="23">
        <f>AY303+AY306</f>
        <v>0</v>
      </c>
      <c r="AZ300" s="92"/>
      <c r="BA300" s="23">
        <f>BA303+BA306</f>
        <v>0</v>
      </c>
      <c r="BB300" s="23"/>
      <c r="BC300" s="23"/>
      <c r="BD300" s="92"/>
      <c r="BE300" s="92"/>
      <c r="BF300" s="23" t="e">
        <f t="shared" si="1769"/>
        <v>#REF!</v>
      </c>
      <c r="BG300" s="2" t="e">
        <f>#REF!-AZ300</f>
        <v>#REF!</v>
      </c>
      <c r="BH300" s="2" t="e">
        <f>#REF!-BA300</f>
        <v>#REF!</v>
      </c>
      <c r="BI300" s="2"/>
      <c r="BJ300" s="2"/>
      <c r="BK300" s="2" t="e">
        <f>#REF!-BD300</f>
        <v>#REF!</v>
      </c>
      <c r="BL300" s="2" t="e">
        <f>#REF!-BE300</f>
        <v>#REF!</v>
      </c>
      <c r="BM300" s="23">
        <f>BM303+BM306</f>
        <v>0</v>
      </c>
      <c r="BN300" s="92"/>
      <c r="BO300" s="23">
        <f>BO303+BO306</f>
        <v>0</v>
      </c>
      <c r="BP300" s="92"/>
      <c r="BQ300" s="92"/>
      <c r="BR300" s="23">
        <f>BR303+BR306</f>
        <v>0</v>
      </c>
      <c r="BS300" s="280"/>
      <c r="BT300" s="23">
        <f>BT303+BT306</f>
        <v>0</v>
      </c>
      <c r="BU300" s="280"/>
      <c r="BV300" s="280"/>
      <c r="BW300" s="23">
        <f>BW303+BW306</f>
        <v>0</v>
      </c>
      <c r="BX300" s="92"/>
      <c r="BY300" s="23">
        <f>BY303+BY306</f>
        <v>0</v>
      </c>
      <c r="BZ300" s="23"/>
      <c r="CA300" s="23"/>
      <c r="CB300" s="92"/>
      <c r="CC300" s="92"/>
      <c r="CD300" s="23">
        <f>CD303+CD306</f>
        <v>0</v>
      </c>
      <c r="CE300" s="92"/>
      <c r="CF300" s="23">
        <f>CF303+CF306</f>
        <v>0</v>
      </c>
      <c r="CG300" s="23"/>
      <c r="CH300" s="23"/>
      <c r="CI300" s="92"/>
      <c r="CJ300" s="153"/>
      <c r="CK300" s="23">
        <f>CK303+CK306</f>
        <v>0</v>
      </c>
      <c r="CL300" s="280"/>
      <c r="CM300" s="280">
        <f>CM303+CM306</f>
        <v>0</v>
      </c>
      <c r="CN300" s="280"/>
      <c r="CO300" s="280"/>
      <c r="CP300" s="280"/>
      <c r="CQ300" s="280"/>
      <c r="CR300" s="281">
        <f t="shared" si="1644"/>
        <v>0</v>
      </c>
      <c r="CS300" s="23">
        <f t="shared" si="1645"/>
        <v>0</v>
      </c>
      <c r="CT300" s="280">
        <f t="shared" si="1646"/>
        <v>0</v>
      </c>
      <c r="CU300" s="280">
        <f t="shared" si="1647"/>
        <v>0</v>
      </c>
      <c r="CV300" s="280">
        <f t="shared" si="1648"/>
        <v>0</v>
      </c>
      <c r="CW300" s="280"/>
      <c r="CX300" s="2">
        <f t="shared" ca="1" si="1691"/>
        <v>0</v>
      </c>
      <c r="CY300" s="2">
        <f t="shared" si="1649"/>
        <v>0</v>
      </c>
      <c r="CZ300" s="2">
        <f t="shared" si="1650"/>
        <v>0</v>
      </c>
      <c r="DA300" s="2">
        <f t="shared" si="1651"/>
        <v>0</v>
      </c>
      <c r="DB300" s="2"/>
      <c r="DF300" s="23">
        <f>DF303+DF306</f>
        <v>0</v>
      </c>
      <c r="DG300" s="280"/>
      <c r="DH300" s="23">
        <f>DH303+DH306</f>
        <v>0</v>
      </c>
      <c r="DI300" s="280"/>
      <c r="DJ300" s="280"/>
      <c r="DK300" s="23">
        <f>DK303+DK306</f>
        <v>0</v>
      </c>
      <c r="DL300" s="280"/>
      <c r="DM300" s="23">
        <f>DM303+DM306</f>
        <v>0</v>
      </c>
      <c r="DN300" s="280"/>
      <c r="DO300" s="280"/>
      <c r="DP300" s="23"/>
      <c r="DQ300" s="280"/>
      <c r="DR300" s="280"/>
      <c r="DS300" s="280"/>
      <c r="DT300" s="280"/>
      <c r="DU300" s="15"/>
      <c r="DV300" s="15"/>
      <c r="DW300" s="15"/>
      <c r="DX300" s="242"/>
      <c r="DY300" s="76"/>
      <c r="DZ300" s="76"/>
      <c r="EA300" s="243"/>
      <c r="EB300" s="15"/>
      <c r="EC300" s="46"/>
      <c r="ED300" s="46"/>
      <c r="EE300" s="46"/>
      <c r="EF300" s="46"/>
      <c r="EG300" s="15"/>
      <c r="EH300" s="15"/>
      <c r="EI300" s="23">
        <f>EI306</f>
        <v>0</v>
      </c>
      <c r="EJ300" s="92"/>
      <c r="EK300" s="23">
        <f>EK303+EK306</f>
        <v>0</v>
      </c>
      <c r="EL300" s="23"/>
      <c r="EM300" s="23"/>
      <c r="EN300" s="92"/>
      <c r="EO300" s="92"/>
      <c r="EP300" s="23">
        <f>EP306</f>
        <v>0</v>
      </c>
      <c r="EQ300" s="280"/>
      <c r="ER300" s="280">
        <f>ER303+ER306</f>
        <v>0</v>
      </c>
      <c r="ES300" s="195"/>
      <c r="ET300" s="195"/>
      <c r="EU300" s="280"/>
      <c r="EV300" s="229"/>
      <c r="EW300" s="322"/>
      <c r="EX300" s="335"/>
      <c r="EY300" s="339"/>
      <c r="EZ300" s="335"/>
      <c r="FA300" s="335"/>
      <c r="FB300" s="322"/>
      <c r="FC300" s="335"/>
      <c r="FD300" s="339"/>
      <c r="FE300" s="335"/>
      <c r="FF300" s="335"/>
      <c r="FG300" s="335"/>
      <c r="FH300" s="335"/>
      <c r="FI300" s="335"/>
      <c r="FJ300" s="92"/>
      <c r="FK300" s="360"/>
      <c r="FL300" s="375"/>
      <c r="FM300" s="376"/>
      <c r="FN300" s="375"/>
      <c r="FO300" s="375"/>
      <c r="FP300" s="360"/>
      <c r="FQ300" s="375"/>
      <c r="FR300" s="376"/>
      <c r="FS300" s="375"/>
      <c r="FT300" s="375"/>
      <c r="FU300" s="375"/>
      <c r="FV300" s="375"/>
      <c r="FW300" s="375"/>
      <c r="FX300" s="322"/>
      <c r="FY300" s="335"/>
      <c r="FZ300" s="339"/>
      <c r="GA300" s="335"/>
      <c r="GB300" s="335"/>
      <c r="GC300" s="322"/>
      <c r="GD300" s="335"/>
      <c r="GE300" s="339"/>
      <c r="GF300" s="335"/>
      <c r="GG300" s="335"/>
      <c r="GH300" s="335"/>
      <c r="GI300" s="335"/>
      <c r="GJ300" s="340"/>
      <c r="GK300" s="461" t="e">
        <f t="shared" si="1637"/>
        <v>#DIV/0!</v>
      </c>
    </row>
    <row r="301" spans="2:193" ht="14.25" hidden="1" customHeight="1" x14ac:dyDescent="0.3">
      <c r="M301" s="719" t="s">
        <v>286</v>
      </c>
      <c r="N301" s="720"/>
      <c r="O301" s="483"/>
      <c r="P301" s="483"/>
      <c r="Q301" s="483"/>
      <c r="R301" s="483"/>
      <c r="S301" s="483"/>
      <c r="T301" s="483"/>
      <c r="U301" s="483"/>
      <c r="V301" s="3">
        <f>V302+V303</f>
        <v>0</v>
      </c>
      <c r="W301" s="197"/>
      <c r="X301" s="3">
        <f>X302+X303</f>
        <v>0</v>
      </c>
      <c r="Y301" s="3"/>
      <c r="Z301" s="3"/>
      <c r="AA301" s="239"/>
      <c r="AB301" s="3">
        <f>AB302+AB303</f>
        <v>0</v>
      </c>
      <c r="AC301" s="197"/>
      <c r="AD301" s="3">
        <f>AD302+AD303</f>
        <v>0</v>
      </c>
      <c r="AE301" s="3"/>
      <c r="AF301" s="3"/>
      <c r="AG301" s="239"/>
      <c r="AH301" s="152"/>
      <c r="AI301" s="150">
        <f>AI302+AI303</f>
        <v>0</v>
      </c>
      <c r="AJ301" s="146"/>
      <c r="AK301" s="150">
        <f>AK302+AK303</f>
        <v>0</v>
      </c>
      <c r="AL301" s="152"/>
      <c r="AM301" s="152"/>
      <c r="AN301" s="150">
        <f>AN302+AN303</f>
        <v>0</v>
      </c>
      <c r="AO301" s="146"/>
      <c r="AP301" s="150">
        <f>AP302+AP303</f>
        <v>0</v>
      </c>
      <c r="AQ301" s="152"/>
      <c r="AR301" s="152"/>
      <c r="AS301" s="150">
        <f>AS302+AS303</f>
        <v>0</v>
      </c>
      <c r="AT301" s="146"/>
      <c r="AU301" s="150">
        <f>AU302+AU303</f>
        <v>0</v>
      </c>
      <c r="AV301" s="152"/>
      <c r="AW301" s="152"/>
      <c r="AX301" s="419"/>
      <c r="AY301" s="3">
        <f>AY302+AY303</f>
        <v>0</v>
      </c>
      <c r="AZ301" s="92"/>
      <c r="BA301" s="3">
        <f>BA302+BA303</f>
        <v>0</v>
      </c>
      <c r="BB301" s="3"/>
      <c r="BC301" s="3"/>
      <c r="BD301" s="92"/>
      <c r="BE301" s="92"/>
      <c r="BF301" s="23" t="e">
        <f t="shared" si="1769"/>
        <v>#REF!</v>
      </c>
      <c r="BG301" s="2" t="e">
        <f>#REF!-AZ301</f>
        <v>#REF!</v>
      </c>
      <c r="BH301" s="2" t="e">
        <f>#REF!-BA301</f>
        <v>#REF!</v>
      </c>
      <c r="BI301" s="2"/>
      <c r="BJ301" s="2"/>
      <c r="BK301" s="2" t="e">
        <f>#REF!-BD301</f>
        <v>#REF!</v>
      </c>
      <c r="BL301" s="2" t="e">
        <f>#REF!-BE301</f>
        <v>#REF!</v>
      </c>
      <c r="BM301" s="3">
        <f>BM302+BM303</f>
        <v>0</v>
      </c>
      <c r="BN301" s="92"/>
      <c r="BO301" s="3">
        <f>BO302+BO303</f>
        <v>0</v>
      </c>
      <c r="BP301" s="92"/>
      <c r="BQ301" s="92"/>
      <c r="BR301" s="3">
        <f>BR302+BR303</f>
        <v>0</v>
      </c>
      <c r="BS301" s="280"/>
      <c r="BT301" s="3">
        <f>BT302+BT303</f>
        <v>0</v>
      </c>
      <c r="BU301" s="280"/>
      <c r="BV301" s="280"/>
      <c r="BW301" s="3">
        <f>BW302+BW303</f>
        <v>0</v>
      </c>
      <c r="BX301" s="92"/>
      <c r="BY301" s="3">
        <f>BY302+BY303</f>
        <v>0</v>
      </c>
      <c r="BZ301" s="3"/>
      <c r="CA301" s="3"/>
      <c r="CB301" s="92"/>
      <c r="CC301" s="92"/>
      <c r="CD301" s="3">
        <f>CD302+CD303</f>
        <v>0</v>
      </c>
      <c r="CE301" s="92"/>
      <c r="CF301" s="3">
        <f>CF302+CF303</f>
        <v>0</v>
      </c>
      <c r="CG301" s="3"/>
      <c r="CH301" s="3"/>
      <c r="CI301" s="92"/>
      <c r="CJ301" s="153"/>
      <c r="CK301" s="3">
        <f>CK302+CK303</f>
        <v>0</v>
      </c>
      <c r="CL301" s="280"/>
      <c r="CM301" s="280">
        <f>CM302+CM303</f>
        <v>0</v>
      </c>
      <c r="CN301" s="280"/>
      <c r="CO301" s="280"/>
      <c r="CP301" s="280"/>
      <c r="CQ301" s="280"/>
      <c r="CR301" s="281">
        <f t="shared" si="1644"/>
        <v>0</v>
      </c>
      <c r="CS301" s="3">
        <f t="shared" si="1645"/>
        <v>0</v>
      </c>
      <c r="CT301" s="280">
        <f t="shared" si="1646"/>
        <v>0</v>
      </c>
      <c r="CU301" s="280">
        <f t="shared" si="1647"/>
        <v>0</v>
      </c>
      <c r="CV301" s="280">
        <f t="shared" si="1648"/>
        <v>0</v>
      </c>
      <c r="CW301" s="280"/>
      <c r="CX301" s="3">
        <f t="shared" ca="1" si="1691"/>
        <v>0</v>
      </c>
      <c r="CY301" s="280">
        <f t="shared" si="1649"/>
        <v>0</v>
      </c>
      <c r="CZ301" s="3">
        <f t="shared" si="1650"/>
        <v>0</v>
      </c>
      <c r="DA301" s="280">
        <f t="shared" si="1651"/>
        <v>0</v>
      </c>
      <c r="DB301" s="280"/>
      <c r="DF301" s="3">
        <f>DF302+DF303</f>
        <v>0</v>
      </c>
      <c r="DG301" s="280"/>
      <c r="DH301" s="3">
        <f>DH302+DH303</f>
        <v>0</v>
      </c>
      <c r="DI301" s="280"/>
      <c r="DJ301" s="280"/>
      <c r="DK301" s="3">
        <f>DK302+DK303</f>
        <v>0</v>
      </c>
      <c r="DL301" s="280"/>
      <c r="DM301" s="3">
        <f>DM302+DM303</f>
        <v>0</v>
      </c>
      <c r="DN301" s="280"/>
      <c r="DO301" s="280"/>
      <c r="DP301" s="3">
        <f>DP302+DP303</f>
        <v>0</v>
      </c>
      <c r="DQ301" s="280"/>
      <c r="DR301" s="280"/>
      <c r="DS301" s="280"/>
      <c r="DT301" s="280"/>
      <c r="DU301" s="15"/>
      <c r="DV301" s="15"/>
      <c r="DW301" s="15"/>
      <c r="DX301" s="242"/>
      <c r="DY301" s="76"/>
      <c r="DZ301" s="76"/>
      <c r="EA301" s="243"/>
      <c r="EB301" s="15"/>
      <c r="EC301" s="46"/>
      <c r="ED301" s="46"/>
      <c r="EE301" s="46"/>
      <c r="EF301" s="46"/>
      <c r="EG301" s="15"/>
      <c r="EH301" s="15"/>
      <c r="EI301" s="3">
        <f>EI302+EI303</f>
        <v>0</v>
      </c>
      <c r="EJ301" s="92"/>
      <c r="EK301" s="3">
        <f>EK302+EK303</f>
        <v>0</v>
      </c>
      <c r="EL301" s="3"/>
      <c r="EM301" s="3"/>
      <c r="EN301" s="92"/>
      <c r="EO301" s="92"/>
      <c r="EP301" s="3">
        <f>EP302+EP303</f>
        <v>0</v>
      </c>
      <c r="EQ301" s="280"/>
      <c r="ER301" s="280">
        <f>ER302+ER303</f>
        <v>0</v>
      </c>
      <c r="ES301" s="94"/>
      <c r="ET301" s="94"/>
      <c r="EU301" s="280"/>
      <c r="EV301" s="229"/>
      <c r="EW301" s="309"/>
      <c r="EX301" s="335"/>
      <c r="EY301" s="330"/>
      <c r="EZ301" s="335"/>
      <c r="FA301" s="335"/>
      <c r="FB301" s="309"/>
      <c r="FC301" s="335"/>
      <c r="FD301" s="330"/>
      <c r="FE301" s="335"/>
      <c r="FF301" s="335"/>
      <c r="FG301" s="335"/>
      <c r="FH301" s="335"/>
      <c r="FI301" s="335"/>
      <c r="FJ301" s="92"/>
      <c r="FK301" s="352"/>
      <c r="FL301" s="375"/>
      <c r="FM301" s="367"/>
      <c r="FN301" s="375"/>
      <c r="FO301" s="375"/>
      <c r="FP301" s="352"/>
      <c r="FQ301" s="375"/>
      <c r="FR301" s="367"/>
      <c r="FS301" s="375"/>
      <c r="FT301" s="375"/>
      <c r="FU301" s="375"/>
      <c r="FV301" s="375"/>
      <c r="FW301" s="375"/>
      <c r="FX301" s="309"/>
      <c r="FY301" s="335"/>
      <c r="FZ301" s="330"/>
      <c r="GA301" s="335"/>
      <c r="GB301" s="335"/>
      <c r="GC301" s="309"/>
      <c r="GD301" s="335"/>
      <c r="GE301" s="330"/>
      <c r="GF301" s="335"/>
      <c r="GG301" s="335"/>
      <c r="GH301" s="335"/>
      <c r="GI301" s="335"/>
      <c r="GJ301" s="340"/>
      <c r="GK301" s="461" t="e">
        <f t="shared" si="1637"/>
        <v>#DIV/0!</v>
      </c>
    </row>
    <row r="302" spans="2:193" ht="14.25" hidden="1" customHeight="1" x14ac:dyDescent="0.3">
      <c r="M302" s="65"/>
      <c r="N302" s="66" t="s">
        <v>284</v>
      </c>
      <c r="O302" s="66"/>
      <c r="P302" s="66"/>
      <c r="Q302" s="66"/>
      <c r="R302" s="66"/>
      <c r="S302" s="66"/>
      <c r="T302" s="66"/>
      <c r="U302" s="66"/>
      <c r="V302" s="23"/>
      <c r="W302" s="197"/>
      <c r="X302" s="23"/>
      <c r="Y302" s="23"/>
      <c r="Z302" s="23"/>
      <c r="AA302" s="239"/>
      <c r="AB302" s="23"/>
      <c r="AC302" s="197"/>
      <c r="AD302" s="23"/>
      <c r="AE302" s="23"/>
      <c r="AF302" s="23"/>
      <c r="AG302" s="239"/>
      <c r="AH302" s="152"/>
      <c r="AI302" s="143"/>
      <c r="AJ302" s="146"/>
      <c r="AK302" s="143"/>
      <c r="AL302" s="152"/>
      <c r="AM302" s="152"/>
      <c r="AN302" s="143"/>
      <c r="AO302" s="146"/>
      <c r="AP302" s="143"/>
      <c r="AQ302" s="152"/>
      <c r="AR302" s="152"/>
      <c r="AS302" s="143"/>
      <c r="AT302" s="146"/>
      <c r="AU302" s="143"/>
      <c r="AV302" s="152"/>
      <c r="AW302" s="152"/>
      <c r="AX302" s="419"/>
      <c r="AY302" s="23"/>
      <c r="AZ302" s="92"/>
      <c r="BA302" s="23"/>
      <c r="BB302" s="23"/>
      <c r="BC302" s="23"/>
      <c r="BD302" s="92"/>
      <c r="BE302" s="92"/>
      <c r="BF302" s="23" t="e">
        <f t="shared" si="1769"/>
        <v>#REF!</v>
      </c>
      <c r="BG302" s="2" t="e">
        <f>#REF!-AZ302</f>
        <v>#REF!</v>
      </c>
      <c r="BH302" s="2" t="e">
        <f>#REF!-BA302</f>
        <v>#REF!</v>
      </c>
      <c r="BI302" s="2"/>
      <c r="BJ302" s="2"/>
      <c r="BK302" s="2" t="e">
        <f>#REF!-BD302</f>
        <v>#REF!</v>
      </c>
      <c r="BL302" s="2" t="e">
        <f>#REF!-BE302</f>
        <v>#REF!</v>
      </c>
      <c r="BM302" s="23"/>
      <c r="BN302" s="92"/>
      <c r="BO302" s="23"/>
      <c r="BP302" s="92"/>
      <c r="BQ302" s="92"/>
      <c r="BR302" s="23"/>
      <c r="BS302" s="280"/>
      <c r="BT302" s="23"/>
      <c r="BU302" s="280"/>
      <c r="BV302" s="280"/>
      <c r="BW302" s="23"/>
      <c r="BX302" s="92"/>
      <c r="BY302" s="23"/>
      <c r="BZ302" s="23"/>
      <c r="CA302" s="23"/>
      <c r="CB302" s="92"/>
      <c r="CC302" s="92"/>
      <c r="CD302" s="23"/>
      <c r="CE302" s="92"/>
      <c r="CF302" s="23"/>
      <c r="CG302" s="23"/>
      <c r="CH302" s="23"/>
      <c r="CI302" s="92"/>
      <c r="CJ302" s="153"/>
      <c r="CK302" s="23"/>
      <c r="CL302" s="280"/>
      <c r="CM302" s="280"/>
      <c r="CN302" s="280"/>
      <c r="CO302" s="280"/>
      <c r="CP302" s="280"/>
      <c r="CQ302" s="280"/>
      <c r="CR302" s="281">
        <f t="shared" si="1644"/>
        <v>0</v>
      </c>
      <c r="CS302" s="23">
        <f t="shared" si="1645"/>
        <v>0</v>
      </c>
      <c r="CT302" s="280">
        <f t="shared" si="1646"/>
        <v>0</v>
      </c>
      <c r="CU302" s="280">
        <f t="shared" si="1647"/>
        <v>0</v>
      </c>
      <c r="CV302" s="280">
        <f t="shared" si="1648"/>
        <v>0</v>
      </c>
      <c r="CW302" s="280"/>
      <c r="CX302" s="2">
        <f t="shared" ca="1" si="1691"/>
        <v>0</v>
      </c>
      <c r="CY302" s="2">
        <f t="shared" si="1649"/>
        <v>0</v>
      </c>
      <c r="CZ302" s="2">
        <f t="shared" si="1650"/>
        <v>0</v>
      </c>
      <c r="DA302" s="2">
        <f t="shared" si="1651"/>
        <v>0</v>
      </c>
      <c r="DB302" s="2"/>
      <c r="DF302" s="23"/>
      <c r="DG302" s="280"/>
      <c r="DH302" s="23"/>
      <c r="DI302" s="280"/>
      <c r="DJ302" s="280"/>
      <c r="DK302" s="23"/>
      <c r="DL302" s="280"/>
      <c r="DM302" s="23"/>
      <c r="DN302" s="280"/>
      <c r="DO302" s="280"/>
      <c r="DP302" s="23"/>
      <c r="DQ302" s="280"/>
      <c r="DR302" s="280"/>
      <c r="DS302" s="280"/>
      <c r="DT302" s="280"/>
      <c r="DU302" s="15"/>
      <c r="DV302" s="15"/>
      <c r="DW302" s="15"/>
      <c r="DX302" s="242"/>
      <c r="DY302" s="76"/>
      <c r="DZ302" s="76"/>
      <c r="EA302" s="243"/>
      <c r="EB302" s="15"/>
      <c r="EC302" s="46"/>
      <c r="ED302" s="46"/>
      <c r="EE302" s="46"/>
      <c r="EF302" s="46"/>
      <c r="EG302" s="15"/>
      <c r="EH302" s="15"/>
      <c r="EI302" s="23"/>
      <c r="EJ302" s="92"/>
      <c r="EK302" s="23"/>
      <c r="EL302" s="23"/>
      <c r="EM302" s="23"/>
      <c r="EN302" s="92"/>
      <c r="EO302" s="92"/>
      <c r="EP302" s="23"/>
      <c r="EQ302" s="280"/>
      <c r="ER302" s="280"/>
      <c r="ES302" s="195"/>
      <c r="ET302" s="195"/>
      <c r="EU302" s="280"/>
      <c r="EV302" s="229"/>
      <c r="EW302" s="322"/>
      <c r="EX302" s="335"/>
      <c r="EY302" s="339"/>
      <c r="EZ302" s="335"/>
      <c r="FA302" s="335"/>
      <c r="FB302" s="322"/>
      <c r="FC302" s="335"/>
      <c r="FD302" s="339"/>
      <c r="FE302" s="335"/>
      <c r="FF302" s="335"/>
      <c r="FG302" s="335"/>
      <c r="FH302" s="335"/>
      <c r="FI302" s="335"/>
      <c r="FJ302" s="92"/>
      <c r="FK302" s="360"/>
      <c r="FL302" s="375"/>
      <c r="FM302" s="376"/>
      <c r="FN302" s="375"/>
      <c r="FO302" s="375"/>
      <c r="FP302" s="360"/>
      <c r="FQ302" s="375"/>
      <c r="FR302" s="376"/>
      <c r="FS302" s="375"/>
      <c r="FT302" s="375"/>
      <c r="FU302" s="375"/>
      <c r="FV302" s="375"/>
      <c r="FW302" s="375"/>
      <c r="FX302" s="322"/>
      <c r="FY302" s="335"/>
      <c r="FZ302" s="339"/>
      <c r="GA302" s="335"/>
      <c r="GB302" s="335"/>
      <c r="GC302" s="322"/>
      <c r="GD302" s="335"/>
      <c r="GE302" s="339"/>
      <c r="GF302" s="335"/>
      <c r="GG302" s="335"/>
      <c r="GH302" s="335"/>
      <c r="GI302" s="335"/>
      <c r="GJ302" s="340"/>
      <c r="GK302" s="461" t="e">
        <f t="shared" si="1637"/>
        <v>#DIV/0!</v>
      </c>
    </row>
    <row r="303" spans="2:193" ht="14.25" hidden="1" customHeight="1" x14ac:dyDescent="0.3">
      <c r="M303" s="65"/>
      <c r="N303" s="66" t="s">
        <v>283</v>
      </c>
      <c r="O303" s="66"/>
      <c r="P303" s="66"/>
      <c r="Q303" s="66"/>
      <c r="R303" s="66"/>
      <c r="S303" s="66"/>
      <c r="T303" s="66"/>
      <c r="U303" s="66"/>
      <c r="V303" s="23"/>
      <c r="W303" s="197"/>
      <c r="X303" s="23"/>
      <c r="Y303" s="23"/>
      <c r="Z303" s="23"/>
      <c r="AA303" s="239"/>
      <c r="AB303" s="23"/>
      <c r="AC303" s="197"/>
      <c r="AD303" s="23"/>
      <c r="AE303" s="23"/>
      <c r="AF303" s="23"/>
      <c r="AG303" s="239"/>
      <c r="AH303" s="152"/>
      <c r="AI303" s="143"/>
      <c r="AJ303" s="146"/>
      <c r="AK303" s="143"/>
      <c r="AL303" s="152"/>
      <c r="AM303" s="152"/>
      <c r="AN303" s="143"/>
      <c r="AO303" s="146"/>
      <c r="AP303" s="143"/>
      <c r="AQ303" s="152"/>
      <c r="AR303" s="152"/>
      <c r="AS303" s="143"/>
      <c r="AT303" s="146"/>
      <c r="AU303" s="143"/>
      <c r="AV303" s="152"/>
      <c r="AW303" s="152"/>
      <c r="AX303" s="419"/>
      <c r="AY303" s="23"/>
      <c r="AZ303" s="92"/>
      <c r="BA303" s="23"/>
      <c r="BB303" s="23"/>
      <c r="BC303" s="23"/>
      <c r="BD303" s="92"/>
      <c r="BE303" s="92"/>
      <c r="BF303" s="23" t="e">
        <f t="shared" si="1769"/>
        <v>#REF!</v>
      </c>
      <c r="BG303" s="2" t="e">
        <f>#REF!-AZ303</f>
        <v>#REF!</v>
      </c>
      <c r="BH303" s="2" t="e">
        <f>#REF!-BA303</f>
        <v>#REF!</v>
      </c>
      <c r="BI303" s="2"/>
      <c r="BJ303" s="2"/>
      <c r="BK303" s="2" t="e">
        <f>#REF!-BD303</f>
        <v>#REF!</v>
      </c>
      <c r="BL303" s="2" t="e">
        <f>#REF!-BE303</f>
        <v>#REF!</v>
      </c>
      <c r="BM303" s="23"/>
      <c r="BN303" s="92"/>
      <c r="BO303" s="23"/>
      <c r="BP303" s="92"/>
      <c r="BQ303" s="92"/>
      <c r="BR303" s="23"/>
      <c r="BS303" s="280"/>
      <c r="BT303" s="23"/>
      <c r="BU303" s="280"/>
      <c r="BV303" s="280"/>
      <c r="BW303" s="23"/>
      <c r="BX303" s="92"/>
      <c r="BY303" s="23"/>
      <c r="BZ303" s="23"/>
      <c r="CA303" s="23"/>
      <c r="CB303" s="92"/>
      <c r="CC303" s="92"/>
      <c r="CD303" s="23"/>
      <c r="CE303" s="92"/>
      <c r="CF303" s="23"/>
      <c r="CG303" s="23"/>
      <c r="CH303" s="23"/>
      <c r="CI303" s="92"/>
      <c r="CJ303" s="153"/>
      <c r="CK303" s="23"/>
      <c r="CL303" s="280"/>
      <c r="CM303" s="280"/>
      <c r="CN303" s="280"/>
      <c r="CO303" s="280"/>
      <c r="CP303" s="280"/>
      <c r="CQ303" s="280"/>
      <c r="CR303" s="281">
        <f t="shared" si="1644"/>
        <v>0</v>
      </c>
      <c r="CS303" s="23">
        <f t="shared" si="1645"/>
        <v>0</v>
      </c>
      <c r="CT303" s="280">
        <f t="shared" si="1646"/>
        <v>0</v>
      </c>
      <c r="CU303" s="280">
        <f t="shared" si="1647"/>
        <v>0</v>
      </c>
      <c r="CV303" s="280">
        <f t="shared" si="1648"/>
        <v>0</v>
      </c>
      <c r="CW303" s="280"/>
      <c r="CX303" s="2">
        <f t="shared" ca="1" si="1691"/>
        <v>0</v>
      </c>
      <c r="CY303" s="2">
        <f t="shared" si="1649"/>
        <v>0</v>
      </c>
      <c r="CZ303" s="2">
        <f t="shared" si="1650"/>
        <v>0</v>
      </c>
      <c r="DA303" s="2">
        <f t="shared" si="1651"/>
        <v>0</v>
      </c>
      <c r="DB303" s="2"/>
      <c r="DF303" s="23"/>
      <c r="DG303" s="280"/>
      <c r="DH303" s="23"/>
      <c r="DI303" s="280"/>
      <c r="DJ303" s="280"/>
      <c r="DK303" s="23"/>
      <c r="DL303" s="280"/>
      <c r="DM303" s="23"/>
      <c r="DN303" s="280"/>
      <c r="DO303" s="280"/>
      <c r="DP303" s="23"/>
      <c r="DQ303" s="280"/>
      <c r="DR303" s="280"/>
      <c r="DS303" s="280"/>
      <c r="DT303" s="280"/>
      <c r="DU303" s="15"/>
      <c r="DV303" s="15"/>
      <c r="DW303" s="15"/>
      <c r="DX303" s="242"/>
      <c r="DY303" s="76"/>
      <c r="DZ303" s="76"/>
      <c r="EA303" s="243"/>
      <c r="EB303" s="15"/>
      <c r="EC303" s="46"/>
      <c r="ED303" s="46"/>
      <c r="EE303" s="46"/>
      <c r="EF303" s="46"/>
      <c r="EG303" s="15"/>
      <c r="EH303" s="15"/>
      <c r="EI303" s="23"/>
      <c r="EJ303" s="92"/>
      <c r="EK303" s="23"/>
      <c r="EL303" s="23"/>
      <c r="EM303" s="23"/>
      <c r="EN303" s="92"/>
      <c r="EO303" s="92"/>
      <c r="EP303" s="23"/>
      <c r="EQ303" s="280"/>
      <c r="ER303" s="280"/>
      <c r="ES303" s="195"/>
      <c r="ET303" s="195"/>
      <c r="EU303" s="280"/>
      <c r="EV303" s="229"/>
      <c r="EW303" s="322"/>
      <c r="EX303" s="335"/>
      <c r="EY303" s="339"/>
      <c r="EZ303" s="335"/>
      <c r="FA303" s="335"/>
      <c r="FB303" s="322"/>
      <c r="FC303" s="335"/>
      <c r="FD303" s="339"/>
      <c r="FE303" s="335"/>
      <c r="FF303" s="335"/>
      <c r="FG303" s="335"/>
      <c r="FH303" s="335"/>
      <c r="FI303" s="335"/>
      <c r="FJ303" s="92"/>
      <c r="FK303" s="360"/>
      <c r="FL303" s="375"/>
      <c r="FM303" s="376"/>
      <c r="FN303" s="375"/>
      <c r="FO303" s="375"/>
      <c r="FP303" s="360"/>
      <c r="FQ303" s="375"/>
      <c r="FR303" s="376"/>
      <c r="FS303" s="375"/>
      <c r="FT303" s="375"/>
      <c r="FU303" s="375"/>
      <c r="FV303" s="375"/>
      <c r="FW303" s="375"/>
      <c r="FX303" s="322"/>
      <c r="FY303" s="335"/>
      <c r="FZ303" s="339"/>
      <c r="GA303" s="335"/>
      <c r="GB303" s="335"/>
      <c r="GC303" s="322"/>
      <c r="GD303" s="335"/>
      <c r="GE303" s="339"/>
      <c r="GF303" s="335"/>
      <c r="GG303" s="335"/>
      <c r="GH303" s="335"/>
      <c r="GI303" s="335"/>
      <c r="GJ303" s="340"/>
      <c r="GK303" s="461" t="e">
        <f t="shared" si="1637"/>
        <v>#DIV/0!</v>
      </c>
    </row>
    <row r="304" spans="2:193" ht="14.25" hidden="1" customHeight="1" x14ac:dyDescent="0.3">
      <c r="M304" s="719" t="s">
        <v>287</v>
      </c>
      <c r="N304" s="720"/>
      <c r="O304" s="483"/>
      <c r="P304" s="483"/>
      <c r="Q304" s="483"/>
      <c r="R304" s="483"/>
      <c r="S304" s="483"/>
      <c r="T304" s="483"/>
      <c r="U304" s="483"/>
      <c r="V304" s="3">
        <f>V305+V306</f>
        <v>0</v>
      </c>
      <c r="W304" s="197"/>
      <c r="X304" s="3">
        <f>X305+X306</f>
        <v>0</v>
      </c>
      <c r="Y304" s="3"/>
      <c r="Z304" s="3"/>
      <c r="AA304" s="239"/>
      <c r="AB304" s="3">
        <f>AB305+AB306</f>
        <v>0</v>
      </c>
      <c r="AC304" s="197"/>
      <c r="AD304" s="3">
        <f>AD305+AD306</f>
        <v>0</v>
      </c>
      <c r="AE304" s="3"/>
      <c r="AF304" s="3"/>
      <c r="AG304" s="239"/>
      <c r="AH304" s="152"/>
      <c r="AI304" s="150">
        <f>AI305+AI306</f>
        <v>0</v>
      </c>
      <c r="AJ304" s="146"/>
      <c r="AK304" s="150">
        <f>AK305+AK306</f>
        <v>0</v>
      </c>
      <c r="AL304" s="152"/>
      <c r="AM304" s="152"/>
      <c r="AN304" s="150">
        <f>AN305+AN306</f>
        <v>0</v>
      </c>
      <c r="AO304" s="146"/>
      <c r="AP304" s="150">
        <f>AP305+AP306</f>
        <v>0</v>
      </c>
      <c r="AQ304" s="152"/>
      <c r="AR304" s="152"/>
      <c r="AS304" s="150">
        <f>AS305+AS306</f>
        <v>0</v>
      </c>
      <c r="AT304" s="146"/>
      <c r="AU304" s="150">
        <f>AU305+AU306</f>
        <v>0</v>
      </c>
      <c r="AV304" s="152"/>
      <c r="AW304" s="152"/>
      <c r="AX304" s="419"/>
      <c r="AY304" s="3">
        <f>AY305+AY306</f>
        <v>0</v>
      </c>
      <c r="AZ304" s="92"/>
      <c r="BA304" s="3">
        <f>BA305+BA306</f>
        <v>0</v>
      </c>
      <c r="BB304" s="3"/>
      <c r="BC304" s="3"/>
      <c r="BD304" s="92"/>
      <c r="BE304" s="92"/>
      <c r="BF304" s="23" t="e">
        <f t="shared" si="1769"/>
        <v>#REF!</v>
      </c>
      <c r="BG304" s="2" t="e">
        <f>#REF!-AZ304</f>
        <v>#REF!</v>
      </c>
      <c r="BH304" s="2" t="e">
        <f>#REF!-BA304</f>
        <v>#REF!</v>
      </c>
      <c r="BI304" s="2"/>
      <c r="BJ304" s="2"/>
      <c r="BK304" s="2" t="e">
        <f>#REF!-BD304</f>
        <v>#REF!</v>
      </c>
      <c r="BL304" s="2" t="e">
        <f>#REF!-BE304</f>
        <v>#REF!</v>
      </c>
      <c r="BM304" s="3">
        <f>BM305+BM306</f>
        <v>0</v>
      </c>
      <c r="BN304" s="92"/>
      <c r="BO304" s="3">
        <f>BO305+BO306</f>
        <v>0</v>
      </c>
      <c r="BP304" s="92"/>
      <c r="BQ304" s="92"/>
      <c r="BR304" s="3">
        <f>BR305+BR306</f>
        <v>0</v>
      </c>
      <c r="BS304" s="280"/>
      <c r="BT304" s="3">
        <f>BT305+BT306</f>
        <v>0</v>
      </c>
      <c r="BU304" s="280"/>
      <c r="BV304" s="280"/>
      <c r="BW304" s="3">
        <f>BW305+BW306</f>
        <v>0</v>
      </c>
      <c r="BX304" s="92"/>
      <c r="BY304" s="3">
        <f>BY305+BY306</f>
        <v>0</v>
      </c>
      <c r="BZ304" s="3"/>
      <c r="CA304" s="3"/>
      <c r="CB304" s="92"/>
      <c r="CC304" s="92"/>
      <c r="CD304" s="3">
        <f>CD305+CD306</f>
        <v>0</v>
      </c>
      <c r="CE304" s="92"/>
      <c r="CF304" s="3">
        <f>CF305+CF306</f>
        <v>0</v>
      </c>
      <c r="CG304" s="3"/>
      <c r="CH304" s="3"/>
      <c r="CI304" s="92"/>
      <c r="CJ304" s="153"/>
      <c r="CK304" s="3">
        <f>CK305+CK306</f>
        <v>0</v>
      </c>
      <c r="CL304" s="280"/>
      <c r="CM304" s="280">
        <f>CM305+CM306</f>
        <v>0</v>
      </c>
      <c r="CN304" s="280"/>
      <c r="CO304" s="280"/>
      <c r="CP304" s="280"/>
      <c r="CQ304" s="280"/>
      <c r="CR304" s="281">
        <f t="shared" si="1644"/>
        <v>0</v>
      </c>
      <c r="CS304" s="3">
        <f t="shared" si="1645"/>
        <v>0</v>
      </c>
      <c r="CT304" s="280">
        <f t="shared" si="1646"/>
        <v>0</v>
      </c>
      <c r="CU304" s="280">
        <f t="shared" si="1647"/>
        <v>0</v>
      </c>
      <c r="CV304" s="280">
        <f t="shared" si="1648"/>
        <v>0</v>
      </c>
      <c r="CW304" s="280"/>
      <c r="CX304" s="3">
        <f t="shared" ca="1" si="1691"/>
        <v>0</v>
      </c>
      <c r="CY304" s="280">
        <f t="shared" si="1649"/>
        <v>0</v>
      </c>
      <c r="CZ304" s="3">
        <f t="shared" si="1650"/>
        <v>0</v>
      </c>
      <c r="DA304" s="280">
        <f t="shared" si="1651"/>
        <v>0</v>
      </c>
      <c r="DB304" s="280"/>
      <c r="DF304" s="3">
        <f>DF305+DF306</f>
        <v>0</v>
      </c>
      <c r="DG304" s="280"/>
      <c r="DH304" s="3">
        <f>DH305+DH306</f>
        <v>0</v>
      </c>
      <c r="DI304" s="280"/>
      <c r="DJ304" s="280"/>
      <c r="DK304" s="3">
        <f>DK305+DK306</f>
        <v>0</v>
      </c>
      <c r="DL304" s="280"/>
      <c r="DM304" s="3">
        <f>DM305+DM306</f>
        <v>0</v>
      </c>
      <c r="DN304" s="280"/>
      <c r="DO304" s="280"/>
      <c r="DP304" s="3">
        <f>DP305+DP306</f>
        <v>0</v>
      </c>
      <c r="DQ304" s="280"/>
      <c r="DR304" s="280"/>
      <c r="DS304" s="280"/>
      <c r="DT304" s="280"/>
      <c r="DU304" s="15"/>
      <c r="DV304" s="15"/>
      <c r="DW304" s="15"/>
      <c r="DX304" s="242"/>
      <c r="DY304" s="76"/>
      <c r="DZ304" s="76"/>
      <c r="EA304" s="243"/>
      <c r="EB304" s="15"/>
      <c r="EC304" s="46"/>
      <c r="ED304" s="46"/>
      <c r="EE304" s="46"/>
      <c r="EF304" s="46"/>
      <c r="EG304" s="15"/>
      <c r="EH304" s="15"/>
      <c r="EI304" s="3">
        <f>EI305+EI306</f>
        <v>0</v>
      </c>
      <c r="EJ304" s="92"/>
      <c r="EK304" s="3">
        <f>EK305+EK306</f>
        <v>0</v>
      </c>
      <c r="EL304" s="3"/>
      <c r="EM304" s="3"/>
      <c r="EN304" s="92"/>
      <c r="EO304" s="92"/>
      <c r="EP304" s="3">
        <f>EP305+EP306</f>
        <v>0</v>
      </c>
      <c r="EQ304" s="280"/>
      <c r="ER304" s="280">
        <f>ER305+ER306</f>
        <v>0</v>
      </c>
      <c r="ES304" s="94"/>
      <c r="ET304" s="94"/>
      <c r="EU304" s="280"/>
      <c r="EV304" s="229"/>
      <c r="EW304" s="309"/>
      <c r="EX304" s="335"/>
      <c r="EY304" s="330"/>
      <c r="EZ304" s="335"/>
      <c r="FA304" s="335"/>
      <c r="FB304" s="309"/>
      <c r="FC304" s="335"/>
      <c r="FD304" s="330"/>
      <c r="FE304" s="335"/>
      <c r="FF304" s="335"/>
      <c r="FG304" s="335"/>
      <c r="FH304" s="335"/>
      <c r="FI304" s="335"/>
      <c r="FJ304" s="92"/>
      <c r="FK304" s="352"/>
      <c r="FL304" s="375"/>
      <c r="FM304" s="367"/>
      <c r="FN304" s="375"/>
      <c r="FO304" s="375"/>
      <c r="FP304" s="352"/>
      <c r="FQ304" s="375"/>
      <c r="FR304" s="367"/>
      <c r="FS304" s="375"/>
      <c r="FT304" s="375"/>
      <c r="FU304" s="375"/>
      <c r="FV304" s="375"/>
      <c r="FW304" s="375"/>
      <c r="FX304" s="309"/>
      <c r="FY304" s="335"/>
      <c r="FZ304" s="330"/>
      <c r="GA304" s="335"/>
      <c r="GB304" s="335"/>
      <c r="GC304" s="309"/>
      <c r="GD304" s="335"/>
      <c r="GE304" s="330"/>
      <c r="GF304" s="335"/>
      <c r="GG304" s="335"/>
      <c r="GH304" s="335"/>
      <c r="GI304" s="335"/>
      <c r="GJ304" s="340"/>
      <c r="GK304" s="461" t="e">
        <f t="shared" si="1637"/>
        <v>#DIV/0!</v>
      </c>
    </row>
    <row r="305" spans="2:193" ht="14.25" hidden="1" customHeight="1" x14ac:dyDescent="0.3">
      <c r="M305" s="101"/>
      <c r="N305" s="66" t="s">
        <v>284</v>
      </c>
      <c r="O305" s="66"/>
      <c r="P305" s="66"/>
      <c r="Q305" s="66"/>
      <c r="R305" s="66"/>
      <c r="S305" s="66"/>
      <c r="T305" s="66"/>
      <c r="U305" s="66"/>
      <c r="V305" s="23"/>
      <c r="W305" s="197"/>
      <c r="X305" s="23"/>
      <c r="Y305" s="23"/>
      <c r="Z305" s="23"/>
      <c r="AA305" s="239"/>
      <c r="AB305" s="23"/>
      <c r="AC305" s="197"/>
      <c r="AD305" s="23"/>
      <c r="AE305" s="23"/>
      <c r="AF305" s="23"/>
      <c r="AG305" s="239"/>
      <c r="AH305" s="152"/>
      <c r="AI305" s="143"/>
      <c r="AJ305" s="146"/>
      <c r="AK305" s="143"/>
      <c r="AL305" s="152"/>
      <c r="AM305" s="152"/>
      <c r="AN305" s="143"/>
      <c r="AO305" s="146"/>
      <c r="AP305" s="143"/>
      <c r="AQ305" s="152"/>
      <c r="AR305" s="152"/>
      <c r="AS305" s="143"/>
      <c r="AT305" s="146"/>
      <c r="AU305" s="143"/>
      <c r="AV305" s="152"/>
      <c r="AW305" s="152"/>
      <c r="AX305" s="419"/>
      <c r="AY305" s="23"/>
      <c r="AZ305" s="92"/>
      <c r="BA305" s="23"/>
      <c r="BB305" s="23"/>
      <c r="BC305" s="23"/>
      <c r="BD305" s="92"/>
      <c r="BE305" s="92"/>
      <c r="BF305" s="23" t="e">
        <f t="shared" si="1769"/>
        <v>#REF!</v>
      </c>
      <c r="BG305" s="2" t="e">
        <f>#REF!-AZ305</f>
        <v>#REF!</v>
      </c>
      <c r="BH305" s="2" t="e">
        <f>#REF!-BA305</f>
        <v>#REF!</v>
      </c>
      <c r="BI305" s="2"/>
      <c r="BJ305" s="2"/>
      <c r="BK305" s="2" t="e">
        <f>#REF!-BD305</f>
        <v>#REF!</v>
      </c>
      <c r="BL305" s="2" t="e">
        <f>#REF!-BE305</f>
        <v>#REF!</v>
      </c>
      <c r="BM305" s="23"/>
      <c r="BN305" s="92"/>
      <c r="BO305" s="23"/>
      <c r="BP305" s="92"/>
      <c r="BQ305" s="92"/>
      <c r="BR305" s="23"/>
      <c r="BS305" s="280"/>
      <c r="BT305" s="23"/>
      <c r="BU305" s="280"/>
      <c r="BV305" s="280"/>
      <c r="BW305" s="23"/>
      <c r="BX305" s="92"/>
      <c r="BY305" s="23"/>
      <c r="BZ305" s="23"/>
      <c r="CA305" s="23"/>
      <c r="CB305" s="92"/>
      <c r="CC305" s="92"/>
      <c r="CD305" s="23"/>
      <c r="CE305" s="92"/>
      <c r="CF305" s="23"/>
      <c r="CG305" s="23"/>
      <c r="CH305" s="23"/>
      <c r="CI305" s="92"/>
      <c r="CJ305" s="153"/>
      <c r="CK305" s="23"/>
      <c r="CL305" s="280"/>
      <c r="CM305" s="280"/>
      <c r="CN305" s="280"/>
      <c r="CO305" s="280"/>
      <c r="CP305" s="280"/>
      <c r="CQ305" s="280"/>
      <c r="CR305" s="281">
        <f t="shared" si="1644"/>
        <v>0</v>
      </c>
      <c r="CS305" s="23">
        <f t="shared" si="1645"/>
        <v>0</v>
      </c>
      <c r="CT305" s="280">
        <f t="shared" si="1646"/>
        <v>0</v>
      </c>
      <c r="CU305" s="280">
        <f t="shared" si="1647"/>
        <v>0</v>
      </c>
      <c r="CV305" s="280">
        <f t="shared" si="1648"/>
        <v>0</v>
      </c>
      <c r="CW305" s="280"/>
      <c r="CX305" s="2">
        <f t="shared" ca="1" si="1691"/>
        <v>0</v>
      </c>
      <c r="CY305" s="2">
        <f t="shared" si="1649"/>
        <v>0</v>
      </c>
      <c r="CZ305" s="2">
        <f t="shared" si="1650"/>
        <v>0</v>
      </c>
      <c r="DA305" s="2">
        <f t="shared" si="1651"/>
        <v>0</v>
      </c>
      <c r="DB305" s="2"/>
      <c r="DF305" s="23"/>
      <c r="DG305" s="280"/>
      <c r="DH305" s="23"/>
      <c r="DI305" s="280"/>
      <c r="DJ305" s="280"/>
      <c r="DK305" s="23"/>
      <c r="DL305" s="280"/>
      <c r="DM305" s="23"/>
      <c r="DN305" s="280"/>
      <c r="DO305" s="280"/>
      <c r="DP305" s="23"/>
      <c r="DQ305" s="280"/>
      <c r="DR305" s="280"/>
      <c r="DS305" s="280"/>
      <c r="DT305" s="280"/>
      <c r="DU305" s="15"/>
      <c r="DV305" s="15"/>
      <c r="DW305" s="15"/>
      <c r="DX305" s="242"/>
      <c r="DY305" s="76"/>
      <c r="DZ305" s="76"/>
      <c r="EA305" s="243"/>
      <c r="EB305" s="15"/>
      <c r="EC305" s="46"/>
      <c r="ED305" s="46"/>
      <c r="EE305" s="46"/>
      <c r="EF305" s="46"/>
      <c r="EG305" s="15"/>
      <c r="EH305" s="15"/>
      <c r="EI305" s="23">
        <f>EK305</f>
        <v>0</v>
      </c>
      <c r="EJ305" s="92"/>
      <c r="EK305" s="23"/>
      <c r="EL305" s="23"/>
      <c r="EM305" s="23"/>
      <c r="EN305" s="92"/>
      <c r="EO305" s="92"/>
      <c r="EP305" s="23">
        <f>ER305</f>
        <v>0</v>
      </c>
      <c r="EQ305" s="280"/>
      <c r="ER305" s="280"/>
      <c r="ES305" s="195"/>
      <c r="ET305" s="195"/>
      <c r="EU305" s="280"/>
      <c r="EV305" s="229"/>
      <c r="EW305" s="322"/>
      <c r="EX305" s="335"/>
      <c r="EY305" s="339"/>
      <c r="EZ305" s="335"/>
      <c r="FA305" s="335"/>
      <c r="FB305" s="322"/>
      <c r="FC305" s="335"/>
      <c r="FD305" s="339"/>
      <c r="FE305" s="335"/>
      <c r="FF305" s="335"/>
      <c r="FG305" s="335"/>
      <c r="FH305" s="335"/>
      <c r="FI305" s="335"/>
      <c r="FJ305" s="92"/>
      <c r="FK305" s="360"/>
      <c r="FL305" s="375"/>
      <c r="FM305" s="376"/>
      <c r="FN305" s="375"/>
      <c r="FO305" s="375"/>
      <c r="FP305" s="360"/>
      <c r="FQ305" s="375"/>
      <c r="FR305" s="376"/>
      <c r="FS305" s="375"/>
      <c r="FT305" s="375"/>
      <c r="FU305" s="375"/>
      <c r="FV305" s="375"/>
      <c r="FW305" s="375"/>
      <c r="FX305" s="322"/>
      <c r="FY305" s="335"/>
      <c r="FZ305" s="339"/>
      <c r="GA305" s="335"/>
      <c r="GB305" s="335"/>
      <c r="GC305" s="322"/>
      <c r="GD305" s="335"/>
      <c r="GE305" s="339"/>
      <c r="GF305" s="335"/>
      <c r="GG305" s="335"/>
      <c r="GH305" s="335"/>
      <c r="GI305" s="335"/>
      <c r="GJ305" s="340"/>
      <c r="GK305" s="461" t="e">
        <f t="shared" si="1637"/>
        <v>#DIV/0!</v>
      </c>
    </row>
    <row r="306" spans="2:193" ht="14.25" hidden="1" customHeight="1" x14ac:dyDescent="0.3">
      <c r="M306" s="101"/>
      <c r="N306" s="66" t="s">
        <v>283</v>
      </c>
      <c r="O306" s="66"/>
      <c r="P306" s="66"/>
      <c r="Q306" s="66"/>
      <c r="R306" s="66"/>
      <c r="S306" s="66"/>
      <c r="T306" s="66"/>
      <c r="U306" s="66"/>
      <c r="V306" s="23"/>
      <c r="W306" s="197"/>
      <c r="X306" s="23"/>
      <c r="Y306" s="23"/>
      <c r="Z306" s="23"/>
      <c r="AA306" s="239"/>
      <c r="AB306" s="23"/>
      <c r="AC306" s="197"/>
      <c r="AD306" s="23"/>
      <c r="AE306" s="23"/>
      <c r="AF306" s="23"/>
      <c r="AG306" s="239"/>
      <c r="AH306" s="152"/>
      <c r="AI306" s="143"/>
      <c r="AJ306" s="146"/>
      <c r="AK306" s="143"/>
      <c r="AL306" s="152"/>
      <c r="AM306" s="152"/>
      <c r="AN306" s="143"/>
      <c r="AO306" s="146"/>
      <c r="AP306" s="143"/>
      <c r="AQ306" s="152"/>
      <c r="AR306" s="152"/>
      <c r="AS306" s="143"/>
      <c r="AT306" s="146"/>
      <c r="AU306" s="143"/>
      <c r="AV306" s="152"/>
      <c r="AW306" s="152"/>
      <c r="AX306" s="419"/>
      <c r="AY306" s="23"/>
      <c r="AZ306" s="92"/>
      <c r="BA306" s="23"/>
      <c r="BB306" s="23"/>
      <c r="BC306" s="23"/>
      <c r="BD306" s="92"/>
      <c r="BE306" s="92"/>
      <c r="BF306" s="23"/>
      <c r="BG306" s="92"/>
      <c r="BH306" s="92" t="e">
        <f>#REF!-BA306</f>
        <v>#REF!</v>
      </c>
      <c r="BI306" s="92"/>
      <c r="BJ306" s="92"/>
      <c r="BK306" s="92"/>
      <c r="BL306" s="92"/>
      <c r="BM306" s="23"/>
      <c r="BN306" s="92"/>
      <c r="BO306" s="23"/>
      <c r="BP306" s="92"/>
      <c r="BQ306" s="92"/>
      <c r="BR306" s="23"/>
      <c r="BS306" s="280"/>
      <c r="BT306" s="23"/>
      <c r="BU306" s="280"/>
      <c r="BV306" s="280"/>
      <c r="BW306" s="23"/>
      <c r="BX306" s="92"/>
      <c r="BY306" s="23"/>
      <c r="BZ306" s="23"/>
      <c r="CA306" s="23"/>
      <c r="CB306" s="92"/>
      <c r="CC306" s="92"/>
      <c r="CD306" s="23"/>
      <c r="CE306" s="92"/>
      <c r="CF306" s="23"/>
      <c r="CG306" s="23"/>
      <c r="CH306" s="23"/>
      <c r="CI306" s="92"/>
      <c r="CJ306" s="153"/>
      <c r="CK306" s="23"/>
      <c r="CL306" s="280"/>
      <c r="CM306" s="280"/>
      <c r="CN306" s="280"/>
      <c r="CO306" s="280"/>
      <c r="CP306" s="280"/>
      <c r="CQ306" s="280"/>
      <c r="CR306" s="281">
        <f t="shared" si="1644"/>
        <v>0</v>
      </c>
      <c r="CS306" s="23">
        <f t="shared" si="1645"/>
        <v>0</v>
      </c>
      <c r="CT306" s="280">
        <f t="shared" si="1646"/>
        <v>0</v>
      </c>
      <c r="CU306" s="280">
        <f t="shared" si="1647"/>
        <v>0</v>
      </c>
      <c r="CV306" s="280">
        <f t="shared" si="1648"/>
        <v>0</v>
      </c>
      <c r="CW306" s="280"/>
      <c r="CX306" s="2">
        <f t="shared" ca="1" si="1691"/>
        <v>0</v>
      </c>
      <c r="CY306" s="2">
        <f t="shared" si="1649"/>
        <v>0</v>
      </c>
      <c r="CZ306" s="2">
        <f t="shared" si="1650"/>
        <v>0</v>
      </c>
      <c r="DA306" s="2">
        <f t="shared" si="1651"/>
        <v>0</v>
      </c>
      <c r="DB306" s="2"/>
      <c r="DF306" s="23"/>
      <c r="DG306" s="280"/>
      <c r="DH306" s="23"/>
      <c r="DI306" s="280"/>
      <c r="DJ306" s="280"/>
      <c r="DK306" s="23"/>
      <c r="DL306" s="280"/>
      <c r="DM306" s="23"/>
      <c r="DN306" s="280"/>
      <c r="DO306" s="280"/>
      <c r="DP306" s="23"/>
      <c r="DQ306" s="280"/>
      <c r="DR306" s="280"/>
      <c r="DS306" s="280"/>
      <c r="DT306" s="280"/>
      <c r="DU306" s="15"/>
      <c r="DV306" s="15"/>
      <c r="DW306" s="15"/>
      <c r="DX306" s="242"/>
      <c r="DY306" s="76"/>
      <c r="DZ306" s="76"/>
      <c r="EA306" s="243"/>
      <c r="EB306" s="15"/>
      <c r="EC306" s="46"/>
      <c r="ED306" s="46"/>
      <c r="EE306" s="46"/>
      <c r="EF306" s="46"/>
      <c r="EG306" s="15"/>
      <c r="EH306" s="15"/>
      <c r="EI306" s="23"/>
      <c r="EJ306" s="92"/>
      <c r="EK306" s="23"/>
      <c r="EL306" s="23"/>
      <c r="EM306" s="23"/>
      <c r="EN306" s="92"/>
      <c r="EO306" s="92"/>
      <c r="EP306" s="23"/>
      <c r="EQ306" s="280"/>
      <c r="ER306" s="280"/>
      <c r="ES306" s="195"/>
      <c r="ET306" s="195"/>
      <c r="EU306" s="280"/>
      <c r="EV306" s="229"/>
      <c r="EW306" s="322"/>
      <c r="EX306" s="335"/>
      <c r="EY306" s="339"/>
      <c r="EZ306" s="335"/>
      <c r="FA306" s="335"/>
      <c r="FB306" s="322"/>
      <c r="FC306" s="335"/>
      <c r="FD306" s="339"/>
      <c r="FE306" s="335"/>
      <c r="FF306" s="335"/>
      <c r="FG306" s="335"/>
      <c r="FH306" s="335"/>
      <c r="FI306" s="335"/>
      <c r="FJ306" s="92"/>
      <c r="FK306" s="360"/>
      <c r="FL306" s="375"/>
      <c r="FM306" s="376"/>
      <c r="FN306" s="375"/>
      <c r="FO306" s="375"/>
      <c r="FP306" s="360"/>
      <c r="FQ306" s="375"/>
      <c r="FR306" s="376"/>
      <c r="FS306" s="375"/>
      <c r="FT306" s="375"/>
      <c r="FU306" s="375"/>
      <c r="FV306" s="375"/>
      <c r="FW306" s="375"/>
      <c r="FX306" s="322"/>
      <c r="FY306" s="335"/>
      <c r="FZ306" s="339"/>
      <c r="GA306" s="335"/>
      <c r="GB306" s="335"/>
      <c r="GC306" s="322"/>
      <c r="GD306" s="335"/>
      <c r="GE306" s="339"/>
      <c r="GF306" s="335"/>
      <c r="GG306" s="335"/>
      <c r="GH306" s="335"/>
      <c r="GI306" s="335"/>
      <c r="GJ306" s="340"/>
      <c r="GK306" s="461" t="e">
        <f t="shared" si="1637"/>
        <v>#DIV/0!</v>
      </c>
    </row>
    <row r="307" spans="2:193" ht="14.25" hidden="1" customHeight="1" x14ac:dyDescent="0.3">
      <c r="M307" s="101"/>
      <c r="N307" s="155"/>
      <c r="O307" s="155"/>
      <c r="P307" s="155"/>
      <c r="Q307" s="155"/>
      <c r="R307" s="155"/>
      <c r="S307" s="155"/>
      <c r="T307" s="155"/>
      <c r="U307" s="155"/>
      <c r="V307" s="3"/>
      <c r="W307" s="197"/>
      <c r="X307" s="239"/>
      <c r="Y307" s="239"/>
      <c r="Z307" s="239"/>
      <c r="AA307" s="239"/>
      <c r="AB307" s="3"/>
      <c r="AC307" s="197"/>
      <c r="AD307" s="239"/>
      <c r="AE307" s="239"/>
      <c r="AF307" s="239"/>
      <c r="AG307" s="239"/>
      <c r="AH307" s="152"/>
      <c r="AI307" s="150"/>
      <c r="AJ307" s="146"/>
      <c r="AK307" s="152"/>
      <c r="AL307" s="152"/>
      <c r="AM307" s="152"/>
      <c r="AN307" s="150"/>
      <c r="AO307" s="146"/>
      <c r="AP307" s="152"/>
      <c r="AQ307" s="152"/>
      <c r="AR307" s="152"/>
      <c r="AS307" s="150"/>
      <c r="AT307" s="146"/>
      <c r="AU307" s="152"/>
      <c r="AV307" s="152"/>
      <c r="AW307" s="152"/>
      <c r="AX307" s="419"/>
      <c r="AY307" s="280"/>
      <c r="AZ307" s="92"/>
      <c r="BA307" s="92"/>
      <c r="BB307" s="92"/>
      <c r="BC307" s="92"/>
      <c r="BD307" s="92"/>
      <c r="BE307" s="92"/>
      <c r="BF307" s="92"/>
      <c r="BG307" s="92"/>
      <c r="BH307" s="92"/>
      <c r="BI307" s="92"/>
      <c r="BJ307" s="92"/>
      <c r="BK307" s="92"/>
      <c r="BL307" s="92"/>
      <c r="BM307" s="92"/>
      <c r="BN307" s="92"/>
      <c r="BO307" s="92"/>
      <c r="BP307" s="92"/>
      <c r="BQ307" s="92"/>
      <c r="BR307" s="280"/>
      <c r="BS307" s="280"/>
      <c r="BT307" s="280"/>
      <c r="BU307" s="280"/>
      <c r="BV307" s="280"/>
      <c r="BW307" s="92"/>
      <c r="BX307" s="92"/>
      <c r="BY307" s="92"/>
      <c r="BZ307" s="92"/>
      <c r="CA307" s="92"/>
      <c r="CB307" s="92"/>
      <c r="CC307" s="92"/>
      <c r="CD307" s="280"/>
      <c r="CE307" s="92"/>
      <c r="CF307" s="92"/>
      <c r="CG307" s="92"/>
      <c r="CH307" s="92"/>
      <c r="CI307" s="92"/>
      <c r="CJ307" s="153"/>
      <c r="CK307" s="280"/>
      <c r="CL307" s="280"/>
      <c r="CM307" s="280"/>
      <c r="CN307" s="280"/>
      <c r="CO307" s="280"/>
      <c r="CP307" s="280"/>
      <c r="CQ307" s="280"/>
      <c r="CR307" s="281">
        <f t="shared" si="1644"/>
        <v>0</v>
      </c>
      <c r="CS307" s="280">
        <f t="shared" si="1645"/>
        <v>0</v>
      </c>
      <c r="CT307" s="280">
        <f t="shared" si="1646"/>
        <v>0</v>
      </c>
      <c r="CU307" s="280">
        <f t="shared" si="1647"/>
        <v>0</v>
      </c>
      <c r="CV307" s="280">
        <f t="shared" si="1648"/>
        <v>0</v>
      </c>
      <c r="CW307" s="280"/>
      <c r="CX307" s="280">
        <f t="shared" ca="1" si="1691"/>
        <v>0</v>
      </c>
      <c r="CY307" s="280">
        <f t="shared" si="1649"/>
        <v>0</v>
      </c>
      <c r="CZ307" s="280">
        <f t="shared" si="1650"/>
        <v>0</v>
      </c>
      <c r="DA307" s="280">
        <f t="shared" si="1651"/>
        <v>0</v>
      </c>
      <c r="DB307" s="280"/>
      <c r="DF307" s="280"/>
      <c r="DG307" s="280"/>
      <c r="DH307" s="280"/>
      <c r="DI307" s="280"/>
      <c r="DJ307" s="280"/>
      <c r="DK307" s="280"/>
      <c r="DL307" s="280"/>
      <c r="DM307" s="280"/>
      <c r="DN307" s="280"/>
      <c r="DO307" s="280"/>
      <c r="DP307" s="280"/>
      <c r="DQ307" s="280"/>
      <c r="DR307" s="280"/>
      <c r="DS307" s="280"/>
      <c r="DT307" s="280"/>
      <c r="DU307" s="15"/>
      <c r="DV307" s="15"/>
      <c r="DW307" s="15"/>
      <c r="DX307" s="242"/>
      <c r="DY307" s="76"/>
      <c r="DZ307" s="76"/>
      <c r="EA307" s="243"/>
      <c r="EB307" s="15"/>
      <c r="EC307" s="46"/>
      <c r="ED307" s="46"/>
      <c r="EE307" s="46"/>
      <c r="EF307" s="46"/>
      <c r="EG307" s="15"/>
      <c r="EH307" s="15"/>
      <c r="EI307" s="92"/>
      <c r="EJ307" s="92"/>
      <c r="EK307" s="92"/>
      <c r="EL307" s="92"/>
      <c r="EM307" s="92"/>
      <c r="EN307" s="92"/>
      <c r="EO307" s="92"/>
      <c r="EP307" s="92"/>
      <c r="EQ307" s="280"/>
      <c r="ER307" s="280"/>
      <c r="ES307" s="194"/>
      <c r="ET307" s="194"/>
      <c r="EU307" s="280"/>
      <c r="EV307" s="229"/>
      <c r="EW307" s="335"/>
      <c r="EX307" s="335"/>
      <c r="EY307" s="340"/>
      <c r="EZ307" s="335"/>
      <c r="FA307" s="335"/>
      <c r="FB307" s="335"/>
      <c r="FC307" s="335"/>
      <c r="FD307" s="340"/>
      <c r="FE307" s="335"/>
      <c r="FF307" s="335"/>
      <c r="FG307" s="335"/>
      <c r="FH307" s="335"/>
      <c r="FI307" s="335"/>
      <c r="FJ307" s="92"/>
      <c r="FK307" s="375"/>
      <c r="FL307" s="375"/>
      <c r="FM307" s="377"/>
      <c r="FN307" s="375"/>
      <c r="FO307" s="375"/>
      <c r="FP307" s="375"/>
      <c r="FQ307" s="375"/>
      <c r="FR307" s="377"/>
      <c r="FS307" s="375"/>
      <c r="FT307" s="375"/>
      <c r="FU307" s="375"/>
      <c r="FV307" s="375"/>
      <c r="FW307" s="375"/>
      <c r="FX307" s="335"/>
      <c r="FY307" s="335"/>
      <c r="FZ307" s="340"/>
      <c r="GA307" s="335"/>
      <c r="GB307" s="335"/>
      <c r="GC307" s="335"/>
      <c r="GD307" s="335"/>
      <c r="GE307" s="340"/>
      <c r="GF307" s="335"/>
      <c r="GG307" s="335"/>
      <c r="GH307" s="335"/>
      <c r="GI307" s="335"/>
      <c r="GJ307" s="340"/>
      <c r="GK307" s="461" t="e">
        <f t="shared" si="1637"/>
        <v>#DIV/0!</v>
      </c>
    </row>
    <row r="308" spans="2:193" ht="15.75" hidden="1" customHeight="1" x14ac:dyDescent="0.25">
      <c r="M308" s="715" t="s">
        <v>280</v>
      </c>
      <c r="N308" s="716"/>
      <c r="O308" s="485"/>
      <c r="P308" s="485"/>
      <c r="Q308" s="485"/>
      <c r="R308" s="485"/>
      <c r="S308" s="485"/>
      <c r="T308" s="485"/>
      <c r="U308" s="485"/>
      <c r="V308" s="57">
        <f t="shared" ref="V308:X308" si="1770">V294+V298</f>
        <v>1497775.2146999999</v>
      </c>
      <c r="W308" s="57">
        <f t="shared" si="1770"/>
        <v>225766.18290000001</v>
      </c>
      <c r="X308" s="57">
        <f t="shared" si="1770"/>
        <v>720855.7</v>
      </c>
      <c r="Y308" s="57"/>
      <c r="Z308" s="57"/>
      <c r="AA308" s="57">
        <f t="shared" ref="AA308" si="1771">AA294+AA298</f>
        <v>551153.33180000004</v>
      </c>
      <c r="AB308" s="57">
        <f t="shared" ref="AB308:AH308" si="1772">AB294+AB298</f>
        <v>1497775.1961600001</v>
      </c>
      <c r="AC308" s="57">
        <f t="shared" si="1772"/>
        <v>225766.16436</v>
      </c>
      <c r="AD308" s="57">
        <f t="shared" si="1772"/>
        <v>720855.7</v>
      </c>
      <c r="AE308" s="57"/>
      <c r="AF308" s="57"/>
      <c r="AG308" s="57">
        <f t="shared" ref="AG308" si="1773">AG294+AG298</f>
        <v>551153.33180000004</v>
      </c>
      <c r="AH308" s="140">
        <f t="shared" si="1772"/>
        <v>0</v>
      </c>
      <c r="AI308" s="140">
        <f t="shared" ref="AI308:AM308" si="1774">AI294+AI298</f>
        <v>713429.13100000005</v>
      </c>
      <c r="AJ308" s="140">
        <f t="shared" si="1774"/>
        <v>434727.951</v>
      </c>
      <c r="AK308" s="140">
        <f t="shared" si="1774"/>
        <v>102879</v>
      </c>
      <c r="AL308" s="140">
        <f t="shared" si="1774"/>
        <v>175822.18</v>
      </c>
      <c r="AM308" s="140">
        <f t="shared" si="1774"/>
        <v>0</v>
      </c>
      <c r="AN308" s="140">
        <f t="shared" ref="AN308:AR308" si="1775">AN294+AN298</f>
        <v>817193.18799999985</v>
      </c>
      <c r="AO308" s="140">
        <f t="shared" si="1775"/>
        <v>510805.45099999994</v>
      </c>
      <c r="AP308" s="140">
        <f t="shared" si="1775"/>
        <v>102879</v>
      </c>
      <c r="AQ308" s="140">
        <f t="shared" si="1775"/>
        <v>203508.73699999999</v>
      </c>
      <c r="AR308" s="140">
        <f t="shared" si="1775"/>
        <v>0</v>
      </c>
      <c r="AS308" s="140">
        <f t="shared" ref="AS308:CQ308" si="1776">AS294+AS298</f>
        <v>500208.04399999994</v>
      </c>
      <c r="AT308" s="140">
        <f t="shared" si="1776"/>
        <v>345126.65799999994</v>
      </c>
      <c r="AU308" s="140">
        <f t="shared" si="1776"/>
        <v>44730</v>
      </c>
      <c r="AV308" s="140">
        <f t="shared" si="1776"/>
        <v>110351.386</v>
      </c>
      <c r="AW308" s="140">
        <f t="shared" si="1776"/>
        <v>0</v>
      </c>
      <c r="AX308" s="414">
        <f t="shared" si="1776"/>
        <v>0</v>
      </c>
      <c r="AY308" s="57">
        <f t="shared" si="1776"/>
        <v>1490950.9526200001</v>
      </c>
      <c r="AZ308" s="3">
        <f t="shared" si="1776"/>
        <v>225766.182</v>
      </c>
      <c r="BA308" s="3">
        <f t="shared" si="1776"/>
        <v>716239.26753999991</v>
      </c>
      <c r="BB308" s="3"/>
      <c r="BC308" s="3"/>
      <c r="BD308" s="3">
        <f t="shared" si="1776"/>
        <v>548945.50308000005</v>
      </c>
      <c r="BE308" s="3">
        <f t="shared" si="1776"/>
        <v>0</v>
      </c>
      <c r="BF308" s="3" t="e">
        <f t="shared" si="1776"/>
        <v>#REF!</v>
      </c>
      <c r="BG308" s="3" t="e">
        <f t="shared" si="1776"/>
        <v>#REF!</v>
      </c>
      <c r="BH308" s="3" t="e">
        <f t="shared" si="1776"/>
        <v>#REF!</v>
      </c>
      <c r="BI308" s="3"/>
      <c r="BJ308" s="3"/>
      <c r="BK308" s="3" t="e">
        <f t="shared" si="1776"/>
        <v>#REF!</v>
      </c>
      <c r="BL308" s="3" t="e">
        <f t="shared" si="1776"/>
        <v>#REF!</v>
      </c>
      <c r="BM308" s="3">
        <f t="shared" si="1776"/>
        <v>793737.85177999991</v>
      </c>
      <c r="BN308" s="3">
        <f t="shared" si="1776"/>
        <v>315089.22378</v>
      </c>
      <c r="BO308" s="3">
        <f t="shared" si="1776"/>
        <v>223922.57699999999</v>
      </c>
      <c r="BP308" s="3">
        <f t="shared" si="1776"/>
        <v>254726.05100000004</v>
      </c>
      <c r="BQ308" s="3">
        <f t="shared" si="1776"/>
        <v>0</v>
      </c>
      <c r="BR308" s="57">
        <f t="shared" si="1776"/>
        <v>0</v>
      </c>
      <c r="BS308" s="57">
        <f t="shared" si="1776"/>
        <v>0</v>
      </c>
      <c r="BT308" s="57">
        <f t="shared" si="1776"/>
        <v>0</v>
      </c>
      <c r="BU308" s="57">
        <f t="shared" si="1776"/>
        <v>0</v>
      </c>
      <c r="BV308" s="57">
        <f t="shared" si="1776"/>
        <v>0</v>
      </c>
      <c r="BW308" s="3">
        <f t="shared" si="1776"/>
        <v>1382433.3</v>
      </c>
      <c r="BX308" s="3">
        <f t="shared" si="1776"/>
        <v>207264.85717</v>
      </c>
      <c r="BY308" s="3">
        <f t="shared" si="1776"/>
        <v>654667.08874000004</v>
      </c>
      <c r="BZ308" s="3"/>
      <c r="CA308" s="3"/>
      <c r="CB308" s="3">
        <f t="shared" si="1776"/>
        <v>520501.27117000002</v>
      </c>
      <c r="CC308" s="3">
        <f t="shared" si="1776"/>
        <v>0</v>
      </c>
      <c r="CD308" s="57">
        <f t="shared" si="1776"/>
        <v>1382433.2</v>
      </c>
      <c r="CE308" s="3">
        <f t="shared" ref="CE308:CF308" si="1777">CE294+CE298</f>
        <v>207264.85717</v>
      </c>
      <c r="CF308" s="3">
        <f t="shared" si="1777"/>
        <v>654667.08874000004</v>
      </c>
      <c r="CG308" s="3"/>
      <c r="CH308" s="3"/>
      <c r="CI308" s="3">
        <f t="shared" ref="CI308" si="1778">CI294+CI298</f>
        <v>520501.17117000005</v>
      </c>
      <c r="CJ308" s="140">
        <f t="shared" si="1776"/>
        <v>0</v>
      </c>
      <c r="CK308" s="57">
        <f t="shared" si="1776"/>
        <v>239742.5</v>
      </c>
      <c r="CL308" s="57">
        <f t="shared" si="1776"/>
        <v>12675.160190000002</v>
      </c>
      <c r="CM308" s="57">
        <f t="shared" si="1776"/>
        <v>168059.98470999996</v>
      </c>
      <c r="CN308" s="57"/>
      <c r="CO308" s="57"/>
      <c r="CP308" s="57">
        <f t="shared" si="1776"/>
        <v>59012.272929999999</v>
      </c>
      <c r="CQ308" s="57">
        <f t="shared" si="1776"/>
        <v>0</v>
      </c>
      <c r="CR308" s="15">
        <f t="shared" si="1644"/>
        <v>1622180.5349099999</v>
      </c>
      <c r="CS308" s="57">
        <f t="shared" si="1645"/>
        <v>1622180.5349099999</v>
      </c>
      <c r="CT308" s="57">
        <f t="shared" si="1646"/>
        <v>219940.01736</v>
      </c>
      <c r="CU308" s="57">
        <f t="shared" si="1647"/>
        <v>822727.07345000003</v>
      </c>
      <c r="CV308" s="57">
        <f t="shared" si="1648"/>
        <v>579513.44410000008</v>
      </c>
      <c r="CW308" s="57">
        <f t="shared" ref="CW308:DB308" si="1779">CW294+CW298</f>
        <v>0</v>
      </c>
      <c r="CX308" s="57">
        <f t="shared" ca="1" si="1691"/>
        <v>0</v>
      </c>
      <c r="CY308" s="57">
        <f t="shared" si="1649"/>
        <v>0</v>
      </c>
      <c r="CZ308" s="57">
        <f t="shared" si="1650"/>
        <v>0</v>
      </c>
      <c r="DA308" s="57">
        <f t="shared" si="1651"/>
        <v>9.9999999976716936E-2</v>
      </c>
      <c r="DB308" s="57">
        <f t="shared" si="1779"/>
        <v>0</v>
      </c>
      <c r="DF308" s="57">
        <f t="shared" ref="DF308:DT308" si="1780">DF294+DF298</f>
        <v>0</v>
      </c>
      <c r="DG308" s="57">
        <f t="shared" si="1780"/>
        <v>0</v>
      </c>
      <c r="DH308" s="57">
        <f t="shared" si="1780"/>
        <v>0</v>
      </c>
      <c r="DI308" s="57">
        <f t="shared" si="1780"/>
        <v>0</v>
      </c>
      <c r="DJ308" s="57">
        <f t="shared" si="1780"/>
        <v>0</v>
      </c>
      <c r="DK308" s="57">
        <f t="shared" si="1780"/>
        <v>0</v>
      </c>
      <c r="DL308" s="57">
        <f t="shared" si="1780"/>
        <v>0</v>
      </c>
      <c r="DM308" s="57">
        <f t="shared" si="1780"/>
        <v>0</v>
      </c>
      <c r="DN308" s="57">
        <f t="shared" si="1780"/>
        <v>0</v>
      </c>
      <c r="DO308" s="57">
        <f t="shared" si="1780"/>
        <v>0</v>
      </c>
      <c r="DP308" s="57">
        <f t="shared" si="1780"/>
        <v>0</v>
      </c>
      <c r="DQ308" s="57">
        <f t="shared" si="1780"/>
        <v>0</v>
      </c>
      <c r="DR308" s="57">
        <f t="shared" si="1780"/>
        <v>0</v>
      </c>
      <c r="DS308" s="57">
        <f t="shared" si="1780"/>
        <v>0</v>
      </c>
      <c r="DT308" s="57">
        <f t="shared" si="1780"/>
        <v>0</v>
      </c>
      <c r="DU308" s="15"/>
      <c r="DV308" s="15"/>
      <c r="DW308" s="15"/>
      <c r="DX308" s="242"/>
      <c r="DY308" s="76"/>
      <c r="DZ308" s="76"/>
      <c r="EA308" s="243"/>
      <c r="EB308" s="15"/>
      <c r="EC308" s="46"/>
      <c r="ED308" s="46"/>
      <c r="EE308" s="46"/>
      <c r="EF308" s="46"/>
      <c r="EG308" s="15"/>
      <c r="EH308" s="15"/>
      <c r="EI308" s="3">
        <f>EJ308+EK308+EN308+EO308</f>
        <v>1382433.2170800001</v>
      </c>
      <c r="EJ308" s="3">
        <f t="shared" ref="EJ308:EK308" si="1781">EJ294+EJ298</f>
        <v>207264.85717</v>
      </c>
      <c r="EK308" s="3">
        <f t="shared" si="1781"/>
        <v>654667.08874000004</v>
      </c>
      <c r="EL308" s="3"/>
      <c r="EM308" s="3"/>
      <c r="EN308" s="3">
        <f t="shared" ref="EN308" si="1782">EN294+EN298</f>
        <v>520501.27117000002</v>
      </c>
      <c r="EO308" s="3">
        <f t="shared" ref="EO308" si="1783">EO294+EO298</f>
        <v>0</v>
      </c>
      <c r="EP308" s="3">
        <f>EQ308+ER308+EU308+EV308</f>
        <v>239747.41782999996</v>
      </c>
      <c r="EQ308" s="57">
        <f t="shared" ref="EQ308:ER308" si="1784">EQ294+EQ298</f>
        <v>12675.160190000002</v>
      </c>
      <c r="ER308" s="57">
        <f t="shared" si="1784"/>
        <v>168059.98470999996</v>
      </c>
      <c r="ES308" s="94"/>
      <c r="ET308" s="94"/>
      <c r="EU308" s="57">
        <f t="shared" ref="EU308" si="1785">EU294+EU298</f>
        <v>59012.272929999999</v>
      </c>
      <c r="EV308" s="228">
        <f t="shared" ref="EV308" si="1786">EV294+EV298</f>
        <v>0</v>
      </c>
      <c r="EW308" s="309"/>
      <c r="EX308" s="309"/>
      <c r="EY308" s="330"/>
      <c r="EZ308" s="309"/>
      <c r="FA308" s="309"/>
      <c r="FB308" s="309"/>
      <c r="FC308" s="309"/>
      <c r="FD308" s="330"/>
      <c r="FE308" s="309"/>
      <c r="FF308" s="309"/>
      <c r="FG308" s="309"/>
      <c r="FH308" s="309"/>
      <c r="FI308" s="309"/>
      <c r="FJ308" s="3">
        <f t="shared" ref="FJ308" si="1787">FJ294+FJ298</f>
        <v>0</v>
      </c>
      <c r="FK308" s="352"/>
      <c r="FL308" s="352"/>
      <c r="FM308" s="367"/>
      <c r="FN308" s="352"/>
      <c r="FO308" s="352"/>
      <c r="FP308" s="352"/>
      <c r="FQ308" s="352"/>
      <c r="FR308" s="367"/>
      <c r="FS308" s="352"/>
      <c r="FT308" s="352"/>
      <c r="FU308" s="352"/>
      <c r="FV308" s="352"/>
      <c r="FW308" s="352"/>
      <c r="FX308" s="309"/>
      <c r="FY308" s="309"/>
      <c r="FZ308" s="330"/>
      <c r="GA308" s="309"/>
      <c r="GB308" s="309"/>
      <c r="GC308" s="309"/>
      <c r="GD308" s="309"/>
      <c r="GE308" s="330"/>
      <c r="GF308" s="309"/>
      <c r="GG308" s="309"/>
      <c r="GH308" s="309"/>
      <c r="GI308" s="309"/>
      <c r="GJ308" s="330"/>
      <c r="GK308" s="461">
        <f t="shared" si="1637"/>
        <v>0.9229911828853129</v>
      </c>
    </row>
    <row r="309" spans="2:193" s="37" customFormat="1" ht="19.5" hidden="1" customHeight="1" x14ac:dyDescent="0.2">
      <c r="B309" s="32"/>
      <c r="C309" s="33"/>
      <c r="D309" s="32"/>
      <c r="E309" s="39"/>
      <c r="F309" s="32"/>
      <c r="G309" s="33"/>
      <c r="H309" s="32"/>
      <c r="I309" s="32"/>
      <c r="J309" s="32"/>
      <c r="K309" s="32"/>
      <c r="L309" s="32"/>
      <c r="M309" s="65"/>
      <c r="N309" s="66" t="s">
        <v>283</v>
      </c>
      <c r="O309" s="66"/>
      <c r="P309" s="66"/>
      <c r="Q309" s="66"/>
      <c r="R309" s="66"/>
      <c r="S309" s="66"/>
      <c r="T309" s="66"/>
      <c r="U309" s="66"/>
      <c r="V309" s="2">
        <f>W309+X309+AA309+AB309</f>
        <v>0</v>
      </c>
      <c r="W309" s="23">
        <f>W295+W299</f>
        <v>0</v>
      </c>
      <c r="X309" s="23">
        <f>X295+X299</f>
        <v>0</v>
      </c>
      <c r="Y309" s="23"/>
      <c r="Z309" s="23"/>
      <c r="AA309" s="23">
        <f>AA295+AA299</f>
        <v>0</v>
      </c>
      <c r="AB309" s="2">
        <f>AC309+AD309+AG309+AH309</f>
        <v>0</v>
      </c>
      <c r="AC309" s="23">
        <f>AC295+AC299</f>
        <v>0</v>
      </c>
      <c r="AD309" s="23">
        <f>AD295+AD299</f>
        <v>0</v>
      </c>
      <c r="AE309" s="23"/>
      <c r="AF309" s="23"/>
      <c r="AG309" s="23">
        <f>AG295+AG299</f>
        <v>0</v>
      </c>
      <c r="AH309" s="143">
        <f>AH295+AH299</f>
        <v>0</v>
      </c>
      <c r="AI309" s="141">
        <f>AJ309+AK309+AL309+AM309</f>
        <v>33741.300000000003</v>
      </c>
      <c r="AJ309" s="143">
        <f>AJ295+AJ299</f>
        <v>33741.300000000003</v>
      </c>
      <c r="AK309" s="143">
        <f>AK295+AK299</f>
        <v>0</v>
      </c>
      <c r="AL309" s="143">
        <f>AL295+AL299</f>
        <v>0</v>
      </c>
      <c r="AM309" s="143">
        <f>AM295+AM299</f>
        <v>0</v>
      </c>
      <c r="AN309" s="141">
        <f>AO309+AP309+AQ309+AR309</f>
        <v>97565.494999999995</v>
      </c>
      <c r="AO309" s="143">
        <f>AO295+AO299</f>
        <v>97565.494999999995</v>
      </c>
      <c r="AP309" s="143">
        <f>AP295+AP299</f>
        <v>0</v>
      </c>
      <c r="AQ309" s="143">
        <f>AQ295+AQ299</f>
        <v>0</v>
      </c>
      <c r="AR309" s="143">
        <f>AR295+AR299</f>
        <v>0</v>
      </c>
      <c r="AS309" s="141">
        <f>AT309+AU309+AV309+AW309</f>
        <v>0</v>
      </c>
      <c r="AT309" s="143">
        <f>AT295+AT299</f>
        <v>0</v>
      </c>
      <c r="AU309" s="143">
        <f>AU295+AU299</f>
        <v>0</v>
      </c>
      <c r="AV309" s="143">
        <f>AV295+AV299</f>
        <v>0</v>
      </c>
      <c r="AW309" s="143">
        <f>AW295+AW299</f>
        <v>0</v>
      </c>
      <c r="AX309" s="415"/>
      <c r="AY309" s="2">
        <f>AZ309+BA309+BD309+BE309</f>
        <v>0</v>
      </c>
      <c r="AZ309" s="23">
        <f>AZ295+AZ299</f>
        <v>0</v>
      </c>
      <c r="BA309" s="23">
        <f>BA295+BA299</f>
        <v>0</v>
      </c>
      <c r="BB309" s="23"/>
      <c r="BC309" s="23"/>
      <c r="BD309" s="23">
        <f>BD295+BD299</f>
        <v>0</v>
      </c>
      <c r="BE309" s="23">
        <f>BE295+BE299</f>
        <v>0</v>
      </c>
      <c r="BF309" s="2" t="e">
        <f>BG309+BH309+BK309+BL309</f>
        <v>#REF!</v>
      </c>
      <c r="BG309" s="23" t="e">
        <f>BG295+BG299</f>
        <v>#REF!</v>
      </c>
      <c r="BH309" s="23" t="e">
        <f>BH295+BH299</f>
        <v>#REF!</v>
      </c>
      <c r="BI309" s="23"/>
      <c r="BJ309" s="23"/>
      <c r="BK309" s="23" t="e">
        <f>BK295+BK299</f>
        <v>#REF!</v>
      </c>
      <c r="BL309" s="23" t="e">
        <f>BL295+BL299</f>
        <v>#REF!</v>
      </c>
      <c r="BM309" s="2">
        <f>BN309+BO309+BP309+BQ309</f>
        <v>22388.043260000002</v>
      </c>
      <c r="BN309" s="23">
        <f>BN295+BN299</f>
        <v>22388.043260000002</v>
      </c>
      <c r="BO309" s="23">
        <f>BO295+BO299</f>
        <v>0</v>
      </c>
      <c r="BP309" s="23">
        <f>BP295+BP299</f>
        <v>0</v>
      </c>
      <c r="BQ309" s="23">
        <f>BQ295+BQ299</f>
        <v>0</v>
      </c>
      <c r="BR309" s="2">
        <f>BS309+BT309+BU309+BV309</f>
        <v>0</v>
      </c>
      <c r="BS309" s="23">
        <f>BS295+BS299</f>
        <v>0</v>
      </c>
      <c r="BT309" s="23">
        <f>BT295+BT299</f>
        <v>0</v>
      </c>
      <c r="BU309" s="23">
        <f>BU295+BU299</f>
        <v>0</v>
      </c>
      <c r="BV309" s="23">
        <f>BV295+BV299</f>
        <v>0</v>
      </c>
      <c r="BW309" s="2">
        <f>BX309+BY309+CB309+CC309</f>
        <v>0</v>
      </c>
      <c r="BX309" s="23">
        <f>BX295+BX299</f>
        <v>0</v>
      </c>
      <c r="BY309" s="23">
        <f>BY295+BY299</f>
        <v>0</v>
      </c>
      <c r="BZ309" s="23"/>
      <c r="CA309" s="23"/>
      <c r="CB309" s="23">
        <f>CB295+CB299</f>
        <v>0</v>
      </c>
      <c r="CC309" s="23">
        <f>CC295+CC299</f>
        <v>0</v>
      </c>
      <c r="CD309" s="2">
        <f>CE309+CF309+CI309+CJ309</f>
        <v>0</v>
      </c>
      <c r="CE309" s="23">
        <f>CE295+CE299</f>
        <v>0</v>
      </c>
      <c r="CF309" s="23">
        <f>CF295+CF299</f>
        <v>0</v>
      </c>
      <c r="CG309" s="23"/>
      <c r="CH309" s="23"/>
      <c r="CI309" s="23">
        <f>CI295+CI299</f>
        <v>0</v>
      </c>
      <c r="CJ309" s="143">
        <f>CJ295+CJ299</f>
        <v>0</v>
      </c>
      <c r="CK309" s="2">
        <f>CL309+CM309+CP309+CQ309</f>
        <v>0</v>
      </c>
      <c r="CL309" s="23">
        <f>CL295+CL299</f>
        <v>0</v>
      </c>
      <c r="CM309" s="23">
        <f>CM295+CM299</f>
        <v>0</v>
      </c>
      <c r="CN309" s="23"/>
      <c r="CO309" s="23"/>
      <c r="CP309" s="23">
        <f>CP295+CP299</f>
        <v>0</v>
      </c>
      <c r="CQ309" s="23">
        <f>CQ295+CQ299</f>
        <v>0</v>
      </c>
      <c r="CR309" s="23">
        <f t="shared" si="1644"/>
        <v>0</v>
      </c>
      <c r="CS309" s="2">
        <f t="shared" si="1645"/>
        <v>0</v>
      </c>
      <c r="CT309" s="23">
        <f t="shared" si="1646"/>
        <v>0</v>
      </c>
      <c r="CU309" s="23">
        <f t="shared" si="1647"/>
        <v>0</v>
      </c>
      <c r="CV309" s="23">
        <f t="shared" si="1648"/>
        <v>0</v>
      </c>
      <c r="CW309" s="23">
        <f>CW295+CW299</f>
        <v>0</v>
      </c>
      <c r="CX309" s="2">
        <f t="shared" ca="1" si="1691"/>
        <v>0</v>
      </c>
      <c r="CY309" s="23">
        <f t="shared" si="1649"/>
        <v>0</v>
      </c>
      <c r="CZ309" s="23">
        <f t="shared" si="1650"/>
        <v>0</v>
      </c>
      <c r="DA309" s="23">
        <f t="shared" si="1651"/>
        <v>0</v>
      </c>
      <c r="DB309" s="23">
        <f>DB295+DB299</f>
        <v>0</v>
      </c>
      <c r="DC309" s="76"/>
      <c r="DD309" s="46"/>
      <c r="DE309" s="46"/>
      <c r="DF309" s="2">
        <f>DG309+DH309+DI309+DJ309</f>
        <v>0</v>
      </c>
      <c r="DG309" s="23">
        <f>DG295+DG299</f>
        <v>0</v>
      </c>
      <c r="DH309" s="23">
        <f>DH295+DH299</f>
        <v>0</v>
      </c>
      <c r="DI309" s="23">
        <f>DI295+DI299</f>
        <v>0</v>
      </c>
      <c r="DJ309" s="23">
        <f>DJ295+DJ299</f>
        <v>0</v>
      </c>
      <c r="DK309" s="2">
        <f>DL309+DM309+DN309+DO309</f>
        <v>0</v>
      </c>
      <c r="DL309" s="23">
        <f>DL295+DL299</f>
        <v>0</v>
      </c>
      <c r="DM309" s="23">
        <f>DM295+DM299</f>
        <v>0</v>
      </c>
      <c r="DN309" s="23">
        <f>DN295+DN299</f>
        <v>0</v>
      </c>
      <c r="DO309" s="23">
        <f>DO295+DO299</f>
        <v>0</v>
      </c>
      <c r="DP309" s="2">
        <f>DQ309+DR309+DS309+DT309</f>
        <v>0</v>
      </c>
      <c r="DQ309" s="23">
        <f>DQ295+DQ299</f>
        <v>0</v>
      </c>
      <c r="DR309" s="23">
        <f>DR295+DR299</f>
        <v>0</v>
      </c>
      <c r="DS309" s="23">
        <f>DS295+DS299</f>
        <v>0</v>
      </c>
      <c r="DT309" s="23">
        <f>DT295+DT299</f>
        <v>0</v>
      </c>
      <c r="DU309" s="46"/>
      <c r="DV309" s="46"/>
      <c r="DW309" s="46"/>
      <c r="DX309" s="242"/>
      <c r="DY309" s="76"/>
      <c r="DZ309" s="76"/>
      <c r="EA309" s="243"/>
      <c r="EB309" s="46"/>
      <c r="EC309" s="46"/>
      <c r="ED309" s="46"/>
      <c r="EE309" s="46"/>
      <c r="EF309" s="46"/>
      <c r="EG309" s="46"/>
      <c r="EH309" s="46"/>
      <c r="EI309" s="2">
        <f>EJ309+EK309+EN309+EO309</f>
        <v>0</v>
      </c>
      <c r="EJ309" s="23">
        <f>EJ295+EJ299</f>
        <v>0</v>
      </c>
      <c r="EK309" s="23">
        <f>EK295+EK299</f>
        <v>0</v>
      </c>
      <c r="EL309" s="23"/>
      <c r="EM309" s="23"/>
      <c r="EN309" s="23">
        <f>EN295+EN299</f>
        <v>0</v>
      </c>
      <c r="EO309" s="23">
        <f>EO295+EO299</f>
        <v>0</v>
      </c>
      <c r="EP309" s="2">
        <f>EQ309+ER309+EU309+EV309</f>
        <v>0</v>
      </c>
      <c r="EQ309" s="23">
        <f>EQ295+EQ299</f>
        <v>0</v>
      </c>
      <c r="ER309" s="23">
        <f>ER295+ER299</f>
        <v>0</v>
      </c>
      <c r="ES309" s="195"/>
      <c r="ET309" s="195"/>
      <c r="EU309" s="23">
        <f>EU295+EU299</f>
        <v>0</v>
      </c>
      <c r="EV309" s="2">
        <f>EV295+EV299</f>
        <v>0</v>
      </c>
      <c r="EW309" s="310"/>
      <c r="EX309" s="322"/>
      <c r="EY309" s="339"/>
      <c r="EZ309" s="322"/>
      <c r="FA309" s="322"/>
      <c r="FB309" s="310"/>
      <c r="FC309" s="322"/>
      <c r="FD309" s="339"/>
      <c r="FE309" s="322"/>
      <c r="FF309" s="322"/>
      <c r="FG309" s="322"/>
      <c r="FH309" s="322"/>
      <c r="FI309" s="322"/>
      <c r="FJ309" s="23">
        <f>FJ295+FJ299</f>
        <v>0</v>
      </c>
      <c r="FK309" s="353"/>
      <c r="FL309" s="360"/>
      <c r="FM309" s="376"/>
      <c r="FN309" s="360"/>
      <c r="FO309" s="360"/>
      <c r="FP309" s="353"/>
      <c r="FQ309" s="360"/>
      <c r="FR309" s="376"/>
      <c r="FS309" s="360"/>
      <c r="FT309" s="360"/>
      <c r="FU309" s="360"/>
      <c r="FV309" s="360"/>
      <c r="FW309" s="360"/>
      <c r="FX309" s="310"/>
      <c r="FY309" s="322"/>
      <c r="FZ309" s="339"/>
      <c r="GA309" s="322"/>
      <c r="GB309" s="322"/>
      <c r="GC309" s="310"/>
      <c r="GD309" s="322"/>
      <c r="GE309" s="339"/>
      <c r="GF309" s="322"/>
      <c r="GG309" s="322"/>
      <c r="GH309" s="322"/>
      <c r="GI309" s="322"/>
      <c r="GJ309" s="339"/>
      <c r="GK309" s="303" t="e">
        <f t="shared" si="1637"/>
        <v>#DIV/0!</v>
      </c>
    </row>
    <row r="310" spans="2:193" s="37" customFormat="1" ht="19.5" hidden="1" customHeight="1" x14ac:dyDescent="0.2">
      <c r="B310" s="168"/>
      <c r="C310" s="169"/>
      <c r="D310" s="168"/>
      <c r="E310" s="170"/>
      <c r="F310" s="168"/>
      <c r="G310" s="169"/>
      <c r="H310" s="168"/>
      <c r="I310" s="168"/>
      <c r="J310" s="168"/>
      <c r="K310" s="168"/>
      <c r="L310" s="168"/>
      <c r="M310" s="171"/>
      <c r="N310" s="172" t="s">
        <v>284</v>
      </c>
      <c r="O310" s="172"/>
      <c r="P310" s="172"/>
      <c r="Q310" s="172"/>
      <c r="R310" s="172"/>
      <c r="S310" s="172"/>
      <c r="T310" s="172"/>
      <c r="U310" s="172"/>
      <c r="V310" s="175">
        <f>W310+X310+AA310+AB310</f>
        <v>2995550.4108600002</v>
      </c>
      <c r="W310" s="176">
        <f>W296+W300</f>
        <v>225766.18290000001</v>
      </c>
      <c r="X310" s="176">
        <f>X296+X300</f>
        <v>720855.7</v>
      </c>
      <c r="Y310" s="176"/>
      <c r="Z310" s="176"/>
      <c r="AA310" s="176">
        <f>AA296</f>
        <v>551153.33180000004</v>
      </c>
      <c r="AB310" s="175">
        <f>AC310+AD310+AG310+AH310</f>
        <v>1497775.1961600001</v>
      </c>
      <c r="AC310" s="176">
        <f>AC296+AC300</f>
        <v>225766.16436</v>
      </c>
      <c r="AD310" s="176">
        <f>AD296+AD300</f>
        <v>720855.7</v>
      </c>
      <c r="AE310" s="176"/>
      <c r="AF310" s="176"/>
      <c r="AG310" s="176">
        <f>AG296</f>
        <v>551153.33180000004</v>
      </c>
      <c r="AH310" s="174">
        <f>AH296</f>
        <v>0</v>
      </c>
      <c r="AI310" s="173">
        <f>AJ310+AK310+AL310+AM310</f>
        <v>679687.83100000001</v>
      </c>
      <c r="AJ310" s="174">
        <f>AJ296+AJ300</f>
        <v>400986.65100000007</v>
      </c>
      <c r="AK310" s="174">
        <f>AK296+AK300</f>
        <v>102879</v>
      </c>
      <c r="AL310" s="174">
        <f>AL296</f>
        <v>175822.18</v>
      </c>
      <c r="AM310" s="174">
        <f>AM296</f>
        <v>0</v>
      </c>
      <c r="AN310" s="173">
        <f>AO310+AP310+AQ310+AR310</f>
        <v>719627.69299999997</v>
      </c>
      <c r="AO310" s="174">
        <f>AO296+AO300</f>
        <v>413239.95599999995</v>
      </c>
      <c r="AP310" s="174">
        <f>AP296+AP300</f>
        <v>102879</v>
      </c>
      <c r="AQ310" s="174">
        <f>AQ296</f>
        <v>203508.73699999999</v>
      </c>
      <c r="AR310" s="174">
        <f>AR296</f>
        <v>0</v>
      </c>
      <c r="AS310" s="173">
        <f>AT310+AU310+AV310+AW310</f>
        <v>500208.04399999994</v>
      </c>
      <c r="AT310" s="174">
        <f>AT296+AT300</f>
        <v>345126.65799999994</v>
      </c>
      <c r="AU310" s="174">
        <f>AU296+AU300</f>
        <v>44730</v>
      </c>
      <c r="AV310" s="174">
        <f>AV296</f>
        <v>110351.386</v>
      </c>
      <c r="AW310" s="174">
        <f>AW296</f>
        <v>0</v>
      </c>
      <c r="AX310" s="420"/>
      <c r="AY310" s="175">
        <f>AZ310+BA310+BD310+BE310</f>
        <v>1490950.9526200001</v>
      </c>
      <c r="AZ310" s="176">
        <f>AZ296+AZ300</f>
        <v>225766.182</v>
      </c>
      <c r="BA310" s="176">
        <f>BA296+BA300</f>
        <v>716239.26753999991</v>
      </c>
      <c r="BB310" s="176"/>
      <c r="BC310" s="176"/>
      <c r="BD310" s="176">
        <f>BD296</f>
        <v>548945.50308000005</v>
      </c>
      <c r="BE310" s="176">
        <f>BE296</f>
        <v>0</v>
      </c>
      <c r="BF310" s="175" t="e">
        <f>BG310+BH310+BK310+BL310</f>
        <v>#REF!</v>
      </c>
      <c r="BG310" s="176" t="e">
        <f>BG296+BG300</f>
        <v>#REF!</v>
      </c>
      <c r="BH310" s="176" t="e">
        <f>BH296+BH300</f>
        <v>#REF!</v>
      </c>
      <c r="BI310" s="176"/>
      <c r="BJ310" s="176"/>
      <c r="BK310" s="176">
        <f>BK296</f>
        <v>2207.8287199999904</v>
      </c>
      <c r="BL310" s="176" t="e">
        <f>BL296</f>
        <v>#REF!</v>
      </c>
      <c r="BM310" s="175">
        <f>BN310+BO310+BP310+BQ310</f>
        <v>771349.80851999996</v>
      </c>
      <c r="BN310" s="176">
        <f>BN296+BN300</f>
        <v>292701.18051999999</v>
      </c>
      <c r="BO310" s="176">
        <f>BO296+BO300</f>
        <v>223922.57699999999</v>
      </c>
      <c r="BP310" s="176">
        <f>BP296</f>
        <v>254726.05100000004</v>
      </c>
      <c r="BQ310" s="176">
        <f>BQ296</f>
        <v>0</v>
      </c>
      <c r="BR310" s="175">
        <f>BS310+BT310+BU310+BV310</f>
        <v>0</v>
      </c>
      <c r="BS310" s="176">
        <f>BS296+BS300</f>
        <v>0</v>
      </c>
      <c r="BT310" s="176">
        <f>BT296+BT300</f>
        <v>0</v>
      </c>
      <c r="BU310" s="176">
        <f>BU296</f>
        <v>0</v>
      </c>
      <c r="BV310" s="176">
        <f>BV296</f>
        <v>0</v>
      </c>
      <c r="BW310" s="175">
        <f>BX310+BY310+CB310+CC310</f>
        <v>1382433.2170800001</v>
      </c>
      <c r="BX310" s="176">
        <f>BX296+BX300</f>
        <v>207264.85717</v>
      </c>
      <c r="BY310" s="176">
        <f>BY296+BY300</f>
        <v>654667.08874000004</v>
      </c>
      <c r="BZ310" s="176"/>
      <c r="CA310" s="176"/>
      <c r="CB310" s="176">
        <f>CB296</f>
        <v>520501.27117000002</v>
      </c>
      <c r="CC310" s="176">
        <f>CC296</f>
        <v>0</v>
      </c>
      <c r="CD310" s="175">
        <f>CE310+CF310+CI310+CJ310</f>
        <v>1382433.11708</v>
      </c>
      <c r="CE310" s="176">
        <f>CE296+CE300</f>
        <v>207264.85717</v>
      </c>
      <c r="CF310" s="176">
        <f>CF296+CF300</f>
        <v>654667.08874000004</v>
      </c>
      <c r="CG310" s="176"/>
      <c r="CH310" s="176"/>
      <c r="CI310" s="176">
        <f>CI296</f>
        <v>520501.17117000005</v>
      </c>
      <c r="CJ310" s="174">
        <f>CJ296</f>
        <v>0</v>
      </c>
      <c r="CK310" s="175">
        <f>CL310+CM310+CP310+CQ310</f>
        <v>239747.41782999996</v>
      </c>
      <c r="CL310" s="176">
        <f>CL296+CL300</f>
        <v>12675.160190000002</v>
      </c>
      <c r="CM310" s="176">
        <f>CM296+CM300</f>
        <v>168059.98470999996</v>
      </c>
      <c r="CN310" s="176"/>
      <c r="CO310" s="176"/>
      <c r="CP310" s="176">
        <f>CP296</f>
        <v>59012.272929999999</v>
      </c>
      <c r="CQ310" s="176">
        <f>CQ296</f>
        <v>0</v>
      </c>
      <c r="CR310" s="176">
        <f t="shared" si="1644"/>
        <v>1622180.5349099999</v>
      </c>
      <c r="CS310" s="175">
        <f t="shared" si="1645"/>
        <v>1622180.5349099999</v>
      </c>
      <c r="CT310" s="176">
        <f t="shared" si="1646"/>
        <v>219940.01736</v>
      </c>
      <c r="CU310" s="176">
        <f t="shared" si="1647"/>
        <v>822727.07345000003</v>
      </c>
      <c r="CV310" s="176">
        <f t="shared" si="1648"/>
        <v>579513.44410000008</v>
      </c>
      <c r="CW310" s="176">
        <f>CW296</f>
        <v>0</v>
      </c>
      <c r="CX310" s="175">
        <f t="shared" ca="1" si="1691"/>
        <v>0</v>
      </c>
      <c r="CY310" s="176">
        <f t="shared" si="1649"/>
        <v>0</v>
      </c>
      <c r="CZ310" s="176">
        <f t="shared" si="1650"/>
        <v>0</v>
      </c>
      <c r="DA310" s="176">
        <f t="shared" si="1651"/>
        <v>9.9999999976716936E-2</v>
      </c>
      <c r="DB310" s="176">
        <f>DB296</f>
        <v>0</v>
      </c>
      <c r="DC310" s="76"/>
      <c r="DD310" s="46"/>
      <c r="DE310" s="46"/>
      <c r="DF310" s="175">
        <f>DG310+DH310+DI310+DJ310</f>
        <v>0</v>
      </c>
      <c r="DG310" s="176">
        <f>DG296+DG300</f>
        <v>0</v>
      </c>
      <c r="DH310" s="176">
        <f>DH296+DH300</f>
        <v>0</v>
      </c>
      <c r="DI310" s="176">
        <f>DI296</f>
        <v>0</v>
      </c>
      <c r="DJ310" s="176">
        <f>DJ296</f>
        <v>0</v>
      </c>
      <c r="DK310" s="175">
        <f>DL310+DM310+DN310+DO310</f>
        <v>0</v>
      </c>
      <c r="DL310" s="176">
        <f>DL296+DL300</f>
        <v>0</v>
      </c>
      <c r="DM310" s="176">
        <f>DM296+DM300</f>
        <v>0</v>
      </c>
      <c r="DN310" s="176">
        <f>DN296</f>
        <v>0</v>
      </c>
      <c r="DO310" s="176">
        <f>DO296</f>
        <v>0</v>
      </c>
      <c r="DP310" s="175">
        <f>DQ310+DR310+DS310+DT310</f>
        <v>0</v>
      </c>
      <c r="DQ310" s="176">
        <f>DQ296+DQ300</f>
        <v>0</v>
      </c>
      <c r="DR310" s="176">
        <f>DR296+DR300</f>
        <v>0</v>
      </c>
      <c r="DS310" s="176"/>
      <c r="DT310" s="176"/>
      <c r="DU310" s="46"/>
      <c r="DV310" s="46"/>
      <c r="DW310" s="46"/>
      <c r="DX310" s="242"/>
      <c r="DY310" s="76"/>
      <c r="DZ310" s="76"/>
      <c r="EA310" s="243"/>
      <c r="EB310" s="46"/>
      <c r="EC310" s="46"/>
      <c r="ED310" s="46"/>
      <c r="EE310" s="46"/>
      <c r="EF310" s="46"/>
      <c r="EG310" s="46"/>
      <c r="EH310" s="46"/>
      <c r="EI310" s="175">
        <f>EJ310+EK310+EN310+EO310</f>
        <v>1382433.2170800001</v>
      </c>
      <c r="EJ310" s="176">
        <f>EJ296+EJ300</f>
        <v>207264.85717</v>
      </c>
      <c r="EK310" s="176">
        <f>EK296+EK300</f>
        <v>654667.08874000004</v>
      </c>
      <c r="EL310" s="176"/>
      <c r="EM310" s="176"/>
      <c r="EN310" s="176">
        <f>EN296</f>
        <v>520501.27117000002</v>
      </c>
      <c r="EO310" s="176"/>
      <c r="EP310" s="175">
        <f>EQ310+ER310+EU310+EV310</f>
        <v>239747.41782999996</v>
      </c>
      <c r="EQ310" s="176">
        <f>EQ296+EQ300</f>
        <v>12675.160190000002</v>
      </c>
      <c r="ER310" s="176">
        <f>ER296+ER300</f>
        <v>168059.98470999996</v>
      </c>
      <c r="ES310" s="193"/>
      <c r="ET310" s="193"/>
      <c r="EU310" s="176">
        <f>EU296</f>
        <v>59012.272929999999</v>
      </c>
      <c r="EV310" s="2"/>
      <c r="EW310" s="331"/>
      <c r="EX310" s="332"/>
      <c r="EY310" s="333"/>
      <c r="EZ310" s="322"/>
      <c r="FA310" s="322"/>
      <c r="FB310" s="331"/>
      <c r="FC310" s="332"/>
      <c r="FD310" s="333"/>
      <c r="FE310" s="322"/>
      <c r="FF310" s="322"/>
      <c r="FG310" s="322"/>
      <c r="FH310" s="322"/>
      <c r="FI310" s="322"/>
      <c r="FJ310" s="23"/>
      <c r="FK310" s="368"/>
      <c r="FL310" s="369"/>
      <c r="FM310" s="370"/>
      <c r="FN310" s="360"/>
      <c r="FO310" s="360"/>
      <c r="FP310" s="368"/>
      <c r="FQ310" s="369"/>
      <c r="FR310" s="370"/>
      <c r="FS310" s="360"/>
      <c r="FT310" s="360"/>
      <c r="FU310" s="360"/>
      <c r="FV310" s="360"/>
      <c r="FW310" s="360"/>
      <c r="FX310" s="331"/>
      <c r="FY310" s="332"/>
      <c r="FZ310" s="333"/>
      <c r="GA310" s="322"/>
      <c r="GB310" s="322"/>
      <c r="GC310" s="331"/>
      <c r="GD310" s="332"/>
      <c r="GE310" s="333"/>
      <c r="GF310" s="322"/>
      <c r="GG310" s="322"/>
      <c r="GH310" s="322"/>
      <c r="GI310" s="322"/>
      <c r="GJ310" s="339"/>
      <c r="GK310" s="303">
        <f t="shared" si="1637"/>
        <v>0.92299112752319967</v>
      </c>
    </row>
    <row r="311" spans="2:193" s="181" customFormat="1" ht="31.15" hidden="1" customHeight="1" x14ac:dyDescent="0.2">
      <c r="B311" s="118"/>
      <c r="C311" s="118"/>
      <c r="D311" s="118"/>
      <c r="E311" s="119"/>
      <c r="F311" s="118"/>
      <c r="G311" s="118"/>
      <c r="H311" s="118"/>
      <c r="I311" s="118"/>
      <c r="J311" s="118"/>
      <c r="K311" s="118"/>
      <c r="L311" s="118"/>
      <c r="M311" s="721" t="s">
        <v>357</v>
      </c>
      <c r="N311" s="721"/>
      <c r="O311" s="484"/>
      <c r="P311" s="484"/>
      <c r="Q311" s="484"/>
      <c r="R311" s="484"/>
      <c r="S311" s="484"/>
      <c r="T311" s="436"/>
      <c r="U311" s="484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414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68"/>
      <c r="BZ311" s="68"/>
      <c r="CA311" s="68"/>
      <c r="CB311" s="68"/>
      <c r="CC311" s="68"/>
      <c r="CD311" s="68"/>
      <c r="CE311" s="68"/>
      <c r="CF311" s="68"/>
      <c r="CG311" s="68"/>
      <c r="CH311" s="68"/>
      <c r="CI311" s="68"/>
      <c r="CJ311" s="167"/>
      <c r="CK311" s="68"/>
      <c r="CL311" s="68"/>
      <c r="CM311" s="68"/>
      <c r="CN311" s="68"/>
      <c r="CO311" s="68"/>
      <c r="CP311" s="68"/>
      <c r="CQ311" s="68"/>
      <c r="CR311" s="68"/>
      <c r="CS311" s="68">
        <f t="shared" si="1645"/>
        <v>0</v>
      </c>
      <c r="CT311" s="68">
        <f t="shared" si="1646"/>
        <v>0</v>
      </c>
      <c r="CU311" s="68">
        <f t="shared" si="1647"/>
        <v>0</v>
      </c>
      <c r="CV311" s="68">
        <f t="shared" si="1648"/>
        <v>0</v>
      </c>
      <c r="CW311" s="68"/>
      <c r="CX311" s="68">
        <f t="shared" ca="1" si="1691"/>
        <v>0</v>
      </c>
      <c r="CY311" s="68">
        <f t="shared" si="1649"/>
        <v>0</v>
      </c>
      <c r="CZ311" s="68">
        <f t="shared" si="1650"/>
        <v>0</v>
      </c>
      <c r="DA311" s="68">
        <f t="shared" si="1651"/>
        <v>0</v>
      </c>
      <c r="DB311" s="68"/>
      <c r="DC311" s="244"/>
      <c r="DD311" s="244"/>
      <c r="DE311" s="244"/>
      <c r="DF311" s="68"/>
      <c r="DG311" s="68"/>
      <c r="DH311" s="68"/>
      <c r="DI311" s="68"/>
      <c r="DJ311" s="68"/>
      <c r="DK311" s="68"/>
      <c r="DL311" s="68"/>
      <c r="DM311" s="68"/>
      <c r="DN311" s="68"/>
      <c r="DO311" s="68"/>
      <c r="DP311" s="68"/>
      <c r="DQ311" s="68"/>
      <c r="DR311" s="68"/>
      <c r="DS311" s="68"/>
      <c r="DT311" s="68"/>
      <c r="DU311" s="244"/>
      <c r="DV311" s="244"/>
      <c r="DW311" s="244"/>
      <c r="DX311" s="244"/>
      <c r="DY311" s="244"/>
      <c r="DZ311" s="244"/>
      <c r="EA311" s="244"/>
      <c r="EB311" s="244"/>
      <c r="EC311" s="244"/>
      <c r="ED311" s="244"/>
      <c r="EE311" s="244"/>
      <c r="EF311" s="244"/>
      <c r="EG311" s="244"/>
      <c r="EH311" s="244"/>
      <c r="EI311" s="68"/>
      <c r="EJ311" s="68"/>
      <c r="EK311" s="68"/>
      <c r="EL311" s="68"/>
      <c r="EM311" s="68"/>
      <c r="EN311" s="68"/>
      <c r="EO311" s="68"/>
      <c r="EP311" s="68"/>
      <c r="EQ311" s="68"/>
      <c r="ER311" s="68"/>
      <c r="ES311" s="196"/>
      <c r="ET311" s="196"/>
      <c r="EU311" s="68"/>
      <c r="EV311" s="230"/>
      <c r="EW311" s="68"/>
      <c r="EX311" s="68"/>
      <c r="EY311" s="196"/>
      <c r="EZ311" s="68"/>
      <c r="FA311" s="68"/>
      <c r="FB311" s="68"/>
      <c r="FC311" s="68"/>
      <c r="FD311" s="196"/>
      <c r="FE311" s="68"/>
      <c r="FF311" s="68"/>
      <c r="FG311" s="68"/>
      <c r="FH311" s="68"/>
      <c r="FI311" s="68"/>
      <c r="FJ311" s="68"/>
      <c r="FK311" s="68"/>
      <c r="FL311" s="68"/>
      <c r="FM311" s="196"/>
      <c r="FN311" s="68"/>
      <c r="FO311" s="68"/>
      <c r="FP311" s="68"/>
      <c r="FQ311" s="68"/>
      <c r="FR311" s="196"/>
      <c r="FS311" s="68"/>
      <c r="FT311" s="68"/>
      <c r="FU311" s="68"/>
      <c r="FV311" s="68"/>
      <c r="FW311" s="68"/>
      <c r="FX311" s="68"/>
      <c r="FY311" s="68"/>
      <c r="FZ311" s="196"/>
      <c r="GA311" s="68"/>
      <c r="GB311" s="68"/>
      <c r="GC311" s="68"/>
      <c r="GD311" s="68"/>
      <c r="GE311" s="196"/>
      <c r="GF311" s="68"/>
      <c r="GG311" s="68"/>
      <c r="GH311" s="68"/>
      <c r="GI311" s="68"/>
      <c r="GJ311" s="196"/>
      <c r="GK311" s="462" t="e">
        <f t="shared" si="1637"/>
        <v>#DIV/0!</v>
      </c>
    </row>
    <row r="312" spans="2:193" s="37" customFormat="1" ht="27.6" hidden="1" customHeight="1" x14ac:dyDescent="0.2">
      <c r="B312" s="32"/>
      <c r="C312" s="33"/>
      <c r="D312" s="32"/>
      <c r="E312" s="40"/>
      <c r="F312" s="32"/>
      <c r="G312" s="33"/>
      <c r="H312" s="32"/>
      <c r="I312" s="32"/>
      <c r="J312" s="32"/>
      <c r="K312" s="32"/>
      <c r="L312" s="32"/>
      <c r="M312" s="429">
        <v>1</v>
      </c>
      <c r="N312" s="434"/>
      <c r="O312" s="178"/>
      <c r="P312" s="178"/>
      <c r="Q312" s="178"/>
      <c r="R312" s="178"/>
      <c r="S312" s="178"/>
      <c r="T312" s="251"/>
      <c r="U312" s="437"/>
      <c r="V312" s="47">
        <f>W312+X312+AA312+AB312</f>
        <v>0</v>
      </c>
      <c r="W312" s="93"/>
      <c r="X312" s="93"/>
      <c r="Y312" s="93"/>
      <c r="Z312" s="93"/>
      <c r="AA312" s="93"/>
      <c r="AB312" s="47">
        <f>AC312+AD312+AG312+AH312</f>
        <v>0</v>
      </c>
      <c r="AC312" s="93"/>
      <c r="AD312" s="93"/>
      <c r="AE312" s="93"/>
      <c r="AF312" s="93"/>
      <c r="AG312" s="93"/>
      <c r="AH312" s="149"/>
      <c r="AI312" s="180">
        <f t="shared" ref="AI312:AI313" si="1788">AJ312+AK312+AL312+AM312</f>
        <v>0</v>
      </c>
      <c r="AJ312" s="149"/>
      <c r="AK312" s="149"/>
      <c r="AL312" s="149"/>
      <c r="AM312" s="149"/>
      <c r="AN312" s="180">
        <f t="shared" ref="AN312:AN313" si="1789">AO312+AP312+AQ312+AR312</f>
        <v>0</v>
      </c>
      <c r="AO312" s="149"/>
      <c r="AP312" s="149"/>
      <c r="AQ312" s="149"/>
      <c r="AR312" s="149"/>
      <c r="AS312" s="180">
        <f t="shared" ref="AS312:AS313" si="1790">AT312+AU312+AV312+AW312</f>
        <v>0</v>
      </c>
      <c r="AT312" s="149"/>
      <c r="AU312" s="149"/>
      <c r="AV312" s="149"/>
      <c r="AW312" s="149"/>
      <c r="AX312" s="93"/>
      <c r="AY312" s="47">
        <f t="shared" ref="AY312:AY314" si="1791">AZ312+BA312+BD312+BE312</f>
        <v>0</v>
      </c>
      <c r="AZ312" s="93"/>
      <c r="BA312" s="93"/>
      <c r="BB312" s="93"/>
      <c r="BC312" s="93"/>
      <c r="BD312" s="93"/>
      <c r="BE312" s="93"/>
      <c r="BF312" s="47" t="e">
        <f>BG312+BH312+BK312+BL312</f>
        <v>#REF!</v>
      </c>
      <c r="BG312" s="93"/>
      <c r="BH312" s="93" t="e">
        <f>#REF!-BA312</f>
        <v>#REF!</v>
      </c>
      <c r="BI312" s="93"/>
      <c r="BJ312" s="93"/>
      <c r="BK312" s="93"/>
      <c r="BL312" s="93"/>
      <c r="BM312" s="47">
        <f t="shared" ref="BM312:BM314" si="1792">BN312+BO312+BP312+BQ312</f>
        <v>9535.06</v>
      </c>
      <c r="BN312" s="93">
        <v>9535.06</v>
      </c>
      <c r="BO312" s="93"/>
      <c r="BP312" s="93"/>
      <c r="BQ312" s="93"/>
      <c r="BR312" s="47">
        <f t="shared" ref="BR312:BR313" si="1793">BS312+BT312+BU312+BV312</f>
        <v>0</v>
      </c>
      <c r="BS312" s="93"/>
      <c r="BT312" s="93"/>
      <c r="BU312" s="93"/>
      <c r="BV312" s="93"/>
      <c r="BW312" s="47">
        <f t="shared" ref="BW312:BW314" si="1794">BX312+BY312+CB312+CC312</f>
        <v>0</v>
      </c>
      <c r="BX312" s="93"/>
      <c r="BY312" s="93"/>
      <c r="BZ312" s="93"/>
      <c r="CA312" s="93"/>
      <c r="CB312" s="93"/>
      <c r="CC312" s="93"/>
      <c r="CD312" s="47">
        <f>CE312+CF312+CI312+CJ312</f>
        <v>0</v>
      </c>
      <c r="CE312" s="93"/>
      <c r="CF312" s="93"/>
      <c r="CG312" s="93"/>
      <c r="CH312" s="93"/>
      <c r="CI312" s="93"/>
      <c r="CJ312" s="149"/>
      <c r="CK312" s="47">
        <f t="shared" ref="CK312:CK314" si="1795">CL312+CM312+CP312+CQ312</f>
        <v>0</v>
      </c>
      <c r="CL312" s="93"/>
      <c r="CM312" s="93"/>
      <c r="CN312" s="93"/>
      <c r="CO312" s="93"/>
      <c r="CP312" s="93"/>
      <c r="CQ312" s="93"/>
      <c r="CR312" s="93">
        <f t="shared" si="1644"/>
        <v>0</v>
      </c>
      <c r="CS312" s="47">
        <f t="shared" si="1645"/>
        <v>0</v>
      </c>
      <c r="CT312" s="93">
        <f t="shared" si="1646"/>
        <v>0</v>
      </c>
      <c r="CU312" s="93">
        <f t="shared" si="1647"/>
        <v>0</v>
      </c>
      <c r="CV312" s="93">
        <f t="shared" si="1648"/>
        <v>0</v>
      </c>
      <c r="CW312" s="93"/>
      <c r="CX312" s="47">
        <f t="shared" ca="1" si="1691"/>
        <v>0</v>
      </c>
      <c r="CY312" s="47">
        <f t="shared" si="1649"/>
        <v>0</v>
      </c>
      <c r="CZ312" s="47">
        <f t="shared" si="1650"/>
        <v>0</v>
      </c>
      <c r="DA312" s="47">
        <f t="shared" si="1651"/>
        <v>0</v>
      </c>
      <c r="DB312" s="47"/>
      <c r="DC312" s="76"/>
      <c r="DD312" s="46"/>
      <c r="DE312" s="46"/>
      <c r="DF312" s="47">
        <f t="shared" ref="DF312:DF313" si="1796">DG312+DH312+DI312+DJ312</f>
        <v>0</v>
      </c>
      <c r="DG312" s="93"/>
      <c r="DH312" s="93"/>
      <c r="DI312" s="93"/>
      <c r="DJ312" s="93"/>
      <c r="DK312" s="47">
        <f t="shared" ref="DK312:DK313" si="1797">DL312+DM312+DN312+DO312</f>
        <v>0</v>
      </c>
      <c r="DL312" s="93"/>
      <c r="DM312" s="93"/>
      <c r="DN312" s="93"/>
      <c r="DO312" s="93"/>
      <c r="DP312" s="47">
        <f>DQ312+DR312+DS312+DT312</f>
        <v>0</v>
      </c>
      <c r="DQ312" s="93"/>
      <c r="DR312" s="93"/>
      <c r="DS312" s="93"/>
      <c r="DT312" s="93"/>
      <c r="DU312" s="46"/>
      <c r="DV312" s="46"/>
      <c r="DW312" s="46"/>
      <c r="DX312" s="242"/>
      <c r="DY312" s="76"/>
      <c r="DZ312" s="76"/>
      <c r="EA312" s="243"/>
      <c r="EB312" s="46"/>
      <c r="EC312" s="46"/>
      <c r="ED312" s="46"/>
      <c r="EE312" s="46"/>
      <c r="EF312" s="46"/>
      <c r="EG312" s="46"/>
      <c r="EH312" s="46"/>
      <c r="EI312" s="47">
        <f>EJ312+EK312+EN312+EO312</f>
        <v>0</v>
      </c>
      <c r="EJ312" s="93"/>
      <c r="EK312" s="93"/>
      <c r="EL312" s="93"/>
      <c r="EM312" s="93"/>
      <c r="EN312" s="93"/>
      <c r="EO312" s="93"/>
      <c r="EP312" s="47">
        <f>EQ312+ER312+EU312+EV312</f>
        <v>0</v>
      </c>
      <c r="EQ312" s="93"/>
      <c r="ER312" s="93"/>
      <c r="ES312" s="245"/>
      <c r="ET312" s="245"/>
      <c r="EU312" s="93"/>
      <c r="EV312" s="2"/>
      <c r="EW312" s="341"/>
      <c r="EX312" s="308"/>
      <c r="EY312" s="342"/>
      <c r="EZ312" s="322"/>
      <c r="FA312" s="322"/>
      <c r="FB312" s="341"/>
      <c r="FC312" s="308"/>
      <c r="FD312" s="342"/>
      <c r="FE312" s="322"/>
      <c r="FF312" s="322"/>
      <c r="FG312" s="322"/>
      <c r="FH312" s="322"/>
      <c r="FI312" s="322"/>
      <c r="FJ312" s="23"/>
      <c r="FK312" s="378"/>
      <c r="FL312" s="349"/>
      <c r="FM312" s="379"/>
      <c r="FN312" s="360"/>
      <c r="FO312" s="360"/>
      <c r="FP312" s="378"/>
      <c r="FQ312" s="349"/>
      <c r="FR312" s="379"/>
      <c r="FS312" s="360"/>
      <c r="FT312" s="360"/>
      <c r="FU312" s="360"/>
      <c r="FV312" s="360"/>
      <c r="FW312" s="360"/>
      <c r="FX312" s="341"/>
      <c r="FY312" s="308"/>
      <c r="FZ312" s="342"/>
      <c r="GA312" s="322"/>
      <c r="GB312" s="322"/>
      <c r="GC312" s="341"/>
      <c r="GD312" s="308"/>
      <c r="GE312" s="342"/>
      <c r="GF312" s="322"/>
      <c r="GG312" s="322"/>
      <c r="GH312" s="322"/>
      <c r="GI312" s="322"/>
      <c r="GJ312" s="339"/>
      <c r="GK312" s="303" t="e">
        <f t="shared" si="1637"/>
        <v>#DIV/0!</v>
      </c>
    </row>
    <row r="313" spans="2:193" s="37" customFormat="1" ht="25.9" hidden="1" customHeight="1" x14ac:dyDescent="0.2">
      <c r="B313" s="32"/>
      <c r="C313" s="33"/>
      <c r="D313" s="32"/>
      <c r="E313" s="39"/>
      <c r="F313" s="32"/>
      <c r="G313" s="33"/>
      <c r="H313" s="32"/>
      <c r="I313" s="32"/>
      <c r="J313" s="32"/>
      <c r="K313" s="32"/>
      <c r="L313" s="32"/>
      <c r="M313" s="429">
        <v>2</v>
      </c>
      <c r="N313" s="430"/>
      <c r="O313" s="66"/>
      <c r="P313" s="66"/>
      <c r="Q313" s="66"/>
      <c r="R313" s="66"/>
      <c r="S313" s="66"/>
      <c r="T313" s="252"/>
      <c r="U313" s="483"/>
      <c r="V313" s="2">
        <f>W313+X313+AA313+AB313</f>
        <v>0</v>
      </c>
      <c r="W313" s="2"/>
      <c r="X313" s="23"/>
      <c r="Y313" s="23"/>
      <c r="Z313" s="23"/>
      <c r="AA313" s="23"/>
      <c r="AB313" s="2">
        <f>AC313+AD313+AG313+AH313</f>
        <v>0</v>
      </c>
      <c r="AC313" s="2"/>
      <c r="AD313" s="23"/>
      <c r="AE313" s="23"/>
      <c r="AF313" s="23"/>
      <c r="AG313" s="23"/>
      <c r="AH313" s="143"/>
      <c r="AI313" s="141">
        <f t="shared" si="1788"/>
        <v>0</v>
      </c>
      <c r="AJ313" s="143"/>
      <c r="AK313" s="143"/>
      <c r="AL313" s="143"/>
      <c r="AM313" s="143"/>
      <c r="AN313" s="141">
        <f t="shared" si="1789"/>
        <v>0</v>
      </c>
      <c r="AO313" s="143"/>
      <c r="AP313" s="143"/>
      <c r="AQ313" s="143"/>
      <c r="AR313" s="143"/>
      <c r="AS313" s="141">
        <f t="shared" si="1790"/>
        <v>0</v>
      </c>
      <c r="AT313" s="143"/>
      <c r="AU313" s="143"/>
      <c r="AV313" s="143"/>
      <c r="AW313" s="143"/>
      <c r="AX313" s="478"/>
      <c r="AY313" s="2">
        <f t="shared" si="1791"/>
        <v>0</v>
      </c>
      <c r="AZ313" s="2"/>
      <c r="BA313" s="23"/>
      <c r="BB313" s="23"/>
      <c r="BC313" s="23"/>
      <c r="BD313" s="23"/>
      <c r="BE313" s="23"/>
      <c r="BF313" s="2" t="e">
        <f>BG313+BH313+BK313+BL313</f>
        <v>#REF!</v>
      </c>
      <c r="BG313" s="23"/>
      <c r="BH313" s="23" t="e">
        <f>#REF!-BA313</f>
        <v>#REF!</v>
      </c>
      <c r="BI313" s="23"/>
      <c r="BJ313" s="23"/>
      <c r="BK313" s="23"/>
      <c r="BL313" s="23"/>
      <c r="BM313" s="2">
        <f t="shared" si="1792"/>
        <v>0</v>
      </c>
      <c r="BN313" s="23"/>
      <c r="BO313" s="23"/>
      <c r="BP313" s="23"/>
      <c r="BQ313" s="23"/>
      <c r="BR313" s="2">
        <f t="shared" si="1793"/>
        <v>0</v>
      </c>
      <c r="BS313" s="23"/>
      <c r="BT313" s="23"/>
      <c r="BU313" s="23"/>
      <c r="BV313" s="23"/>
      <c r="BW313" s="2">
        <f t="shared" si="1794"/>
        <v>0</v>
      </c>
      <c r="BX313" s="2"/>
      <c r="BY313" s="23"/>
      <c r="BZ313" s="23"/>
      <c r="CA313" s="23"/>
      <c r="CB313" s="23"/>
      <c r="CC313" s="23"/>
      <c r="CD313" s="2">
        <f>CE313+CF313+CI313+CJ313</f>
        <v>0</v>
      </c>
      <c r="CE313" s="2"/>
      <c r="CF313" s="23"/>
      <c r="CG313" s="23"/>
      <c r="CH313" s="23"/>
      <c r="CI313" s="23"/>
      <c r="CJ313" s="143"/>
      <c r="CK313" s="2">
        <f t="shared" si="1795"/>
        <v>0</v>
      </c>
      <c r="CL313" s="23"/>
      <c r="CM313" s="23"/>
      <c r="CN313" s="23"/>
      <c r="CO313" s="23"/>
      <c r="CP313" s="3"/>
      <c r="CQ313" s="3"/>
      <c r="CR313" s="23">
        <f t="shared" si="1644"/>
        <v>0</v>
      </c>
      <c r="CS313" s="2">
        <f t="shared" si="1645"/>
        <v>0</v>
      </c>
      <c r="CT313" s="23">
        <f t="shared" si="1646"/>
        <v>0</v>
      </c>
      <c r="CU313" s="23">
        <f t="shared" si="1647"/>
        <v>0</v>
      </c>
      <c r="CV313" s="3">
        <f t="shared" si="1648"/>
        <v>0</v>
      </c>
      <c r="CW313" s="3"/>
      <c r="CX313" s="2">
        <f t="shared" ca="1" si="1691"/>
        <v>0</v>
      </c>
      <c r="CY313" s="2">
        <f t="shared" si="1649"/>
        <v>0</v>
      </c>
      <c r="CZ313" s="2">
        <f t="shared" si="1650"/>
        <v>0</v>
      </c>
      <c r="DA313" s="2">
        <f t="shared" si="1651"/>
        <v>0</v>
      </c>
      <c r="DB313" s="2"/>
      <c r="DC313" s="76"/>
      <c r="DD313" s="46"/>
      <c r="DE313" s="46"/>
      <c r="DF313" s="2">
        <f t="shared" si="1796"/>
        <v>0</v>
      </c>
      <c r="DG313" s="23"/>
      <c r="DH313" s="23"/>
      <c r="DI313" s="23"/>
      <c r="DJ313" s="23"/>
      <c r="DK313" s="2">
        <f t="shared" si="1797"/>
        <v>0</v>
      </c>
      <c r="DL313" s="23"/>
      <c r="DM313" s="23"/>
      <c r="DN313" s="23"/>
      <c r="DO313" s="23"/>
      <c r="DP313" s="2">
        <f>DQ313+DR313+DS313+DT313</f>
        <v>0</v>
      </c>
      <c r="DQ313" s="23"/>
      <c r="DR313" s="3"/>
      <c r="DS313" s="3"/>
      <c r="DT313" s="3"/>
      <c r="DU313" s="46"/>
      <c r="DV313" s="46"/>
      <c r="DW313" s="46"/>
      <c r="DX313" s="242"/>
      <c r="DY313" s="76"/>
      <c r="DZ313" s="76"/>
      <c r="EA313" s="243"/>
      <c r="EB313" s="46"/>
      <c r="EC313" s="46"/>
      <c r="ED313" s="46"/>
      <c r="EE313" s="46"/>
      <c r="EF313" s="46"/>
      <c r="EG313" s="46"/>
      <c r="EH313" s="46"/>
      <c r="EI313" s="2">
        <f t="shared" ref="EI313:EI314" si="1798">EJ313+EK313+EN313+EO313</f>
        <v>0</v>
      </c>
      <c r="EJ313" s="2"/>
      <c r="EK313" s="23"/>
      <c r="EL313" s="23"/>
      <c r="EM313" s="23"/>
      <c r="EN313" s="23"/>
      <c r="EO313" s="3"/>
      <c r="EP313" s="2">
        <f>EQ313+ER313+EU313+EV313</f>
        <v>0</v>
      </c>
      <c r="EQ313" s="23"/>
      <c r="ER313" s="23"/>
      <c r="ES313" s="195"/>
      <c r="ET313" s="195"/>
      <c r="EU313" s="3"/>
      <c r="EV313" s="228"/>
      <c r="EW313" s="310"/>
      <c r="EX313" s="322"/>
      <c r="EY313" s="339"/>
      <c r="EZ313" s="309"/>
      <c r="FA313" s="309"/>
      <c r="FB313" s="310"/>
      <c r="FC313" s="322"/>
      <c r="FD313" s="339"/>
      <c r="FE313" s="309"/>
      <c r="FF313" s="309"/>
      <c r="FG313" s="309"/>
      <c r="FH313" s="309"/>
      <c r="FI313" s="309"/>
      <c r="FJ313" s="3"/>
      <c r="FK313" s="353"/>
      <c r="FL313" s="360"/>
      <c r="FM313" s="376"/>
      <c r="FN313" s="352"/>
      <c r="FO313" s="352"/>
      <c r="FP313" s="353"/>
      <c r="FQ313" s="360"/>
      <c r="FR313" s="376"/>
      <c r="FS313" s="352"/>
      <c r="FT313" s="352"/>
      <c r="FU313" s="352"/>
      <c r="FV313" s="352"/>
      <c r="FW313" s="352"/>
      <c r="FX313" s="310"/>
      <c r="FY313" s="322"/>
      <c r="FZ313" s="339"/>
      <c r="GA313" s="309"/>
      <c r="GB313" s="309"/>
      <c r="GC313" s="310"/>
      <c r="GD313" s="322"/>
      <c r="GE313" s="339"/>
      <c r="GF313" s="309"/>
      <c r="GG313" s="309"/>
      <c r="GH313" s="309"/>
      <c r="GI313" s="309"/>
      <c r="GJ313" s="330"/>
      <c r="GK313" s="303" t="e">
        <f t="shared" si="1637"/>
        <v>#DIV/0!</v>
      </c>
    </row>
    <row r="314" spans="2:193" s="37" customFormat="1" ht="21" hidden="1" customHeight="1" x14ac:dyDescent="0.2">
      <c r="B314" s="52"/>
      <c r="C314" s="52"/>
      <c r="D314" s="52"/>
      <c r="E314" s="67"/>
      <c r="F314" s="52"/>
      <c r="G314" s="52"/>
      <c r="H314" s="52"/>
      <c r="I314" s="52"/>
      <c r="J314" s="52"/>
      <c r="K314" s="52"/>
      <c r="L314" s="52"/>
      <c r="M314" s="493">
        <v>3</v>
      </c>
      <c r="N314" s="431"/>
      <c r="O314" s="66"/>
      <c r="P314" s="66"/>
      <c r="Q314" s="66"/>
      <c r="R314" s="66"/>
      <c r="S314" s="66"/>
      <c r="T314" s="252"/>
      <c r="U314" s="483"/>
      <c r="V314" s="2">
        <f>W314+X314+AA314+AB314</f>
        <v>0</v>
      </c>
      <c r="W314" s="23"/>
      <c r="X314" s="23"/>
      <c r="Y314" s="23"/>
      <c r="Z314" s="23"/>
      <c r="AA314" s="23"/>
      <c r="AB314" s="2">
        <f>AC314+AD314+AG314+AH314</f>
        <v>0</v>
      </c>
      <c r="AC314" s="23"/>
      <c r="AD314" s="23"/>
      <c r="AE314" s="23"/>
      <c r="AF314" s="23"/>
      <c r="AG314" s="23"/>
      <c r="AH314" s="143"/>
      <c r="AI314" s="141"/>
      <c r="AJ314" s="143"/>
      <c r="AK314" s="143"/>
      <c r="AL314" s="143"/>
      <c r="AM314" s="143"/>
      <c r="AN314" s="141"/>
      <c r="AO314" s="143"/>
      <c r="AP314" s="143"/>
      <c r="AQ314" s="143"/>
      <c r="AR314" s="143"/>
      <c r="AS314" s="141"/>
      <c r="AT314" s="143"/>
      <c r="AU314" s="143"/>
      <c r="AV314" s="143"/>
      <c r="AW314" s="143"/>
      <c r="AX314" s="478"/>
      <c r="AY314" s="2">
        <f t="shared" si="1791"/>
        <v>0</v>
      </c>
      <c r="AZ314" s="23"/>
      <c r="BA314" s="23"/>
      <c r="BB314" s="23"/>
      <c r="BC314" s="23"/>
      <c r="BD314" s="23"/>
      <c r="BE314" s="23"/>
      <c r="BF314" s="2" t="e">
        <f>BG314+BH314+BK314+BL314</f>
        <v>#REF!</v>
      </c>
      <c r="BG314" s="23"/>
      <c r="BH314" s="23" t="e">
        <f>#REF!-BA314</f>
        <v>#REF!</v>
      </c>
      <c r="BI314" s="23"/>
      <c r="BJ314" s="23"/>
      <c r="BK314" s="23"/>
      <c r="BL314" s="23"/>
      <c r="BM314" s="2">
        <f t="shared" si="1792"/>
        <v>691</v>
      </c>
      <c r="BN314" s="23">
        <v>691</v>
      </c>
      <c r="BO314" s="23"/>
      <c r="BP314" s="23"/>
      <c r="BQ314" s="23"/>
      <c r="BR314" s="2"/>
      <c r="BS314" s="23"/>
      <c r="BT314" s="23"/>
      <c r="BU314" s="23"/>
      <c r="BV314" s="23"/>
      <c r="BW314" s="2">
        <f t="shared" si="1794"/>
        <v>0</v>
      </c>
      <c r="BX314" s="23"/>
      <c r="BY314" s="23"/>
      <c r="BZ314" s="23"/>
      <c r="CA314" s="23"/>
      <c r="CB314" s="23"/>
      <c r="CC314" s="23"/>
      <c r="CD314" s="2">
        <f>CE314+CF314+CI314+CJ314</f>
        <v>0</v>
      </c>
      <c r="CE314" s="23"/>
      <c r="CF314" s="23"/>
      <c r="CG314" s="23"/>
      <c r="CH314" s="23"/>
      <c r="CI314" s="23"/>
      <c r="CJ314" s="143"/>
      <c r="CK314" s="2">
        <f t="shared" si="1795"/>
        <v>0</v>
      </c>
      <c r="CL314" s="23"/>
      <c r="CM314" s="23"/>
      <c r="CN314" s="23"/>
      <c r="CO314" s="23"/>
      <c r="CP314" s="3"/>
      <c r="CQ314" s="3"/>
      <c r="CR314" s="83">
        <f t="shared" si="1644"/>
        <v>0</v>
      </c>
      <c r="CS314" s="23">
        <f t="shared" si="1645"/>
        <v>0</v>
      </c>
      <c r="CT314" s="23">
        <f t="shared" si="1646"/>
        <v>0</v>
      </c>
      <c r="CU314" s="23">
        <f t="shared" si="1647"/>
        <v>0</v>
      </c>
      <c r="CV314" s="3">
        <f t="shared" si="1648"/>
        <v>0</v>
      </c>
      <c r="CW314" s="3"/>
      <c r="CX314" s="2">
        <f t="shared" ca="1" si="1691"/>
        <v>0</v>
      </c>
      <c r="CY314" s="2">
        <f t="shared" si="1649"/>
        <v>0</v>
      </c>
      <c r="CZ314" s="2">
        <f t="shared" si="1650"/>
        <v>0</v>
      </c>
      <c r="DA314" s="2">
        <f t="shared" si="1651"/>
        <v>0</v>
      </c>
      <c r="DB314" s="2"/>
      <c r="DC314" s="76"/>
      <c r="DD314" s="46"/>
      <c r="DE314" s="46"/>
      <c r="DF314" s="2"/>
      <c r="DG314" s="23"/>
      <c r="DH314" s="23"/>
      <c r="DI314" s="23"/>
      <c r="DJ314" s="23"/>
      <c r="DK314" s="2"/>
      <c r="DL314" s="23"/>
      <c r="DM314" s="23"/>
      <c r="DN314" s="23"/>
      <c r="DO314" s="23"/>
      <c r="DP314" s="2"/>
      <c r="DQ314" s="23"/>
      <c r="DR314" s="3"/>
      <c r="DS314" s="3"/>
      <c r="DT314" s="3"/>
      <c r="DU314" s="46"/>
      <c r="DV314" s="46"/>
      <c r="DW314" s="46"/>
      <c r="DX314" s="242"/>
      <c r="DY314" s="76"/>
      <c r="DZ314" s="76"/>
      <c r="EA314" s="243"/>
      <c r="EB314" s="46"/>
      <c r="EC314" s="46"/>
      <c r="ED314" s="46"/>
      <c r="EE314" s="46"/>
      <c r="EF314" s="46"/>
      <c r="EG314" s="46"/>
      <c r="EH314" s="46"/>
      <c r="EI314" s="2">
        <f t="shared" si="1798"/>
        <v>0</v>
      </c>
      <c r="EJ314" s="23"/>
      <c r="EK314" s="23"/>
      <c r="EL314" s="23"/>
      <c r="EM314" s="23"/>
      <c r="EN314" s="23"/>
      <c r="EO314" s="3"/>
      <c r="EP314" s="2">
        <f t="shared" ref="EP314" si="1799">EQ314+ER314+EU314+EV314</f>
        <v>0</v>
      </c>
      <c r="EQ314" s="23"/>
      <c r="ER314" s="23"/>
      <c r="ES314" s="94"/>
      <c r="ET314" s="94"/>
      <c r="EU314" s="3"/>
      <c r="EV314" s="228"/>
      <c r="EW314" s="310"/>
      <c r="EX314" s="322"/>
      <c r="EY314" s="330"/>
      <c r="EZ314" s="309"/>
      <c r="FA314" s="309"/>
      <c r="FB314" s="310"/>
      <c r="FC314" s="322"/>
      <c r="FD314" s="330"/>
      <c r="FE314" s="309"/>
      <c r="FF314" s="309"/>
      <c r="FG314" s="309"/>
      <c r="FH314" s="309"/>
      <c r="FI314" s="309"/>
      <c r="FJ314" s="3"/>
      <c r="FK314" s="353"/>
      <c r="FL314" s="360"/>
      <c r="FM314" s="367"/>
      <c r="FN314" s="352"/>
      <c r="FO314" s="352"/>
      <c r="FP314" s="353"/>
      <c r="FQ314" s="360"/>
      <c r="FR314" s="367"/>
      <c r="FS314" s="352"/>
      <c r="FT314" s="352"/>
      <c r="FU314" s="352"/>
      <c r="FV314" s="352"/>
      <c r="FW314" s="352"/>
      <c r="FX314" s="310"/>
      <c r="FY314" s="322"/>
      <c r="FZ314" s="330"/>
      <c r="GA314" s="309"/>
      <c r="GB314" s="309"/>
      <c r="GC314" s="310"/>
      <c r="GD314" s="322"/>
      <c r="GE314" s="330"/>
      <c r="GF314" s="309"/>
      <c r="GG314" s="309"/>
      <c r="GH314" s="309"/>
      <c r="GI314" s="309"/>
      <c r="GJ314" s="330"/>
      <c r="GK314" s="303" t="e">
        <f t="shared" si="1637"/>
        <v>#DIV/0!</v>
      </c>
    </row>
    <row r="315" spans="2:193" s="37" customFormat="1" ht="21" hidden="1" customHeight="1" x14ac:dyDescent="0.2">
      <c r="B315" s="52"/>
      <c r="C315" s="52"/>
      <c r="D315" s="52"/>
      <c r="E315" s="67"/>
      <c r="F315" s="52"/>
      <c r="G315" s="52"/>
      <c r="H315" s="52"/>
      <c r="I315" s="52"/>
      <c r="J315" s="52"/>
      <c r="K315" s="52"/>
      <c r="L315" s="52"/>
      <c r="M315" s="719"/>
      <c r="N315" s="720"/>
      <c r="O315" s="483"/>
      <c r="P315" s="483"/>
      <c r="Q315" s="483"/>
      <c r="R315" s="483"/>
      <c r="S315" s="483"/>
      <c r="T315" s="252"/>
      <c r="U315" s="483"/>
      <c r="V315" s="561"/>
      <c r="W315" s="561"/>
      <c r="X315" s="561"/>
      <c r="Y315" s="561"/>
      <c r="Z315" s="561"/>
      <c r="AA315" s="561"/>
      <c r="AB315" s="561"/>
      <c r="AC315" s="561"/>
      <c r="AD315" s="561"/>
      <c r="AE315" s="561"/>
      <c r="AF315" s="561"/>
      <c r="AG315" s="561"/>
      <c r="AH315" s="562"/>
      <c r="AI315" s="562"/>
      <c r="AJ315" s="562"/>
      <c r="AK315" s="562"/>
      <c r="AL315" s="562"/>
      <c r="AM315" s="562"/>
      <c r="AN315" s="562"/>
      <c r="AO315" s="562"/>
      <c r="AP315" s="562"/>
      <c r="AQ315" s="562"/>
      <c r="AR315" s="562"/>
      <c r="AS315" s="563"/>
      <c r="AT315" s="563"/>
      <c r="AU315" s="563"/>
      <c r="AV315" s="563"/>
      <c r="AW315" s="563"/>
      <c r="AX315" s="421"/>
      <c r="AY315" s="23"/>
      <c r="AZ315" s="23"/>
      <c r="BA315" s="23"/>
      <c r="BB315" s="23"/>
      <c r="BC315" s="23"/>
      <c r="BD315" s="23"/>
      <c r="BE315" s="23"/>
      <c r="BF315" s="2"/>
      <c r="BG315" s="23"/>
      <c r="BH315" s="23"/>
      <c r="BI315" s="23"/>
      <c r="BJ315" s="23"/>
      <c r="BK315" s="23"/>
      <c r="BL315" s="23"/>
      <c r="BM315" s="2"/>
      <c r="BN315" s="23"/>
      <c r="BO315" s="23"/>
      <c r="BP315" s="23"/>
      <c r="BQ315" s="23"/>
      <c r="BR315" s="2"/>
      <c r="BS315" s="23"/>
      <c r="BT315" s="23"/>
      <c r="BU315" s="23"/>
      <c r="BV315" s="23"/>
      <c r="BW315" s="2"/>
      <c r="BX315" s="23"/>
      <c r="BY315" s="23"/>
      <c r="BZ315" s="23"/>
      <c r="CA315" s="23"/>
      <c r="CB315" s="23"/>
      <c r="CC315" s="23"/>
      <c r="CD315" s="2"/>
      <c r="CE315" s="23"/>
      <c r="CF315" s="23"/>
      <c r="CG315" s="23"/>
      <c r="CH315" s="23"/>
      <c r="CI315" s="23"/>
      <c r="CJ315" s="143"/>
      <c r="CK315" s="2"/>
      <c r="CL315" s="23"/>
      <c r="CM315" s="23"/>
      <c r="CN315" s="23"/>
      <c r="CO315" s="23"/>
      <c r="CP315" s="3"/>
      <c r="CQ315" s="3"/>
      <c r="CR315" s="23">
        <f t="shared" si="1644"/>
        <v>0</v>
      </c>
      <c r="CS315" s="2">
        <f t="shared" si="1645"/>
        <v>0</v>
      </c>
      <c r="CT315" s="23">
        <f t="shared" si="1646"/>
        <v>0</v>
      </c>
      <c r="CU315" s="23">
        <f t="shared" si="1647"/>
        <v>0</v>
      </c>
      <c r="CV315" s="3">
        <f t="shared" si="1648"/>
        <v>0</v>
      </c>
      <c r="CW315" s="3"/>
      <c r="CX315" s="2">
        <f t="shared" ca="1" si="1691"/>
        <v>0</v>
      </c>
      <c r="CY315" s="2">
        <f t="shared" si="1649"/>
        <v>0</v>
      </c>
      <c r="CZ315" s="2">
        <f t="shared" si="1650"/>
        <v>0</v>
      </c>
      <c r="DA315" s="2">
        <f t="shared" si="1651"/>
        <v>0</v>
      </c>
      <c r="DB315" s="2"/>
      <c r="DC315" s="76"/>
      <c r="DD315" s="46"/>
      <c r="DE315" s="46"/>
      <c r="DF315" s="2"/>
      <c r="DG315" s="23"/>
      <c r="DH315" s="23"/>
      <c r="DI315" s="23"/>
      <c r="DJ315" s="23"/>
      <c r="DK315" s="2"/>
      <c r="DL315" s="23"/>
      <c r="DM315" s="23"/>
      <c r="DN315" s="23"/>
      <c r="DO315" s="23"/>
      <c r="DP315" s="2"/>
      <c r="DQ315" s="23"/>
      <c r="DR315" s="3"/>
      <c r="DS315" s="3"/>
      <c r="DT315" s="3"/>
      <c r="DU315" s="46"/>
      <c r="DV315" s="46"/>
      <c r="DW315" s="46"/>
      <c r="DX315" s="242"/>
      <c r="DY315" s="76"/>
      <c r="DZ315" s="76"/>
      <c r="EA315" s="243"/>
      <c r="EB315" s="46"/>
      <c r="EC315" s="46"/>
      <c r="ED315" s="46"/>
      <c r="EE315" s="46"/>
      <c r="EF315" s="46"/>
      <c r="EG315" s="46"/>
      <c r="EH315" s="46"/>
      <c r="EI315" s="2"/>
      <c r="EJ315" s="23"/>
      <c r="EK315" s="23"/>
      <c r="EL315" s="23"/>
      <c r="EM315" s="23"/>
      <c r="EN315" s="23"/>
      <c r="EO315" s="3"/>
      <c r="EP315" s="2"/>
      <c r="EQ315" s="23"/>
      <c r="ER315" s="23"/>
      <c r="ES315" s="94"/>
      <c r="ET315" s="94"/>
      <c r="EU315" s="3"/>
      <c r="EV315" s="228"/>
      <c r="EW315" s="310"/>
      <c r="EX315" s="322"/>
      <c r="EY315" s="330"/>
      <c r="EZ315" s="309"/>
      <c r="FA315" s="309"/>
      <c r="FB315" s="310"/>
      <c r="FC315" s="322"/>
      <c r="FD315" s="330"/>
      <c r="FE315" s="309"/>
      <c r="FF315" s="309"/>
      <c r="FG315" s="309"/>
      <c r="FH315" s="309"/>
      <c r="FI315" s="309"/>
      <c r="FJ315" s="3"/>
      <c r="FK315" s="353"/>
      <c r="FL315" s="360"/>
      <c r="FM315" s="367"/>
      <c r="FN315" s="352"/>
      <c r="FO315" s="352"/>
      <c r="FP315" s="353"/>
      <c r="FQ315" s="360"/>
      <c r="FR315" s="367"/>
      <c r="FS315" s="352"/>
      <c r="FT315" s="352"/>
      <c r="FU315" s="352"/>
      <c r="FV315" s="352"/>
      <c r="FW315" s="352"/>
      <c r="FX315" s="310"/>
      <c r="FY315" s="322"/>
      <c r="FZ315" s="330"/>
      <c r="GA315" s="309"/>
      <c r="GB315" s="309"/>
      <c r="GC315" s="310"/>
      <c r="GD315" s="322"/>
      <c r="GE315" s="330"/>
      <c r="GF315" s="309"/>
      <c r="GG315" s="309"/>
      <c r="GH315" s="309"/>
      <c r="GI315" s="309"/>
      <c r="GJ315" s="330"/>
      <c r="GK315" s="303" t="e">
        <f t="shared" si="1637"/>
        <v>#DIV/0!</v>
      </c>
    </row>
    <row r="316" spans="2:193" s="115" customFormat="1" ht="27" hidden="1" customHeight="1" x14ac:dyDescent="0.25">
      <c r="B316" s="125"/>
      <c r="C316" s="126"/>
      <c r="D316" s="126"/>
      <c r="M316" s="711" t="s">
        <v>358</v>
      </c>
      <c r="N316" s="712"/>
      <c r="O316" s="485"/>
      <c r="P316" s="485"/>
      <c r="Q316" s="485"/>
      <c r="R316" s="485"/>
      <c r="S316" s="485"/>
      <c r="T316" s="161">
        <f>T312+T313+T314</f>
        <v>0</v>
      </c>
      <c r="U316" s="161">
        <f>U312+U313+U314</f>
        <v>0</v>
      </c>
      <c r="V316" s="57">
        <f>V312+V313+V314</f>
        <v>0</v>
      </c>
      <c r="W316" s="57">
        <f>W312+W313+W314+W315</f>
        <v>0</v>
      </c>
      <c r="X316" s="57">
        <f>X312+X313</f>
        <v>0</v>
      </c>
      <c r="Y316" s="57"/>
      <c r="Z316" s="57"/>
      <c r="AA316" s="57">
        <f t="shared" ref="AA316" si="1800">AA312+AA313+AA314+AA315</f>
        <v>0</v>
      </c>
      <c r="AB316" s="57">
        <f>AB312+AB313+AB314</f>
        <v>0</v>
      </c>
      <c r="AC316" s="57">
        <f>AC312+AC313+AC314+AC315</f>
        <v>0</v>
      </c>
      <c r="AD316" s="57">
        <f>AD312+AD313</f>
        <v>0</v>
      </c>
      <c r="AE316" s="57"/>
      <c r="AF316" s="57"/>
      <c r="AG316" s="57">
        <f t="shared" ref="AG316" si="1801">AG312+AG313+AG314+AG315</f>
        <v>0</v>
      </c>
      <c r="AH316" s="57">
        <f t="shared" ref="AH316" si="1802">AH312+AH313+AH314+AH315</f>
        <v>0</v>
      </c>
      <c r="AI316" s="57">
        <f>AK316</f>
        <v>0</v>
      </c>
      <c r="AJ316" s="57"/>
      <c r="AK316" s="57">
        <f>AK312+AK313</f>
        <v>0</v>
      </c>
      <c r="AL316" s="57"/>
      <c r="AM316" s="57"/>
      <c r="AN316" s="57">
        <f>AP316</f>
        <v>0</v>
      </c>
      <c r="AO316" s="57"/>
      <c r="AP316" s="57">
        <f>AP312+AP313</f>
        <v>0</v>
      </c>
      <c r="AQ316" s="57"/>
      <c r="AR316" s="57"/>
      <c r="AS316" s="57">
        <f>AU316</f>
        <v>0</v>
      </c>
      <c r="AT316" s="57"/>
      <c r="AU316" s="57">
        <f>AU312+AU313</f>
        <v>0</v>
      </c>
      <c r="AV316" s="57"/>
      <c r="AW316" s="57"/>
      <c r="AX316" s="114"/>
      <c r="AY316" s="57">
        <f>AY312+AY313+AY314+AY315</f>
        <v>0</v>
      </c>
      <c r="AZ316" s="57">
        <f>AZ312+AZ313+AZ314+AZ315</f>
        <v>0</v>
      </c>
      <c r="BA316" s="57">
        <f>BA312+BA313+BA314+BA315</f>
        <v>0</v>
      </c>
      <c r="BB316" s="57"/>
      <c r="BC316" s="57"/>
      <c r="BD316" s="57">
        <f>BD312+BD313+BD314+BD315</f>
        <v>0</v>
      </c>
      <c r="BE316" s="57">
        <f>BE312+BE313+BE314+BE315</f>
        <v>0</v>
      </c>
      <c r="BF316" s="57" t="e">
        <f>BF300+BF304</f>
        <v>#REF!</v>
      </c>
      <c r="BG316" s="57">
        <f t="shared" ref="BG316:BL316" si="1803">BG312+BG313+BG314</f>
        <v>0</v>
      </c>
      <c r="BH316" s="57" t="e">
        <f t="shared" si="1803"/>
        <v>#REF!</v>
      </c>
      <c r="BI316" s="57"/>
      <c r="BJ316" s="57"/>
      <c r="BK316" s="57">
        <f t="shared" si="1803"/>
        <v>0</v>
      </c>
      <c r="BL316" s="57">
        <f t="shared" si="1803"/>
        <v>0</v>
      </c>
      <c r="BM316" s="57">
        <f>BM312+BM313+BM314+BM315</f>
        <v>10226.06</v>
      </c>
      <c r="BN316" s="57">
        <f>BN312+BN313+BN314+BN315</f>
        <v>10226.06</v>
      </c>
      <c r="BO316" s="57">
        <f>BO312+BO313+BO314+BO315</f>
        <v>0</v>
      </c>
      <c r="BP316" s="57">
        <f t="shared" ref="BP316:BQ316" si="1804">BP312+BP313+BP314+BP315</f>
        <v>0</v>
      </c>
      <c r="BQ316" s="57">
        <f t="shared" si="1804"/>
        <v>0</v>
      </c>
      <c r="BR316" s="57"/>
      <c r="BS316" s="57"/>
      <c r="BT316" s="57"/>
      <c r="BU316" s="57"/>
      <c r="BV316" s="57"/>
      <c r="BW316" s="57">
        <f>BW312+BW313+BW314+BW315</f>
        <v>0</v>
      </c>
      <c r="BX316" s="57">
        <f>BX312+BX313+BX314</f>
        <v>0</v>
      </c>
      <c r="BY316" s="57">
        <f>BY312+BY313+BY314+BY315</f>
        <v>0</v>
      </c>
      <c r="BZ316" s="57"/>
      <c r="CA316" s="57"/>
      <c r="CB316" s="57">
        <f t="shared" ref="CB316:DB316" si="1805">CB312+CB313+CB314+CB315</f>
        <v>0</v>
      </c>
      <c r="CC316" s="57">
        <f t="shared" si="1805"/>
        <v>0</v>
      </c>
      <c r="CD316" s="57">
        <f t="shared" si="1805"/>
        <v>0</v>
      </c>
      <c r="CE316" s="57">
        <f>CE312+CE313+CE314</f>
        <v>0</v>
      </c>
      <c r="CF316" s="57">
        <f>CF312+CF313+CF314+CF315</f>
        <v>0</v>
      </c>
      <c r="CG316" s="57"/>
      <c r="CH316" s="57"/>
      <c r="CI316" s="57">
        <f t="shared" ref="CI316" si="1806">CI312+CI313+CI314+CI315</f>
        <v>0</v>
      </c>
      <c r="CJ316" s="57">
        <f t="shared" si="1805"/>
        <v>0</v>
      </c>
      <c r="CK316" s="57">
        <f t="shared" si="1805"/>
        <v>0</v>
      </c>
      <c r="CL316" s="57">
        <f t="shared" si="1805"/>
        <v>0</v>
      </c>
      <c r="CM316" s="57">
        <f t="shared" si="1805"/>
        <v>0</v>
      </c>
      <c r="CN316" s="57"/>
      <c r="CO316" s="57"/>
      <c r="CP316" s="57">
        <f t="shared" si="1805"/>
        <v>0</v>
      </c>
      <c r="CQ316" s="57">
        <f t="shared" si="1805"/>
        <v>0</v>
      </c>
      <c r="CR316" s="246">
        <f t="shared" si="1805"/>
        <v>0</v>
      </c>
      <c r="CS316" s="57">
        <f t="shared" si="1645"/>
        <v>0</v>
      </c>
      <c r="CT316" s="57">
        <f t="shared" si="1646"/>
        <v>0</v>
      </c>
      <c r="CU316" s="57">
        <f t="shared" si="1647"/>
        <v>0</v>
      </c>
      <c r="CV316" s="57">
        <f t="shared" si="1648"/>
        <v>0</v>
      </c>
      <c r="CW316" s="57">
        <f t="shared" si="1805"/>
        <v>0</v>
      </c>
      <c r="CX316" s="57">
        <f t="shared" ca="1" si="1691"/>
        <v>0</v>
      </c>
      <c r="CY316" s="57">
        <f t="shared" si="1649"/>
        <v>0</v>
      </c>
      <c r="CZ316" s="57">
        <f t="shared" si="1650"/>
        <v>0</v>
      </c>
      <c r="DA316" s="57">
        <f t="shared" si="1651"/>
        <v>0</v>
      </c>
      <c r="DB316" s="57">
        <f t="shared" si="1805"/>
        <v>0</v>
      </c>
      <c r="DC316" s="225"/>
      <c r="DD316" s="124"/>
      <c r="DE316" s="124"/>
      <c r="DF316" s="57"/>
      <c r="DG316" s="57"/>
      <c r="DH316" s="57"/>
      <c r="DI316" s="57"/>
      <c r="DJ316" s="57"/>
      <c r="DK316" s="57"/>
      <c r="DL316" s="57"/>
      <c r="DM316" s="57"/>
      <c r="DN316" s="57"/>
      <c r="DO316" s="57"/>
      <c r="DP316" s="57">
        <f>DP300+DP304</f>
        <v>0</v>
      </c>
      <c r="DQ316" s="57">
        <f>DQ300+DQ304</f>
        <v>0</v>
      </c>
      <c r="DR316" s="57">
        <f>DR300+DR304</f>
        <v>0</v>
      </c>
      <c r="DS316" s="57">
        <f>DS300+DS304</f>
        <v>0</v>
      </c>
      <c r="DT316" s="57">
        <f>DT300+DT304</f>
        <v>0</v>
      </c>
      <c r="DU316" s="124"/>
      <c r="DV316" s="124"/>
      <c r="DW316" s="124"/>
      <c r="DX316" s="240"/>
      <c r="DY316" s="225"/>
      <c r="DZ316" s="225"/>
      <c r="EA316" s="241"/>
      <c r="EB316" s="124"/>
      <c r="EC316" s="124"/>
      <c r="ED316" s="124"/>
      <c r="EE316" s="124"/>
      <c r="EF316" s="124"/>
      <c r="EG316" s="124"/>
      <c r="EH316" s="124"/>
      <c r="EI316" s="57">
        <f>EI312+EI313+EI314</f>
        <v>0</v>
      </c>
      <c r="EJ316" s="57">
        <f t="shared" ref="EJ316" si="1807">EJ312+EJ313+EJ314+EJ315</f>
        <v>0</v>
      </c>
      <c r="EK316" s="57">
        <f>EK312+EK313+EK314+EK315</f>
        <v>0</v>
      </c>
      <c r="EL316" s="57"/>
      <c r="EM316" s="57"/>
      <c r="EN316" s="57">
        <f t="shared" ref="EN316" si="1808">EN312+EN313+EN314+EN315</f>
        <v>0</v>
      </c>
      <c r="EO316" s="57"/>
      <c r="EP316" s="57">
        <f t="shared" ref="EP316" si="1809">EP312+EP313+EP314</f>
        <v>0</v>
      </c>
      <c r="EQ316" s="57">
        <f t="shared" ref="EQ316:ER316" si="1810">EQ312+EQ313+EQ314+EQ315</f>
        <v>0</v>
      </c>
      <c r="ER316" s="57">
        <f t="shared" si="1810"/>
        <v>0</v>
      </c>
      <c r="ES316" s="77"/>
      <c r="ET316" s="77"/>
      <c r="EU316" s="57">
        <f t="shared" ref="EU316" si="1811">EU312+EU313+EU314+EU315</f>
        <v>0</v>
      </c>
      <c r="EV316" s="224">
        <f t="shared" ref="EV316" si="1812">EV312+EV313+EV314</f>
        <v>0</v>
      </c>
      <c r="EW316" s="57"/>
      <c r="EX316" s="57"/>
      <c r="EY316" s="77"/>
      <c r="EZ316" s="57"/>
      <c r="FA316" s="57"/>
      <c r="FB316" s="57"/>
      <c r="FC316" s="57"/>
      <c r="FD316" s="77"/>
      <c r="FE316" s="57"/>
      <c r="FF316" s="57"/>
      <c r="FG316" s="57"/>
      <c r="FH316" s="57"/>
      <c r="FI316" s="57"/>
      <c r="FJ316" s="57">
        <f t="shared" ref="FJ316" si="1813">FJ312+FJ313+FJ314</f>
        <v>0</v>
      </c>
      <c r="FK316" s="57"/>
      <c r="FL316" s="57"/>
      <c r="FM316" s="77"/>
      <c r="FN316" s="57"/>
      <c r="FO316" s="57"/>
      <c r="FP316" s="57"/>
      <c r="FQ316" s="57"/>
      <c r="FR316" s="77"/>
      <c r="FS316" s="57"/>
      <c r="FT316" s="57"/>
      <c r="FU316" s="57"/>
      <c r="FV316" s="57"/>
      <c r="FW316" s="57"/>
      <c r="FX316" s="57"/>
      <c r="FY316" s="57"/>
      <c r="FZ316" s="77"/>
      <c r="GA316" s="57"/>
      <c r="GB316" s="57"/>
      <c r="GC316" s="57"/>
      <c r="GD316" s="57"/>
      <c r="GE316" s="77"/>
      <c r="GF316" s="57"/>
      <c r="GG316" s="57"/>
      <c r="GH316" s="57"/>
      <c r="GI316" s="57"/>
      <c r="GJ316" s="77"/>
      <c r="GK316" s="462" t="e">
        <f t="shared" si="1637"/>
        <v>#DIV/0!</v>
      </c>
    </row>
    <row r="317" spans="2:193" s="37" customFormat="1" ht="12.75" hidden="1" customHeight="1" thickBot="1" x14ac:dyDescent="0.25">
      <c r="B317" s="52"/>
      <c r="C317" s="52"/>
      <c r="D317" s="52"/>
      <c r="E317" s="67"/>
      <c r="F317" s="52"/>
      <c r="G317" s="52"/>
      <c r="H317" s="52"/>
      <c r="I317" s="52"/>
      <c r="J317" s="52"/>
      <c r="K317" s="52"/>
      <c r="L317" s="52"/>
      <c r="M317" s="81"/>
      <c r="N317" s="81"/>
      <c r="O317" s="81"/>
      <c r="P317" s="81"/>
      <c r="Q317" s="81"/>
      <c r="R317" s="81"/>
      <c r="S317" s="81"/>
      <c r="T317" s="81"/>
      <c r="U317" s="81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83"/>
      <c r="AX317" s="188"/>
      <c r="AY317" s="83"/>
      <c r="AZ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3"/>
      <c r="BK317" s="83"/>
      <c r="BL317" s="83"/>
      <c r="BM317" s="83"/>
      <c r="BN317" s="83"/>
      <c r="BO317" s="83"/>
      <c r="BP317" s="83"/>
      <c r="BQ317" s="83"/>
      <c r="BR317" s="83"/>
      <c r="BS317" s="83"/>
      <c r="BT317" s="83"/>
      <c r="BU317" s="83"/>
      <c r="BV317" s="83"/>
      <c r="BW317" s="83"/>
      <c r="BX317" s="83"/>
      <c r="BY317" s="83"/>
      <c r="BZ317" s="83"/>
      <c r="CA317" s="83"/>
      <c r="CB317" s="83"/>
      <c r="CC317" s="83"/>
      <c r="CD317" s="83"/>
      <c r="CE317" s="83"/>
      <c r="CF317" s="83"/>
      <c r="CG317" s="83"/>
      <c r="CH317" s="83"/>
      <c r="CI317" s="83"/>
      <c r="CJ317" s="83"/>
      <c r="CK317" s="83"/>
      <c r="CL317" s="83"/>
      <c r="CM317" s="83"/>
      <c r="CN317" s="83"/>
      <c r="CO317" s="83"/>
      <c r="CP317" s="83"/>
      <c r="CQ317" s="83"/>
      <c r="CR317" s="78"/>
      <c r="CS317" s="83">
        <f t="shared" si="1645"/>
        <v>0</v>
      </c>
      <c r="CT317" s="83">
        <f t="shared" si="1646"/>
        <v>0</v>
      </c>
      <c r="CU317" s="83">
        <f t="shared" si="1647"/>
        <v>0</v>
      </c>
      <c r="CV317" s="83">
        <f t="shared" si="1648"/>
        <v>0</v>
      </c>
      <c r="CW317" s="83"/>
      <c r="CX317" s="83">
        <f t="shared" ca="1" si="1691"/>
        <v>0</v>
      </c>
      <c r="CY317" s="83">
        <f t="shared" si="1649"/>
        <v>0</v>
      </c>
      <c r="CZ317" s="83">
        <f t="shared" si="1650"/>
        <v>0</v>
      </c>
      <c r="DA317" s="83">
        <f t="shared" si="1651"/>
        <v>0</v>
      </c>
      <c r="DB317" s="83"/>
      <c r="DC317" s="76"/>
      <c r="DD317" s="46"/>
      <c r="DE317" s="46"/>
      <c r="DF317" s="83"/>
      <c r="DG317" s="83"/>
      <c r="DH317" s="83"/>
      <c r="DI317" s="83"/>
      <c r="DJ317" s="83"/>
      <c r="DK317" s="83"/>
      <c r="DL317" s="83"/>
      <c r="DM317" s="83"/>
      <c r="DN317" s="83"/>
      <c r="DO317" s="83"/>
      <c r="DP317" s="83"/>
      <c r="DQ317" s="83"/>
      <c r="DR317" s="83"/>
      <c r="DS317" s="83"/>
      <c r="DT317" s="83"/>
      <c r="DU317" s="46"/>
      <c r="DV317" s="46"/>
      <c r="DW317" s="46"/>
      <c r="DX317" s="247" t="s">
        <v>303</v>
      </c>
      <c r="DY317" s="76"/>
      <c r="DZ317" s="76"/>
      <c r="EA317" s="243"/>
      <c r="EB317" s="46"/>
      <c r="EC317" s="46"/>
      <c r="ED317" s="46"/>
      <c r="EE317" s="46"/>
      <c r="EF317" s="46"/>
      <c r="EG317" s="46"/>
      <c r="EH317" s="46"/>
      <c r="EI317" s="83"/>
      <c r="EJ317" s="83"/>
      <c r="EK317" s="83"/>
      <c r="EL317" s="83"/>
      <c r="EM317" s="83"/>
      <c r="EN317" s="83"/>
      <c r="EO317" s="83"/>
      <c r="EP317" s="83"/>
      <c r="EQ317" s="83"/>
      <c r="ER317" s="83"/>
      <c r="ES317" s="83"/>
      <c r="ET317" s="83"/>
      <c r="EU317" s="83"/>
      <c r="EV317" s="2"/>
      <c r="EW317" s="343"/>
      <c r="EX317" s="343"/>
      <c r="EY317" s="343"/>
      <c r="EZ317" s="322"/>
      <c r="FA317" s="322"/>
      <c r="FB317" s="343"/>
      <c r="FC317" s="343"/>
      <c r="FD317" s="343"/>
      <c r="FE317" s="322"/>
      <c r="FF317" s="322"/>
      <c r="FG317" s="322"/>
      <c r="FH317" s="322"/>
      <c r="FI317" s="322"/>
      <c r="FJ317" s="23"/>
      <c r="FK317" s="380"/>
      <c r="FL317" s="380"/>
      <c r="FM317" s="380"/>
      <c r="FN317" s="360"/>
      <c r="FO317" s="360"/>
      <c r="FP317" s="380"/>
      <c r="FQ317" s="380"/>
      <c r="FR317" s="380"/>
      <c r="FS317" s="360"/>
      <c r="FT317" s="360"/>
      <c r="FU317" s="360"/>
      <c r="FV317" s="360"/>
      <c r="FW317" s="360"/>
      <c r="FX317" s="343"/>
      <c r="FY317" s="343"/>
      <c r="FZ317" s="343"/>
      <c r="GA317" s="322"/>
      <c r="GB317" s="322"/>
      <c r="GC317" s="343"/>
      <c r="GD317" s="343"/>
      <c r="GE317" s="343"/>
      <c r="GF317" s="322"/>
      <c r="GG317" s="322"/>
      <c r="GH317" s="322"/>
      <c r="GI317" s="322"/>
      <c r="GJ317" s="339"/>
      <c r="GK317" s="303" t="e">
        <f t="shared" si="1637"/>
        <v>#DIV/0!</v>
      </c>
    </row>
    <row r="318" spans="2:193" s="115" customFormat="1" ht="16.5" hidden="1" thickBot="1" x14ac:dyDescent="0.3">
      <c r="B318" s="125"/>
      <c r="C318" s="126"/>
      <c r="D318" s="126"/>
      <c r="M318" s="715" t="s">
        <v>280</v>
      </c>
      <c r="N318" s="716"/>
      <c r="O318" s="485"/>
      <c r="P318" s="485"/>
      <c r="Q318" s="485"/>
      <c r="R318" s="485"/>
      <c r="S318" s="485"/>
      <c r="T318" s="485"/>
      <c r="U318" s="485"/>
      <c r="V318" s="57">
        <f t="shared" ref="V318" si="1814">W318+X318+AA318</f>
        <v>1497775.2146999999</v>
      </c>
      <c r="W318" s="57">
        <f>W319+W320</f>
        <v>225766.18290000001</v>
      </c>
      <c r="X318" s="57">
        <f>X319+X320</f>
        <v>720855.7</v>
      </c>
      <c r="Y318" s="57"/>
      <c r="Z318" s="57"/>
      <c r="AA318" s="57">
        <f>AA319+AA320</f>
        <v>551153.33180000004</v>
      </c>
      <c r="AB318" s="57">
        <f>AC318+AD318+AG318+AH318</f>
        <v>1497775.1961600001</v>
      </c>
      <c r="AC318" s="57">
        <f>AC319+AC320</f>
        <v>225766.16436</v>
      </c>
      <c r="AD318" s="57">
        <f>AD319+AD320</f>
        <v>720855.7</v>
      </c>
      <c r="AE318" s="57"/>
      <c r="AF318" s="57"/>
      <c r="AG318" s="57">
        <f>AG319+AG320</f>
        <v>551153.33180000004</v>
      </c>
      <c r="AH318" s="57">
        <f>AH319+AH320</f>
        <v>0</v>
      </c>
      <c r="AI318" s="57">
        <f>AJ318+AK318+AL318+AM318</f>
        <v>713429.13100000005</v>
      </c>
      <c r="AJ318" s="57">
        <f>AJ319+AJ320</f>
        <v>434727.95100000006</v>
      </c>
      <c r="AK318" s="57">
        <f>AK319+AK320</f>
        <v>102879</v>
      </c>
      <c r="AL318" s="57">
        <f>AL319+AL320</f>
        <v>175822.18</v>
      </c>
      <c r="AM318" s="57">
        <f>AM319+AM320</f>
        <v>0</v>
      </c>
      <c r="AN318" s="57">
        <f>AO318+AP318+AQ318+AR318</f>
        <v>817193.18799999985</v>
      </c>
      <c r="AO318" s="57">
        <f>AO319+AO320</f>
        <v>510805.45099999994</v>
      </c>
      <c r="AP318" s="57">
        <f>AP319+AP320</f>
        <v>102879</v>
      </c>
      <c r="AQ318" s="57">
        <f>AQ319+AQ320</f>
        <v>203508.73699999999</v>
      </c>
      <c r="AR318" s="57">
        <f>AR319+AR320</f>
        <v>0</v>
      </c>
      <c r="AS318" s="57">
        <f>AT318+AU318+AV318+AW318</f>
        <v>500208.04399999994</v>
      </c>
      <c r="AT318" s="57">
        <f>AT319+AT320</f>
        <v>345126.65799999994</v>
      </c>
      <c r="AU318" s="57">
        <f>AU319+AU320</f>
        <v>44730</v>
      </c>
      <c r="AV318" s="57">
        <f>AV319+AV320</f>
        <v>110351.386</v>
      </c>
      <c r="AW318" s="57">
        <f>AW319+AW320</f>
        <v>0</v>
      </c>
      <c r="AX318" s="114"/>
      <c r="AY318" s="57">
        <f>AZ318+BA318+BD318+BE318</f>
        <v>1490950.9526200001</v>
      </c>
      <c r="AZ318" s="57">
        <f>AZ319+AZ320</f>
        <v>225766.182</v>
      </c>
      <c r="BA318" s="57">
        <f>BA319+BA320</f>
        <v>716239.26753999991</v>
      </c>
      <c r="BB318" s="57"/>
      <c r="BC318" s="57"/>
      <c r="BD318" s="57">
        <f>BD319+BD320</f>
        <v>548945.50308000005</v>
      </c>
      <c r="BE318" s="57">
        <f>BE319+BE320</f>
        <v>0</v>
      </c>
      <c r="BF318" s="57" t="e">
        <f>BG318+BH318+BK318+BL318</f>
        <v>#REF!</v>
      </c>
      <c r="BG318" s="57" t="e">
        <f>BG319+BG320</f>
        <v>#REF!</v>
      </c>
      <c r="BH318" s="57" t="e">
        <f>BH319+BH320</f>
        <v>#REF!</v>
      </c>
      <c r="BI318" s="57"/>
      <c r="BJ318" s="57"/>
      <c r="BK318" s="57" t="e">
        <f>BK319+BK320</f>
        <v>#REF!</v>
      </c>
      <c r="BL318" s="57" t="e">
        <f>BL319+BL320</f>
        <v>#REF!</v>
      </c>
      <c r="BM318" s="57">
        <f>BN318+BO318+BP318+BQ318</f>
        <v>803963.91177999997</v>
      </c>
      <c r="BN318" s="57">
        <f>BN319+BN320</f>
        <v>325315.28378</v>
      </c>
      <c r="BO318" s="57">
        <f>BO319+BO320</f>
        <v>223922.57699999999</v>
      </c>
      <c r="BP318" s="57">
        <f>BP319+BP320</f>
        <v>254726.05100000004</v>
      </c>
      <c r="BQ318" s="57">
        <f>BQ319+BQ320</f>
        <v>0</v>
      </c>
      <c r="BR318" s="57">
        <f>BS318+BT318+BU318+BV318</f>
        <v>0</v>
      </c>
      <c r="BS318" s="57">
        <f>BS319+BS320</f>
        <v>0</v>
      </c>
      <c r="BT318" s="57">
        <f>BT319+BT320</f>
        <v>0</v>
      </c>
      <c r="BU318" s="57">
        <f>BU319+BU320</f>
        <v>0</v>
      </c>
      <c r="BV318" s="57">
        <f>BV319+BV320</f>
        <v>0</v>
      </c>
      <c r="BW318" s="57">
        <f>BX318+BY318+CB318+CC318</f>
        <v>1382433.2170800001</v>
      </c>
      <c r="BX318" s="57">
        <f>BX319+BX320</f>
        <v>207264.85717</v>
      </c>
      <c r="BY318" s="57">
        <f>BY319+BY320</f>
        <v>654667.08874000004</v>
      </c>
      <c r="BZ318" s="57">
        <f t="shared" ref="BZ318:CA318" si="1815">BZ319+BZ320</f>
        <v>0</v>
      </c>
      <c r="CA318" s="57">
        <f t="shared" si="1815"/>
        <v>0</v>
      </c>
      <c r="CB318" s="57">
        <f>CB319+CB320</f>
        <v>520501.27117000002</v>
      </c>
      <c r="CC318" s="57">
        <f>CC319+CC320</f>
        <v>0</v>
      </c>
      <c r="CD318" s="57">
        <f>CE318+CF318+CI318+CJ318</f>
        <v>1382433.11708</v>
      </c>
      <c r="CE318" s="57">
        <f>CE319+CE320</f>
        <v>207264.85717</v>
      </c>
      <c r="CF318" s="57">
        <f>CF319+CF320</f>
        <v>654667.08874000004</v>
      </c>
      <c r="CG318" s="57">
        <f t="shared" ref="CG318:CH318" si="1816">CG319+CG320</f>
        <v>0</v>
      </c>
      <c r="CH318" s="57">
        <f t="shared" si="1816"/>
        <v>0</v>
      </c>
      <c r="CI318" s="57">
        <f>CI319+CI320</f>
        <v>520501.17117000005</v>
      </c>
      <c r="CJ318" s="57">
        <f>CJ319+CJ320</f>
        <v>0</v>
      </c>
      <c r="CK318" s="57">
        <f>CL318+CM318+CP318+CQ318</f>
        <v>239747.41782999996</v>
      </c>
      <c r="CL318" s="57">
        <f>CL319+CL320</f>
        <v>12675.160190000002</v>
      </c>
      <c r="CM318" s="57">
        <f>CM319+CM320</f>
        <v>168059.98470999996</v>
      </c>
      <c r="CN318" s="57"/>
      <c r="CO318" s="57"/>
      <c r="CP318" s="57">
        <f>CP319+CP320</f>
        <v>59012.272929999999</v>
      </c>
      <c r="CQ318" s="57">
        <f>CQ319+CQ320</f>
        <v>0</v>
      </c>
      <c r="CR318" s="57">
        <f t="shared" si="1644"/>
        <v>1622180.5349099999</v>
      </c>
      <c r="CS318" s="57">
        <f t="shared" si="1645"/>
        <v>1622180.5349099999</v>
      </c>
      <c r="CT318" s="57">
        <f t="shared" si="1646"/>
        <v>219940.01736</v>
      </c>
      <c r="CU318" s="57">
        <f t="shared" si="1647"/>
        <v>822727.07345000003</v>
      </c>
      <c r="CV318" s="57">
        <f t="shared" si="1648"/>
        <v>579513.44410000008</v>
      </c>
      <c r="CW318" s="57">
        <f>CW319+CW320</f>
        <v>0</v>
      </c>
      <c r="CX318" s="57">
        <f t="shared" ca="1" si="1691"/>
        <v>0</v>
      </c>
      <c r="CY318" s="57">
        <f t="shared" si="1649"/>
        <v>0</v>
      </c>
      <c r="CZ318" s="57">
        <f t="shared" si="1650"/>
        <v>0</v>
      </c>
      <c r="DA318" s="57">
        <f t="shared" si="1651"/>
        <v>9.9999999976716936E-2</v>
      </c>
      <c r="DB318" s="57">
        <f>DB319+DB320</f>
        <v>0</v>
      </c>
      <c r="DC318" s="225"/>
      <c r="DD318" s="124"/>
      <c r="DE318" s="124"/>
      <c r="DF318" s="57">
        <f>DF294</f>
        <v>0</v>
      </c>
      <c r="DG318" s="57">
        <f>DG294</f>
        <v>0</v>
      </c>
      <c r="DH318" s="57">
        <f>DH294</f>
        <v>0</v>
      </c>
      <c r="DI318" s="57">
        <f>DI294</f>
        <v>0</v>
      </c>
      <c r="DJ318" s="57">
        <f>DJ294</f>
        <v>0</v>
      </c>
      <c r="DK318" s="57">
        <f>DL318+DM318+DN318+DO318</f>
        <v>0</v>
      </c>
      <c r="DL318" s="57">
        <f>DL319+DL320</f>
        <v>0</v>
      </c>
      <c r="DM318" s="57">
        <f>DM319+DM320</f>
        <v>0</v>
      </c>
      <c r="DN318" s="57">
        <f>DN319+DN320</f>
        <v>0</v>
      </c>
      <c r="DO318" s="57">
        <f>DO319+DO320</f>
        <v>0</v>
      </c>
      <c r="DP318" s="57">
        <f t="shared" ref="DP318:DW318" si="1817">DP308+DP316</f>
        <v>0</v>
      </c>
      <c r="DQ318" s="57">
        <f t="shared" si="1817"/>
        <v>0</v>
      </c>
      <c r="DR318" s="57">
        <f t="shared" si="1817"/>
        <v>0</v>
      </c>
      <c r="DS318" s="57">
        <f t="shared" si="1817"/>
        <v>0</v>
      </c>
      <c r="DT318" s="57">
        <f t="shared" si="1817"/>
        <v>0</v>
      </c>
      <c r="DU318" s="57">
        <f t="shared" si="1817"/>
        <v>0</v>
      </c>
      <c r="DV318" s="57">
        <f t="shared" si="1817"/>
        <v>0</v>
      </c>
      <c r="DW318" s="77">
        <f t="shared" si="1817"/>
        <v>0</v>
      </c>
      <c r="DX318" s="96">
        <f>DZ318-EA318</f>
        <v>0</v>
      </c>
      <c r="DY318" s="248"/>
      <c r="DZ318" s="95">
        <f>DZ262+DZ267</f>
        <v>1382433.2170800003</v>
      </c>
      <c r="EA318" s="96">
        <f>EA262+EA267</f>
        <v>1382433.2170800003</v>
      </c>
      <c r="EB318" s="124"/>
      <c r="EC318" s="124"/>
      <c r="ED318" s="124"/>
      <c r="EE318" s="124"/>
      <c r="EF318" s="124"/>
      <c r="EG318" s="124"/>
      <c r="EH318" s="124"/>
      <c r="EI318" s="57">
        <f>EJ318+EK318+EN318+EO318</f>
        <v>1382433.2170800001</v>
      </c>
      <c r="EJ318" s="57">
        <f>EJ319+EJ320</f>
        <v>207264.85717</v>
      </c>
      <c r="EK318" s="57">
        <f>EK319+EK320</f>
        <v>654667.08874000004</v>
      </c>
      <c r="EL318" s="57">
        <f t="shared" ref="EL318:EM318" si="1818">EL319+EL320</f>
        <v>0</v>
      </c>
      <c r="EM318" s="57">
        <f t="shared" si="1818"/>
        <v>0</v>
      </c>
      <c r="EN318" s="57">
        <f>EN319+EN320</f>
        <v>520501.27117000002</v>
      </c>
      <c r="EO318" s="57">
        <f>EO319+EO320</f>
        <v>0</v>
      </c>
      <c r="EP318" s="57">
        <f>EQ318+ER318+EU318+EV318</f>
        <v>239747.41782999996</v>
      </c>
      <c r="EQ318" s="57">
        <f>EQ319+EQ320</f>
        <v>12675.160190000002</v>
      </c>
      <c r="ER318" s="57">
        <f>ER319+ER320</f>
        <v>168059.98470999996</v>
      </c>
      <c r="ES318" s="77"/>
      <c r="ET318" s="77"/>
      <c r="EU318" s="57">
        <f>EU319+EU320</f>
        <v>59012.272929999999</v>
      </c>
      <c r="EV318" s="231">
        <f>EV319+EV320</f>
        <v>0</v>
      </c>
      <c r="EW318" s="57"/>
      <c r="EX318" s="57"/>
      <c r="EY318" s="77"/>
      <c r="EZ318" s="57"/>
      <c r="FA318" s="57"/>
      <c r="FB318" s="57"/>
      <c r="FC318" s="57"/>
      <c r="FD318" s="77"/>
      <c r="FE318" s="57"/>
      <c r="FF318" s="57"/>
      <c r="FG318" s="57"/>
      <c r="FH318" s="57"/>
      <c r="FI318" s="57"/>
      <c r="FJ318" s="57">
        <f t="shared" ref="FJ318" si="1819">FJ319+FJ320</f>
        <v>0</v>
      </c>
      <c r="FK318" s="57"/>
      <c r="FL318" s="57"/>
      <c r="FM318" s="77"/>
      <c r="FN318" s="57"/>
      <c r="FO318" s="57"/>
      <c r="FP318" s="57"/>
      <c r="FQ318" s="57"/>
      <c r="FR318" s="77"/>
      <c r="FS318" s="57"/>
      <c r="FT318" s="57"/>
      <c r="FU318" s="57"/>
      <c r="FV318" s="57"/>
      <c r="FW318" s="57"/>
      <c r="FX318" s="57"/>
      <c r="FY318" s="57"/>
      <c r="FZ318" s="77"/>
      <c r="GA318" s="57"/>
      <c r="GB318" s="57"/>
      <c r="GC318" s="57"/>
      <c r="GD318" s="57"/>
      <c r="GE318" s="77"/>
      <c r="GF318" s="57"/>
      <c r="GG318" s="57"/>
      <c r="GH318" s="57"/>
      <c r="GI318" s="57"/>
      <c r="GJ318" s="77"/>
      <c r="GK318" s="462">
        <f t="shared" si="1637"/>
        <v>0.92299112752319967</v>
      </c>
    </row>
    <row r="319" spans="2:193" s="37" customFormat="1" ht="19.5" hidden="1" customHeight="1" x14ac:dyDescent="0.2">
      <c r="B319" s="32"/>
      <c r="C319" s="33"/>
      <c r="D319" s="32"/>
      <c r="E319" s="39"/>
      <c r="F319" s="32"/>
      <c r="G319" s="33"/>
      <c r="H319" s="32"/>
      <c r="I319" s="32"/>
      <c r="J319" s="32"/>
      <c r="K319" s="32"/>
      <c r="L319" s="32"/>
      <c r="M319" s="65"/>
      <c r="N319" s="66" t="s">
        <v>283</v>
      </c>
      <c r="O319" s="66"/>
      <c r="P319" s="66"/>
      <c r="Q319" s="66"/>
      <c r="R319" s="66"/>
      <c r="S319" s="66"/>
      <c r="T319" s="66"/>
      <c r="U319" s="66"/>
      <c r="V319" s="2">
        <f>W319+X319+AA319+AB319</f>
        <v>0</v>
      </c>
      <c r="W319" s="23">
        <f>W309</f>
        <v>0</v>
      </c>
      <c r="X319" s="23">
        <f>X309</f>
        <v>0</v>
      </c>
      <c r="Y319" s="23"/>
      <c r="Z319" s="23"/>
      <c r="AA319" s="23">
        <f>AA309</f>
        <v>0</v>
      </c>
      <c r="AB319" s="2">
        <f>AC319+AD319+AG319+AH319</f>
        <v>0</v>
      </c>
      <c r="AC319" s="23">
        <f>AC309</f>
        <v>0</v>
      </c>
      <c r="AD319" s="23">
        <f>AD309</f>
        <v>0</v>
      </c>
      <c r="AE319" s="23"/>
      <c r="AF319" s="23"/>
      <c r="AG319" s="23">
        <f>AG309</f>
        <v>0</v>
      </c>
      <c r="AH319" s="23">
        <f>AH309</f>
        <v>0</v>
      </c>
      <c r="AI319" s="2">
        <f>AJ319+AK319+AL319+AM319</f>
        <v>33741.300000000003</v>
      </c>
      <c r="AJ319" s="23">
        <f>AJ309</f>
        <v>33741.300000000003</v>
      </c>
      <c r="AK319" s="23">
        <f>AK309</f>
        <v>0</v>
      </c>
      <c r="AL319" s="23">
        <f>AL309</f>
        <v>0</v>
      </c>
      <c r="AM319" s="23">
        <f>AM309</f>
        <v>0</v>
      </c>
      <c r="AN319" s="2">
        <f>AO319+AP319+AQ319+AR319</f>
        <v>97565.494999999995</v>
      </c>
      <c r="AO319" s="23">
        <f>AO309</f>
        <v>97565.494999999995</v>
      </c>
      <c r="AP319" s="23">
        <f>AP309</f>
        <v>0</v>
      </c>
      <c r="AQ319" s="23">
        <f>AQ309</f>
        <v>0</v>
      </c>
      <c r="AR319" s="23">
        <f>AR309</f>
        <v>0</v>
      </c>
      <c r="AS319" s="2">
        <f>AT319+AU319+AV319+AW319</f>
        <v>0</v>
      </c>
      <c r="AT319" s="23">
        <f>AT309</f>
        <v>0</v>
      </c>
      <c r="AU319" s="23">
        <f>AU309</f>
        <v>0</v>
      </c>
      <c r="AV319" s="23">
        <f>AV309</f>
        <v>0</v>
      </c>
      <c r="AW319" s="23">
        <f>AW309</f>
        <v>0</v>
      </c>
      <c r="AX319" s="417"/>
      <c r="AY319" s="2">
        <f>AZ319+BA319+BD319+BE319</f>
        <v>0</v>
      </c>
      <c r="AZ319" s="23">
        <f t="shared" ref="AZ319:BL319" si="1820">AZ309</f>
        <v>0</v>
      </c>
      <c r="BA319" s="23">
        <f t="shared" si="1820"/>
        <v>0</v>
      </c>
      <c r="BB319" s="23"/>
      <c r="BC319" s="23"/>
      <c r="BD319" s="23">
        <f t="shared" si="1820"/>
        <v>0</v>
      </c>
      <c r="BE319" s="23">
        <f t="shared" si="1820"/>
        <v>0</v>
      </c>
      <c r="BF319" s="23" t="e">
        <f t="shared" si="1820"/>
        <v>#REF!</v>
      </c>
      <c r="BG319" s="23" t="e">
        <f t="shared" si="1820"/>
        <v>#REF!</v>
      </c>
      <c r="BH319" s="23" t="e">
        <f t="shared" si="1820"/>
        <v>#REF!</v>
      </c>
      <c r="BI319" s="23"/>
      <c r="BJ319" s="23"/>
      <c r="BK319" s="23" t="e">
        <f t="shared" si="1820"/>
        <v>#REF!</v>
      </c>
      <c r="BL319" s="23" t="e">
        <f t="shared" si="1820"/>
        <v>#REF!</v>
      </c>
      <c r="BM319" s="2">
        <f>BN319+BO319+BP319+BQ319</f>
        <v>22388.043260000002</v>
      </c>
      <c r="BN319" s="23">
        <f t="shared" ref="BN319:BV319" si="1821">BN309</f>
        <v>22388.043260000002</v>
      </c>
      <c r="BO319" s="23">
        <f t="shared" si="1821"/>
        <v>0</v>
      </c>
      <c r="BP319" s="23">
        <f t="shared" si="1821"/>
        <v>0</v>
      </c>
      <c r="BQ319" s="23">
        <f t="shared" si="1821"/>
        <v>0</v>
      </c>
      <c r="BR319" s="23">
        <f t="shared" si="1821"/>
        <v>0</v>
      </c>
      <c r="BS319" s="23">
        <f t="shared" si="1821"/>
        <v>0</v>
      </c>
      <c r="BT319" s="23">
        <f t="shared" si="1821"/>
        <v>0</v>
      </c>
      <c r="BU319" s="23">
        <f t="shared" si="1821"/>
        <v>0</v>
      </c>
      <c r="BV319" s="23">
        <f t="shared" si="1821"/>
        <v>0</v>
      </c>
      <c r="BW319" s="2">
        <f>BX319+BY319+CB319+CC319</f>
        <v>0</v>
      </c>
      <c r="BX319" s="23">
        <f>BX309</f>
        <v>0</v>
      </c>
      <c r="BY319" s="23">
        <f>BY309</f>
        <v>0</v>
      </c>
      <c r="BZ319" s="23"/>
      <c r="CA319" s="23"/>
      <c r="CB319" s="23">
        <f>CB309</f>
        <v>0</v>
      </c>
      <c r="CC319" s="23">
        <f>CC309</f>
        <v>0</v>
      </c>
      <c r="CD319" s="2">
        <f>CE319+CF319+CI319+CJ319</f>
        <v>0</v>
      </c>
      <c r="CE319" s="23">
        <f>CE309</f>
        <v>0</v>
      </c>
      <c r="CF319" s="23">
        <f>CF309</f>
        <v>0</v>
      </c>
      <c r="CG319" s="23"/>
      <c r="CH319" s="23"/>
      <c r="CI319" s="23">
        <f>CI309</f>
        <v>0</v>
      </c>
      <c r="CJ319" s="23">
        <f>CJ309</f>
        <v>0</v>
      </c>
      <c r="CK319" s="2">
        <f>CL319+CM319+CP319+CQ319</f>
        <v>0</v>
      </c>
      <c r="CL319" s="23">
        <f>CL309</f>
        <v>0</v>
      </c>
      <c r="CM319" s="23">
        <f>CM309</f>
        <v>0</v>
      </c>
      <c r="CN319" s="23"/>
      <c r="CO319" s="23"/>
      <c r="CP319" s="23">
        <f>CP309</f>
        <v>0</v>
      </c>
      <c r="CQ319" s="23">
        <f>CQ309</f>
        <v>0</v>
      </c>
      <c r="CR319" s="23">
        <f t="shared" si="1644"/>
        <v>0</v>
      </c>
      <c r="CS319" s="2">
        <f t="shared" si="1645"/>
        <v>0</v>
      </c>
      <c r="CT319" s="23">
        <f t="shared" si="1646"/>
        <v>0</v>
      </c>
      <c r="CU319" s="23">
        <f t="shared" si="1647"/>
        <v>0</v>
      </c>
      <c r="CV319" s="23">
        <f t="shared" si="1648"/>
        <v>0</v>
      </c>
      <c r="CW319" s="23">
        <f>CW309</f>
        <v>0</v>
      </c>
      <c r="CX319" s="2">
        <f t="shared" ca="1" si="1691"/>
        <v>0</v>
      </c>
      <c r="CY319" s="23">
        <f t="shared" si="1649"/>
        <v>0</v>
      </c>
      <c r="CZ319" s="23">
        <f t="shared" si="1650"/>
        <v>0</v>
      </c>
      <c r="DA319" s="23">
        <f t="shared" si="1651"/>
        <v>0</v>
      </c>
      <c r="DB319" s="23">
        <f>DB309</f>
        <v>0</v>
      </c>
      <c r="DC319" s="76"/>
      <c r="DD319" s="46"/>
      <c r="DE319" s="46"/>
      <c r="DF319" s="2">
        <f>DG319+DH319+DI319+DJ319</f>
        <v>0</v>
      </c>
      <c r="DG319" s="23">
        <f>DG303+DG307</f>
        <v>0</v>
      </c>
      <c r="DH319" s="23">
        <f>DH303+DH307</f>
        <v>0</v>
      </c>
      <c r="DI319" s="23">
        <f>DI303+DI307</f>
        <v>0</v>
      </c>
      <c r="DJ319" s="23">
        <f>DJ303+DJ307</f>
        <v>0</v>
      </c>
      <c r="DK319" s="2">
        <f>DL319+DM319+DN319+DO319</f>
        <v>0</v>
      </c>
      <c r="DL319" s="23">
        <f t="shared" ref="DL319:DO320" si="1822">DL303+DL307</f>
        <v>0</v>
      </c>
      <c r="DM319" s="23">
        <f t="shared" si="1822"/>
        <v>0</v>
      </c>
      <c r="DN319" s="23">
        <f t="shared" si="1822"/>
        <v>0</v>
      </c>
      <c r="DO319" s="23">
        <f t="shared" si="1822"/>
        <v>0</v>
      </c>
      <c r="DP319" s="2">
        <f>DQ319+DR319+DS319+DT319</f>
        <v>0</v>
      </c>
      <c r="DQ319" s="23">
        <f>DQ303+DQ307</f>
        <v>0</v>
      </c>
      <c r="DR319" s="23">
        <f>DR303+DR307</f>
        <v>0</v>
      </c>
      <c r="DS319" s="23">
        <f>DS303+DS307</f>
        <v>0</v>
      </c>
      <c r="DT319" s="23">
        <f>DT303+DT307</f>
        <v>0</v>
      </c>
      <c r="DU319" s="46"/>
      <c r="DV319" s="46"/>
      <c r="DW319" s="46"/>
      <c r="DX319" s="46"/>
      <c r="DY319" s="46"/>
      <c r="DZ319" s="46"/>
      <c r="EA319" s="46"/>
      <c r="EB319" s="46"/>
      <c r="EC319" s="23">
        <f>EC303+EC307</f>
        <v>0</v>
      </c>
      <c r="ED319" s="23">
        <f>ED303+ED307</f>
        <v>0</v>
      </c>
      <c r="EE319" s="46"/>
      <c r="EF319" s="23">
        <f>EF303+EF307</f>
        <v>0</v>
      </c>
      <c r="EG319" s="46"/>
      <c r="EH319" s="46"/>
      <c r="EI319" s="2">
        <f>EJ319+EK319+EN319+EO319</f>
        <v>0</v>
      </c>
      <c r="EJ319" s="2">
        <f>EJ295</f>
        <v>0</v>
      </c>
      <c r="EK319" s="23">
        <f>EK309</f>
        <v>0</v>
      </c>
      <c r="EL319" s="23"/>
      <c r="EM319" s="23"/>
      <c r="EN319" s="23">
        <f>EN309</f>
        <v>0</v>
      </c>
      <c r="EO319" s="2">
        <f t="shared" ref="EO319" si="1823">EO295</f>
        <v>0</v>
      </c>
      <c r="EP319" s="2">
        <f>EQ319+ER319+EU319+EV319</f>
        <v>0</v>
      </c>
      <c r="EQ319" s="23">
        <f>EQ309</f>
        <v>0</v>
      </c>
      <c r="ER319" s="23">
        <f>ER309</f>
        <v>0</v>
      </c>
      <c r="ES319" s="249"/>
      <c r="ET319" s="249"/>
      <c r="EU319" s="23">
        <f>EU309</f>
        <v>0</v>
      </c>
      <c r="EV319" s="13">
        <f t="shared" ref="EV319" si="1824">EV295</f>
        <v>0</v>
      </c>
      <c r="EW319" s="310"/>
      <c r="EX319" s="310"/>
      <c r="EY319" s="344"/>
      <c r="EZ319" s="322"/>
      <c r="FA319" s="322"/>
      <c r="FB319" s="310"/>
      <c r="FC319" s="310"/>
      <c r="FD319" s="344"/>
      <c r="FE319" s="322"/>
      <c r="FF319" s="322"/>
      <c r="FG319" s="322"/>
      <c r="FH319" s="322"/>
      <c r="FI319" s="322"/>
      <c r="FJ319" s="23">
        <f t="shared" ref="FJ319" si="1825">FJ295</f>
        <v>0</v>
      </c>
      <c r="FK319" s="353"/>
      <c r="FL319" s="353"/>
      <c r="FM319" s="381"/>
      <c r="FN319" s="360"/>
      <c r="FO319" s="360"/>
      <c r="FP319" s="353"/>
      <c r="FQ319" s="353"/>
      <c r="FR319" s="381"/>
      <c r="FS319" s="360"/>
      <c r="FT319" s="360"/>
      <c r="FU319" s="360"/>
      <c r="FV319" s="360"/>
      <c r="FW319" s="360"/>
      <c r="FX319" s="310"/>
      <c r="FY319" s="310"/>
      <c r="FZ319" s="344"/>
      <c r="GA319" s="322"/>
      <c r="GB319" s="322"/>
      <c r="GC319" s="310"/>
      <c r="GD319" s="310"/>
      <c r="GE319" s="344"/>
      <c r="GF319" s="322"/>
      <c r="GG319" s="322"/>
      <c r="GH319" s="322"/>
      <c r="GI319" s="322"/>
      <c r="GJ319" s="339"/>
      <c r="GK319" s="303" t="e">
        <f t="shared" si="1637"/>
        <v>#DIV/0!</v>
      </c>
    </row>
    <row r="320" spans="2:193" s="37" customFormat="1" ht="19.5" hidden="1" customHeight="1" x14ac:dyDescent="0.2">
      <c r="B320" s="32"/>
      <c r="C320" s="33"/>
      <c r="D320" s="32"/>
      <c r="E320" s="39"/>
      <c r="F320" s="32"/>
      <c r="G320" s="33"/>
      <c r="H320" s="32"/>
      <c r="I320" s="32"/>
      <c r="J320" s="32"/>
      <c r="K320" s="32"/>
      <c r="L320" s="32"/>
      <c r="M320" s="65"/>
      <c r="N320" s="66" t="s">
        <v>284</v>
      </c>
      <c r="O320" s="66"/>
      <c r="P320" s="66"/>
      <c r="Q320" s="66"/>
      <c r="R320" s="66"/>
      <c r="S320" s="66"/>
      <c r="T320" s="66"/>
      <c r="U320" s="66"/>
      <c r="V320" s="2">
        <f t="shared" ref="V320" si="1826">W320+X320+AA320</f>
        <v>1497775.2146999999</v>
      </c>
      <c r="W320" s="23">
        <f>W310+W316</f>
        <v>225766.18290000001</v>
      </c>
      <c r="X320" s="23">
        <f>X296+X316</f>
        <v>720855.7</v>
      </c>
      <c r="Y320" s="23"/>
      <c r="Z320" s="23"/>
      <c r="AA320" s="23">
        <f>AA310+AA316</f>
        <v>551153.33180000004</v>
      </c>
      <c r="AB320" s="2">
        <f>AC320+AD320+AG320+AH320</f>
        <v>1497775.1961600001</v>
      </c>
      <c r="AC320" s="23">
        <f>AC310+AC316</f>
        <v>225766.16436</v>
      </c>
      <c r="AD320" s="23">
        <f>AD296+AD316</f>
        <v>720855.7</v>
      </c>
      <c r="AE320" s="23"/>
      <c r="AF320" s="23"/>
      <c r="AG320" s="23">
        <f>AG310+AG316</f>
        <v>551153.33180000004</v>
      </c>
      <c r="AH320" s="23">
        <f>AH310+AH316</f>
        <v>0</v>
      </c>
      <c r="AI320" s="2">
        <f>AJ320+AK320+AL320+AM320</f>
        <v>679687.83100000001</v>
      </c>
      <c r="AJ320" s="23">
        <f>AJ310+AJ316</f>
        <v>400986.65100000007</v>
      </c>
      <c r="AK320" s="23">
        <f>AK310+AK316</f>
        <v>102879</v>
      </c>
      <c r="AL320" s="23">
        <f>AL310+AL316</f>
        <v>175822.18</v>
      </c>
      <c r="AM320" s="23">
        <f>AM310+AM316</f>
        <v>0</v>
      </c>
      <c r="AN320" s="2">
        <f>AO320+AP320+AQ320+AR320</f>
        <v>719627.69299999997</v>
      </c>
      <c r="AO320" s="23">
        <f>AO310+AO316</f>
        <v>413239.95599999995</v>
      </c>
      <c r="AP320" s="23">
        <f>AP310+AP316</f>
        <v>102879</v>
      </c>
      <c r="AQ320" s="23">
        <f>AQ310+AQ316</f>
        <v>203508.73699999999</v>
      </c>
      <c r="AR320" s="23">
        <f>AR310+AR316</f>
        <v>0</v>
      </c>
      <c r="AS320" s="2">
        <f>AT320+AU320+AV320+AW320</f>
        <v>500208.04399999994</v>
      </c>
      <c r="AT320" s="23">
        <f>AT310+AT316</f>
        <v>345126.65799999994</v>
      </c>
      <c r="AU320" s="23">
        <f>AU310+AU316</f>
        <v>44730</v>
      </c>
      <c r="AV320" s="23">
        <f>AV310+AV316</f>
        <v>110351.386</v>
      </c>
      <c r="AW320" s="23">
        <f>AW310+AW316</f>
        <v>0</v>
      </c>
      <c r="AX320" s="417"/>
      <c r="AY320" s="2">
        <f>AZ320+BA320+BD320+BE320</f>
        <v>1490950.9526200001</v>
      </c>
      <c r="AZ320" s="23">
        <f t="shared" ref="AZ320:BL320" si="1827">AZ310+AZ316</f>
        <v>225766.182</v>
      </c>
      <c r="BA320" s="23">
        <f t="shared" si="1827"/>
        <v>716239.26753999991</v>
      </c>
      <c r="BB320" s="23"/>
      <c r="BC320" s="23"/>
      <c r="BD320" s="23">
        <f t="shared" si="1827"/>
        <v>548945.50308000005</v>
      </c>
      <c r="BE320" s="23">
        <f t="shared" si="1827"/>
        <v>0</v>
      </c>
      <c r="BF320" s="23" t="e">
        <f t="shared" si="1827"/>
        <v>#REF!</v>
      </c>
      <c r="BG320" s="23" t="e">
        <f t="shared" si="1827"/>
        <v>#REF!</v>
      </c>
      <c r="BH320" s="23" t="e">
        <f t="shared" si="1827"/>
        <v>#REF!</v>
      </c>
      <c r="BI320" s="23"/>
      <c r="BJ320" s="23"/>
      <c r="BK320" s="23">
        <f t="shared" si="1827"/>
        <v>2207.8287199999904</v>
      </c>
      <c r="BL320" s="23" t="e">
        <f t="shared" si="1827"/>
        <v>#REF!</v>
      </c>
      <c r="BM320" s="2">
        <f>BN320+BO320+BP320+BQ320</f>
        <v>781575.86852000002</v>
      </c>
      <c r="BN320" s="23">
        <f t="shared" ref="BN320:BV320" si="1828">BN310+BN316</f>
        <v>302927.24051999999</v>
      </c>
      <c r="BO320" s="23">
        <f t="shared" si="1828"/>
        <v>223922.57699999999</v>
      </c>
      <c r="BP320" s="23">
        <f t="shared" si="1828"/>
        <v>254726.05100000004</v>
      </c>
      <c r="BQ320" s="23">
        <f t="shared" si="1828"/>
        <v>0</v>
      </c>
      <c r="BR320" s="23">
        <f t="shared" si="1828"/>
        <v>0</v>
      </c>
      <c r="BS320" s="23">
        <f t="shared" si="1828"/>
        <v>0</v>
      </c>
      <c r="BT320" s="23">
        <f t="shared" si="1828"/>
        <v>0</v>
      </c>
      <c r="BU320" s="23">
        <f t="shared" si="1828"/>
        <v>0</v>
      </c>
      <c r="BV320" s="23">
        <f t="shared" si="1828"/>
        <v>0</v>
      </c>
      <c r="BW320" s="2">
        <f>BX320+BY320+CB320+CC320</f>
        <v>1382433.2170800001</v>
      </c>
      <c r="BX320" s="23">
        <f>BX310+BX316</f>
        <v>207264.85717</v>
      </c>
      <c r="BY320" s="23">
        <f>BY310+BY316</f>
        <v>654667.08874000004</v>
      </c>
      <c r="BZ320" s="23"/>
      <c r="CA320" s="23"/>
      <c r="CB320" s="23">
        <f>CB310+CB316</f>
        <v>520501.27117000002</v>
      </c>
      <c r="CC320" s="23">
        <f>CC310+CC316</f>
        <v>0</v>
      </c>
      <c r="CD320" s="2">
        <f>CE320+CF320+CI320+CJ320</f>
        <v>1382433.11708</v>
      </c>
      <c r="CE320" s="23">
        <f>CE310+CE316</f>
        <v>207264.85717</v>
      </c>
      <c r="CF320" s="23">
        <f>CF310+CF316</f>
        <v>654667.08874000004</v>
      </c>
      <c r="CG320" s="23"/>
      <c r="CH320" s="23"/>
      <c r="CI320" s="23">
        <f>CI310+CI316</f>
        <v>520501.17117000005</v>
      </c>
      <c r="CJ320" s="23">
        <f>CJ310+CJ316</f>
        <v>0</v>
      </c>
      <c r="CK320" s="2">
        <f>CL320+CM320+CP320+CQ320</f>
        <v>239747.41782999996</v>
      </c>
      <c r="CL320" s="23">
        <f>CL310+CL316</f>
        <v>12675.160190000002</v>
      </c>
      <c r="CM320" s="23">
        <f>CM310+CM316</f>
        <v>168059.98470999996</v>
      </c>
      <c r="CN320" s="23"/>
      <c r="CO320" s="23"/>
      <c r="CP320" s="23">
        <f>CP310+CP316</f>
        <v>59012.272929999999</v>
      </c>
      <c r="CQ320" s="23">
        <f>CQ310+CQ316</f>
        <v>0</v>
      </c>
      <c r="CR320" s="23">
        <f t="shared" si="1644"/>
        <v>1622180.5349099999</v>
      </c>
      <c r="CS320" s="2">
        <f t="shared" si="1645"/>
        <v>1622180.5349099999</v>
      </c>
      <c r="CT320" s="23">
        <f t="shared" si="1646"/>
        <v>219940.01736</v>
      </c>
      <c r="CU320" s="23">
        <f t="shared" si="1647"/>
        <v>822727.07345000003</v>
      </c>
      <c r="CV320" s="23">
        <f t="shared" si="1648"/>
        <v>579513.44410000008</v>
      </c>
      <c r="CW320" s="23">
        <f>CW310+CW316</f>
        <v>0</v>
      </c>
      <c r="CX320" s="2">
        <f t="shared" ca="1" si="1691"/>
        <v>0</v>
      </c>
      <c r="CY320" s="23">
        <f t="shared" si="1649"/>
        <v>0</v>
      </c>
      <c r="CZ320" s="23">
        <f t="shared" si="1650"/>
        <v>0</v>
      </c>
      <c r="DA320" s="23">
        <f t="shared" si="1651"/>
        <v>9.9999999976716936E-2</v>
      </c>
      <c r="DB320" s="23">
        <f>DB310+DB316</f>
        <v>0</v>
      </c>
      <c r="DC320" s="76"/>
      <c r="DD320" s="46"/>
      <c r="DE320" s="46"/>
      <c r="DF320" s="2">
        <f>DG320+DH320+DI320+DJ320</f>
        <v>0</v>
      </c>
      <c r="DG320" s="23">
        <f>DG304+DG308</f>
        <v>0</v>
      </c>
      <c r="DH320" s="23">
        <f>DH304+DH308</f>
        <v>0</v>
      </c>
      <c r="DI320" s="23"/>
      <c r="DJ320" s="23"/>
      <c r="DK320" s="2">
        <f>DL320+DM320+DN320+DO320</f>
        <v>0</v>
      </c>
      <c r="DL320" s="23">
        <f t="shared" si="1822"/>
        <v>0</v>
      </c>
      <c r="DM320" s="23">
        <f t="shared" si="1822"/>
        <v>0</v>
      </c>
      <c r="DN320" s="23">
        <f t="shared" si="1822"/>
        <v>0</v>
      </c>
      <c r="DO320" s="23">
        <f t="shared" si="1822"/>
        <v>0</v>
      </c>
      <c r="DP320" s="2">
        <f>DQ320+DR320+DS320+DT320</f>
        <v>0</v>
      </c>
      <c r="DQ320" s="23">
        <f>DQ304+DQ308</f>
        <v>0</v>
      </c>
      <c r="DR320" s="23">
        <f>DR304+DR308</f>
        <v>0</v>
      </c>
      <c r="DS320" s="23"/>
      <c r="DT320" s="23"/>
      <c r="DU320" s="46"/>
      <c r="DV320" s="46"/>
      <c r="DW320" s="46"/>
      <c r="DX320" s="46"/>
      <c r="DY320" s="46"/>
      <c r="DZ320" s="46"/>
      <c r="EA320" s="46"/>
      <c r="EB320" s="46"/>
      <c r="EC320" s="23">
        <f>EC304+EC308</f>
        <v>0</v>
      </c>
      <c r="ED320" s="23">
        <f>ED304+ED308</f>
        <v>0</v>
      </c>
      <c r="EE320" s="46"/>
      <c r="EF320" s="23">
        <f>EF304+EF308</f>
        <v>0</v>
      </c>
      <c r="EG320" s="46"/>
      <c r="EH320" s="46"/>
      <c r="EI320" s="2">
        <f>EJ320+EK320+EN320+EO320</f>
        <v>1382433.2170800001</v>
      </c>
      <c r="EJ320" s="23">
        <f>EJ296+EJ316</f>
        <v>207264.85717</v>
      </c>
      <c r="EK320" s="23">
        <f>EK310+EK316</f>
        <v>654667.08874000004</v>
      </c>
      <c r="EL320" s="23"/>
      <c r="EM320" s="23"/>
      <c r="EN320" s="23">
        <f>EN310+EN316</f>
        <v>520501.27117000002</v>
      </c>
      <c r="EO320" s="23">
        <f t="shared" ref="EO320" si="1829">EO296+EO316</f>
        <v>0</v>
      </c>
      <c r="EP320" s="2">
        <f>EQ320+ER320+EU320+EV320</f>
        <v>239747.41782999996</v>
      </c>
      <c r="EQ320" s="23">
        <f>EQ310+EQ316</f>
        <v>12675.160190000002</v>
      </c>
      <c r="ER320" s="23">
        <f>ER310+ER316</f>
        <v>168059.98470999996</v>
      </c>
      <c r="ES320" s="195"/>
      <c r="ET320" s="195"/>
      <c r="EU320" s="23">
        <f>EU310+EU316</f>
        <v>59012.272929999999</v>
      </c>
      <c r="EV320" s="13">
        <f t="shared" ref="EV320" si="1830">EV296+EV316</f>
        <v>0</v>
      </c>
      <c r="EW320" s="310"/>
      <c r="EX320" s="322"/>
      <c r="EY320" s="339"/>
      <c r="EZ320" s="322"/>
      <c r="FA320" s="322"/>
      <c r="FB320" s="310"/>
      <c r="FC320" s="322"/>
      <c r="FD320" s="339"/>
      <c r="FE320" s="322"/>
      <c r="FF320" s="322"/>
      <c r="FG320" s="322"/>
      <c r="FH320" s="322"/>
      <c r="FI320" s="322"/>
      <c r="FJ320" s="23">
        <f t="shared" ref="FJ320" si="1831">FJ296+FJ316</f>
        <v>0</v>
      </c>
      <c r="FK320" s="353"/>
      <c r="FL320" s="360"/>
      <c r="FM320" s="376"/>
      <c r="FN320" s="360"/>
      <c r="FO320" s="360"/>
      <c r="FP320" s="353"/>
      <c r="FQ320" s="360"/>
      <c r="FR320" s="376"/>
      <c r="FS320" s="360"/>
      <c r="FT320" s="360"/>
      <c r="FU320" s="360"/>
      <c r="FV320" s="360"/>
      <c r="FW320" s="360"/>
      <c r="FX320" s="310"/>
      <c r="FY320" s="322"/>
      <c r="FZ320" s="339"/>
      <c r="GA320" s="322"/>
      <c r="GB320" s="322"/>
      <c r="GC320" s="310"/>
      <c r="GD320" s="322"/>
      <c r="GE320" s="339"/>
      <c r="GF320" s="322"/>
      <c r="GG320" s="322"/>
      <c r="GH320" s="322"/>
      <c r="GI320" s="322"/>
      <c r="GJ320" s="339"/>
      <c r="GK320" s="303">
        <f t="shared" si="1637"/>
        <v>0.92299112752319967</v>
      </c>
    </row>
    <row r="321" spans="2:193" s="37" customFormat="1" ht="19.5" hidden="1" customHeight="1" thickBot="1" x14ac:dyDescent="0.25">
      <c r="B321" s="52"/>
      <c r="C321" s="52"/>
      <c r="D321" s="52"/>
      <c r="E321" s="67"/>
      <c r="F321" s="52"/>
      <c r="G321" s="52"/>
      <c r="H321" s="52"/>
      <c r="I321" s="52"/>
      <c r="J321" s="52"/>
      <c r="K321" s="52"/>
      <c r="L321" s="52"/>
      <c r="M321" s="81"/>
      <c r="N321" s="81"/>
      <c r="O321" s="81"/>
      <c r="P321" s="81"/>
      <c r="Q321" s="81"/>
      <c r="R321" s="81"/>
      <c r="S321" s="81"/>
      <c r="T321" s="81"/>
      <c r="U321" s="81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8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422"/>
      <c r="AY321" s="83"/>
      <c r="AZ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Q321" s="83"/>
      <c r="BR321" s="83"/>
      <c r="BS321" s="83"/>
      <c r="BT321" s="83"/>
      <c r="BU321" s="83"/>
      <c r="BV321" s="83"/>
      <c r="BW321" s="83"/>
      <c r="BX321" s="83"/>
      <c r="BY321" s="83"/>
      <c r="BZ321" s="83"/>
      <c r="CA321" s="83"/>
      <c r="CB321" s="83"/>
      <c r="CC321" s="83"/>
      <c r="CD321" s="83"/>
      <c r="CE321" s="83"/>
      <c r="CF321" s="83"/>
      <c r="CG321" s="83"/>
      <c r="CH321" s="83"/>
      <c r="CI321" s="83"/>
      <c r="CJ321" s="83"/>
      <c r="CK321" s="83"/>
      <c r="CL321" s="83"/>
      <c r="CM321" s="83"/>
      <c r="CN321" s="83"/>
      <c r="CO321" s="83"/>
      <c r="CP321" s="83"/>
      <c r="CQ321" s="83"/>
      <c r="CR321" s="78"/>
      <c r="CS321" s="83">
        <f t="shared" si="1645"/>
        <v>0</v>
      </c>
      <c r="CT321" s="83">
        <f t="shared" si="1646"/>
        <v>0</v>
      </c>
      <c r="CU321" s="83">
        <f t="shared" si="1647"/>
        <v>0</v>
      </c>
      <c r="CV321" s="83">
        <f t="shared" si="1648"/>
        <v>0</v>
      </c>
      <c r="CW321" s="83"/>
      <c r="CX321" s="83">
        <f t="shared" ca="1" si="1691"/>
        <v>0</v>
      </c>
      <c r="CY321" s="83">
        <f t="shared" si="1649"/>
        <v>0</v>
      </c>
      <c r="CZ321" s="83">
        <f t="shared" si="1650"/>
        <v>0</v>
      </c>
      <c r="DA321" s="83">
        <f t="shared" si="1651"/>
        <v>0</v>
      </c>
      <c r="DB321" s="83"/>
      <c r="DC321" s="76"/>
      <c r="DD321" s="46"/>
      <c r="DE321" s="46"/>
      <c r="DF321" s="83"/>
      <c r="DG321" s="83"/>
      <c r="DH321" s="83"/>
      <c r="DI321" s="83"/>
      <c r="DJ321" s="83"/>
      <c r="DK321" s="83"/>
      <c r="DL321" s="83"/>
      <c r="DM321" s="83"/>
      <c r="DN321" s="83"/>
      <c r="DO321" s="83"/>
      <c r="DP321" s="83"/>
      <c r="DQ321" s="83"/>
      <c r="DR321" s="83"/>
      <c r="DS321" s="83"/>
      <c r="DT321" s="83"/>
      <c r="DU321" s="46"/>
      <c r="DV321" s="46"/>
      <c r="DW321" s="46"/>
      <c r="DX321" s="46"/>
      <c r="DY321" s="46"/>
      <c r="DZ321" s="46"/>
      <c r="EA321" s="46"/>
      <c r="EB321" s="46"/>
      <c r="EC321" s="83"/>
      <c r="ED321" s="83"/>
      <c r="EE321" s="46"/>
      <c r="EF321" s="83"/>
      <c r="EG321" s="46"/>
      <c r="EH321" s="46"/>
      <c r="EI321" s="83"/>
      <c r="EJ321" s="83"/>
      <c r="EK321" s="83"/>
      <c r="EL321" s="83"/>
      <c r="EM321" s="83"/>
      <c r="EN321" s="83"/>
      <c r="EO321" s="83"/>
      <c r="EP321" s="83"/>
      <c r="EQ321" s="83"/>
      <c r="ER321" s="83"/>
      <c r="ES321" s="83"/>
      <c r="ET321" s="83"/>
      <c r="EU321" s="83"/>
      <c r="EV321" s="2"/>
      <c r="EW321" s="343"/>
      <c r="EX321" s="343"/>
      <c r="EY321" s="343"/>
      <c r="EZ321" s="322"/>
      <c r="FA321" s="322"/>
      <c r="FB321" s="343"/>
      <c r="FC321" s="343"/>
      <c r="FD321" s="343"/>
      <c r="FE321" s="322"/>
      <c r="FF321" s="322"/>
      <c r="FG321" s="322"/>
      <c r="FH321" s="322"/>
      <c r="FI321" s="322"/>
      <c r="FJ321" s="23"/>
      <c r="FK321" s="380"/>
      <c r="FL321" s="380"/>
      <c r="FM321" s="380"/>
      <c r="FN321" s="360"/>
      <c r="FO321" s="360"/>
      <c r="FP321" s="380"/>
      <c r="FQ321" s="380"/>
      <c r="FR321" s="380"/>
      <c r="FS321" s="360"/>
      <c r="FT321" s="360"/>
      <c r="FU321" s="360"/>
      <c r="FV321" s="360"/>
      <c r="FW321" s="360"/>
      <c r="FX321" s="343"/>
      <c r="FY321" s="343"/>
      <c r="FZ321" s="343"/>
      <c r="GA321" s="322"/>
      <c r="GB321" s="322"/>
      <c r="GC321" s="343"/>
      <c r="GD321" s="343"/>
      <c r="GE321" s="343"/>
      <c r="GF321" s="322"/>
      <c r="GG321" s="322"/>
      <c r="GH321" s="322"/>
      <c r="GI321" s="322"/>
      <c r="GJ321" s="339"/>
      <c r="GK321" s="303" t="e">
        <f t="shared" si="1637"/>
        <v>#DIV/0!</v>
      </c>
    </row>
    <row r="322" spans="2:193" ht="25.5" hidden="1" customHeight="1" x14ac:dyDescent="0.3">
      <c r="AX322" s="423"/>
      <c r="BM322" s="46">
        <f>BM308-BR308</f>
        <v>793737.85177999991</v>
      </c>
      <c r="BN322" s="46">
        <f t="shared" ref="BN322:BQ322" si="1832">BN308-BS308</f>
        <v>315089.22378</v>
      </c>
      <c r="BO322" s="46">
        <f t="shared" si="1832"/>
        <v>223922.57699999999</v>
      </c>
      <c r="BP322" s="46">
        <f t="shared" si="1832"/>
        <v>254726.05100000004</v>
      </c>
      <c r="BQ322" s="46">
        <f t="shared" si="1832"/>
        <v>0</v>
      </c>
      <c r="BS322" s="15"/>
      <c r="BW322" s="46">
        <f>BW308-CD308</f>
        <v>0.10000000009313226</v>
      </c>
      <c r="BX322" s="46">
        <f>BX308-CE308</f>
        <v>0</v>
      </c>
      <c r="BY322" s="46">
        <f>BY308-CF308</f>
        <v>0</v>
      </c>
      <c r="BZ322" s="46"/>
      <c r="CA322" s="46"/>
      <c r="CB322" s="46">
        <f>CB308-CI308</f>
        <v>9.9999999976716936E-2</v>
      </c>
      <c r="CC322" s="46">
        <f>CC308-CJ308</f>
        <v>0</v>
      </c>
      <c r="CE322" s="46">
        <f>CE308-CL308</f>
        <v>194589.69698000001</v>
      </c>
      <c r="CF322" s="46">
        <f>CF308-CM308</f>
        <v>486607.10403000005</v>
      </c>
      <c r="CG322" s="46"/>
      <c r="CH322" s="46"/>
      <c r="CI322" s="46">
        <f>CI308-CP308</f>
        <v>461488.89824000007</v>
      </c>
      <c r="CS322" s="15">
        <f t="shared" si="1645"/>
        <v>1142685.6992500001</v>
      </c>
      <c r="CT322" s="15">
        <f t="shared" si="1646"/>
        <v>194589.69698000001</v>
      </c>
      <c r="CU322" s="15">
        <f t="shared" si="1647"/>
        <v>486607.10403000005</v>
      </c>
      <c r="CV322" s="15">
        <f t="shared" si="1648"/>
        <v>461488.89824000007</v>
      </c>
      <c r="CX322" s="15">
        <f t="shared" ca="1" si="1691"/>
        <v>0</v>
      </c>
      <c r="CY322" s="15">
        <f t="shared" si="1649"/>
        <v>-194589.69698000001</v>
      </c>
      <c r="CZ322" s="15">
        <f t="shared" si="1650"/>
        <v>-486607.10403000005</v>
      </c>
      <c r="DA322" s="15">
        <f t="shared" si="1651"/>
        <v>-461488.79824000009</v>
      </c>
      <c r="DG322" s="15"/>
      <c r="DH322" s="15"/>
      <c r="DI322" s="15"/>
      <c r="DJ322" s="15"/>
      <c r="DP322" s="15"/>
      <c r="DQ322" s="15"/>
      <c r="DR322" s="15"/>
      <c r="DS322" s="15"/>
      <c r="DT322" s="15"/>
      <c r="DU322" s="15"/>
      <c r="DV322" s="15"/>
      <c r="DW322" s="15"/>
      <c r="DY322" s="15"/>
      <c r="EB322" s="15"/>
      <c r="EE322" s="15"/>
      <c r="EG322" s="15"/>
      <c r="EH322" s="15"/>
      <c r="EK322" s="46">
        <f>EK308-ER308</f>
        <v>486607.10403000005</v>
      </c>
      <c r="EL322" s="46"/>
      <c r="EM322" s="46"/>
      <c r="EN322" s="46">
        <f>EN308-EU308</f>
        <v>461488.99824000004</v>
      </c>
      <c r="EV322" s="232"/>
      <c r="EZ322" s="345"/>
      <c r="FA322" s="345"/>
      <c r="FE322" s="345"/>
      <c r="FF322" s="345"/>
      <c r="FG322" s="345"/>
      <c r="FH322" s="345"/>
      <c r="FI322" s="345"/>
      <c r="FJ322" s="197"/>
      <c r="FN322" s="384"/>
      <c r="FO322" s="384"/>
      <c r="FS322" s="384"/>
      <c r="FT322" s="384"/>
      <c r="FU322" s="384"/>
      <c r="FV322" s="384"/>
      <c r="FW322" s="384"/>
      <c r="GA322" s="345"/>
      <c r="GB322" s="345"/>
      <c r="GF322" s="345"/>
      <c r="GG322" s="345"/>
      <c r="GH322" s="345"/>
      <c r="GI322" s="345"/>
      <c r="GJ322" s="459"/>
      <c r="GK322" s="461" t="e">
        <f t="shared" si="1637"/>
        <v>#DIV/0!</v>
      </c>
    </row>
    <row r="323" spans="2:193" ht="15.75" hidden="1" customHeight="1" x14ac:dyDescent="0.25">
      <c r="M323" s="60" t="s">
        <v>289</v>
      </c>
      <c r="N323" s="61"/>
      <c r="O323" s="61"/>
      <c r="P323" s="61"/>
      <c r="Q323" s="61"/>
      <c r="R323" s="61"/>
      <c r="S323" s="61"/>
      <c r="T323" s="61"/>
      <c r="U323" s="61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1"/>
      <c r="AY323" s="282" t="e">
        <f>SUM(AY294/#REF!)</f>
        <v>#REF!</v>
      </c>
      <c r="AZ323" s="106" t="e">
        <f>SUM(AZ294/#REF!)</f>
        <v>#REF!</v>
      </c>
      <c r="BA323" s="106" t="e">
        <f>SUM(BA294/#REF!)</f>
        <v>#REF!</v>
      </c>
      <c r="BB323" s="106"/>
      <c r="BC323" s="106"/>
      <c r="BD323" s="106" t="e">
        <f>SUM(BD294/#REF!)</f>
        <v>#REF!</v>
      </c>
      <c r="BE323" s="106"/>
      <c r="BF323" s="7"/>
      <c r="BG323" s="7"/>
      <c r="BH323" s="7"/>
      <c r="BI323" s="7"/>
      <c r="BJ323" s="7"/>
      <c r="BK323" s="7"/>
      <c r="BL323" s="7"/>
      <c r="BM323" s="106"/>
      <c r="BN323" s="106"/>
      <c r="BO323" s="106"/>
      <c r="BP323" s="106"/>
      <c r="BQ323" s="106"/>
      <c r="BR323" s="71"/>
      <c r="BS323" s="71"/>
      <c r="BT323" s="71"/>
      <c r="BU323" s="71"/>
      <c r="BV323" s="71"/>
      <c r="BW323" s="106"/>
      <c r="BX323" s="106"/>
      <c r="BY323" s="106"/>
      <c r="BZ323" s="106"/>
      <c r="CA323" s="106"/>
      <c r="CB323" s="106"/>
      <c r="CC323" s="106"/>
      <c r="CD323" s="71"/>
      <c r="CE323" s="106"/>
      <c r="CF323" s="106"/>
      <c r="CG323" s="106"/>
      <c r="CH323" s="106"/>
      <c r="CI323" s="106"/>
      <c r="CJ323" s="71"/>
      <c r="CK323" s="79"/>
      <c r="CL323" s="71"/>
      <c r="CM323" s="71"/>
      <c r="CN323" s="71"/>
      <c r="CO323" s="71"/>
      <c r="CP323" s="71"/>
      <c r="CQ323" s="71"/>
      <c r="CR323" s="63"/>
      <c r="CS323" s="71">
        <f t="shared" si="1645"/>
        <v>0</v>
      </c>
      <c r="CT323" s="71">
        <f t="shared" si="1646"/>
        <v>0</v>
      </c>
      <c r="CU323" s="71">
        <f t="shared" si="1647"/>
        <v>0</v>
      </c>
      <c r="CV323" s="71">
        <f t="shared" si="1648"/>
        <v>0</v>
      </c>
      <c r="CW323" s="71"/>
      <c r="CX323" s="71">
        <f t="shared" ca="1" si="1691"/>
        <v>0</v>
      </c>
      <c r="CY323" s="71">
        <f t="shared" si="1649"/>
        <v>0</v>
      </c>
      <c r="CZ323" s="71">
        <f t="shared" si="1650"/>
        <v>0</v>
      </c>
      <c r="DA323" s="71">
        <f t="shared" si="1651"/>
        <v>0</v>
      </c>
      <c r="DB323" s="71"/>
      <c r="DC323" s="80"/>
      <c r="DD323" s="64"/>
      <c r="DE323" s="64"/>
      <c r="DF323" s="64"/>
      <c r="DG323" s="64"/>
      <c r="DH323" s="64"/>
      <c r="DI323" s="71"/>
      <c r="DJ323" s="64"/>
      <c r="DK323" s="64"/>
      <c r="DL323" s="64"/>
      <c r="DM323" s="64"/>
      <c r="DN323" s="64"/>
      <c r="DO323" s="64"/>
      <c r="DP323" s="64"/>
      <c r="DQ323" s="64"/>
      <c r="DR323" s="64"/>
      <c r="DS323" s="64"/>
      <c r="DT323" s="64"/>
      <c r="DU323" s="64"/>
      <c r="DV323" s="64"/>
      <c r="DW323" s="64"/>
      <c r="DX323" s="64"/>
      <c r="DY323" s="64"/>
      <c r="DZ323" s="64"/>
      <c r="EA323" s="64"/>
      <c r="EB323" s="15"/>
      <c r="EC323" s="71"/>
      <c r="ED323" s="71"/>
      <c r="EE323" s="15"/>
      <c r="EF323" s="71"/>
      <c r="EG323" s="15"/>
      <c r="EH323" s="15"/>
      <c r="EI323" s="7"/>
      <c r="EJ323" s="7"/>
      <c r="EK323" s="106"/>
      <c r="EL323" s="106"/>
      <c r="EM323" s="106"/>
      <c r="EN323" s="106"/>
      <c r="EO323" s="8"/>
      <c r="EP323" s="7"/>
      <c r="EQ323" s="71"/>
      <c r="ER323" s="71"/>
      <c r="ES323" s="8"/>
      <c r="ET323" s="8"/>
      <c r="EU323" s="71"/>
      <c r="EV323" s="6"/>
      <c r="EW323" s="325"/>
      <c r="EX323" s="325"/>
      <c r="EY323" s="327"/>
      <c r="EZ323" s="325"/>
      <c r="FA323" s="325"/>
      <c r="FB323" s="325"/>
      <c r="FC323" s="325"/>
      <c r="FD323" s="327"/>
      <c r="FE323" s="325"/>
      <c r="FF323" s="325"/>
      <c r="FG323" s="325"/>
      <c r="FH323" s="325"/>
      <c r="FI323" s="325"/>
      <c r="FJ323" s="7"/>
      <c r="FK323" s="362"/>
      <c r="FL323" s="362"/>
      <c r="FM323" s="364"/>
      <c r="FN323" s="362"/>
      <c r="FO323" s="362"/>
      <c r="FP323" s="362"/>
      <c r="FQ323" s="362"/>
      <c r="FR323" s="364"/>
      <c r="FS323" s="362"/>
      <c r="FT323" s="362"/>
      <c r="FU323" s="362"/>
      <c r="FV323" s="362"/>
      <c r="FW323" s="362"/>
      <c r="FX323" s="325"/>
      <c r="FY323" s="325"/>
      <c r="FZ323" s="327"/>
      <c r="GA323" s="325"/>
      <c r="GB323" s="325"/>
      <c r="GC323" s="325"/>
      <c r="GD323" s="325"/>
      <c r="GE323" s="327"/>
      <c r="GF323" s="325"/>
      <c r="GG323" s="325"/>
      <c r="GH323" s="325"/>
      <c r="GI323" s="325"/>
      <c r="GJ323" s="327"/>
      <c r="GK323" s="461" t="e">
        <f t="shared" si="1637"/>
        <v>#DIV/0!</v>
      </c>
    </row>
    <row r="324" spans="2:193" ht="18.75" hidden="1" customHeight="1" x14ac:dyDescent="0.3">
      <c r="M324" s="72" t="s">
        <v>290</v>
      </c>
      <c r="AX324" s="423"/>
      <c r="AY324" s="283" t="e">
        <f>SUM(AY296/#REF!)</f>
        <v>#REF!</v>
      </c>
      <c r="AZ324" s="107" t="e">
        <f>SUM(AZ296/#REF!)</f>
        <v>#REF!</v>
      </c>
      <c r="BA324" s="107" t="e">
        <f>SUM(BA296/#REF!)</f>
        <v>#REF!</v>
      </c>
      <c r="BB324" s="107"/>
      <c r="BC324" s="107"/>
      <c r="BD324" s="107" t="e">
        <f>SUM(BD296/#REF!)</f>
        <v>#REF!</v>
      </c>
      <c r="BE324" s="107"/>
      <c r="BS324" s="15"/>
      <c r="BW324" s="46"/>
      <c r="BX324" s="46"/>
      <c r="BY324" s="46"/>
      <c r="BZ324" s="46"/>
      <c r="CA324" s="46"/>
      <c r="CB324" s="46"/>
      <c r="CC324" s="46"/>
      <c r="CE324" s="46"/>
      <c r="CF324" s="46"/>
      <c r="CG324" s="46"/>
      <c r="CH324" s="46"/>
      <c r="CI324" s="46"/>
      <c r="CS324" s="15">
        <f t="shared" si="1645"/>
        <v>0</v>
      </c>
      <c r="CT324" s="15">
        <f t="shared" si="1646"/>
        <v>0</v>
      </c>
      <c r="CU324" s="15">
        <f t="shared" si="1647"/>
        <v>0</v>
      </c>
      <c r="CV324" s="15">
        <f t="shared" si="1648"/>
        <v>0</v>
      </c>
      <c r="CX324" s="15">
        <f t="shared" ca="1" si="1691"/>
        <v>0</v>
      </c>
      <c r="CY324" s="15">
        <f t="shared" si="1649"/>
        <v>0</v>
      </c>
      <c r="CZ324" s="15">
        <f t="shared" si="1650"/>
        <v>0</v>
      </c>
      <c r="DA324" s="15">
        <f t="shared" si="1651"/>
        <v>0</v>
      </c>
      <c r="DG324" s="15"/>
      <c r="DH324" s="15"/>
      <c r="DI324" s="15"/>
      <c r="DJ324" s="15"/>
      <c r="DP324" s="15"/>
      <c r="DQ324" s="15"/>
      <c r="DR324" s="15"/>
      <c r="DS324" s="15"/>
      <c r="DT324" s="15"/>
      <c r="DU324" s="15"/>
      <c r="DV324" s="15"/>
      <c r="DW324" s="15"/>
      <c r="DY324" s="15"/>
      <c r="EB324" s="15"/>
      <c r="EE324" s="15"/>
      <c r="EG324" s="15"/>
      <c r="EH324" s="15"/>
      <c r="EK324" s="46"/>
      <c r="EL324" s="46"/>
      <c r="EM324" s="46"/>
      <c r="EN324" s="46"/>
      <c r="EV324" s="232"/>
      <c r="EZ324" s="345"/>
      <c r="FA324" s="345"/>
      <c r="FE324" s="345"/>
      <c r="FF324" s="345"/>
      <c r="FG324" s="345"/>
      <c r="FH324" s="345"/>
      <c r="FI324" s="345"/>
      <c r="FJ324" s="197"/>
      <c r="FN324" s="384"/>
      <c r="FO324" s="384"/>
      <c r="FS324" s="384"/>
      <c r="FT324" s="384"/>
      <c r="FU324" s="384"/>
      <c r="FV324" s="384"/>
      <c r="FW324" s="384"/>
      <c r="GA324" s="345"/>
      <c r="GB324" s="345"/>
      <c r="GF324" s="345"/>
      <c r="GG324" s="345"/>
      <c r="GH324" s="345"/>
      <c r="GI324" s="345"/>
      <c r="GJ324" s="459"/>
      <c r="GK324" s="461" t="e">
        <f t="shared" si="1637"/>
        <v>#DIV/0!</v>
      </c>
    </row>
    <row r="325" spans="2:193" ht="15.75" hidden="1" customHeight="1" x14ac:dyDescent="0.25">
      <c r="M325" s="60" t="s">
        <v>282</v>
      </c>
      <c r="N325" s="61"/>
      <c r="O325" s="61"/>
      <c r="P325" s="61"/>
      <c r="Q325" s="61"/>
      <c r="R325" s="61"/>
      <c r="S325" s="61"/>
      <c r="T325" s="61"/>
      <c r="U325" s="61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62"/>
      <c r="AV325" s="62"/>
      <c r="AW325" s="62"/>
      <c r="AX325" s="61"/>
      <c r="AY325" s="282" t="e">
        <f>SUM(AY262/#REF!)</f>
        <v>#REF!</v>
      </c>
      <c r="AZ325" s="106" t="e">
        <f>SUM(AZ262/#REF!)</f>
        <v>#REF!</v>
      </c>
      <c r="BA325" s="106" t="e">
        <f>SUM(BA262/#REF!)</f>
        <v>#REF!</v>
      </c>
      <c r="BB325" s="106"/>
      <c r="BC325" s="106"/>
      <c r="BD325" s="106" t="e">
        <f>SUM(BD262/#REF!)</f>
        <v>#REF!</v>
      </c>
      <c r="BE325" s="106"/>
      <c r="BF325" s="7"/>
      <c r="BG325" s="7"/>
      <c r="BH325" s="7"/>
      <c r="BI325" s="7"/>
      <c r="BJ325" s="7"/>
      <c r="BK325" s="7"/>
      <c r="BL325" s="7"/>
      <c r="BM325" s="106"/>
      <c r="BN325" s="106"/>
      <c r="BO325" s="106"/>
      <c r="BP325" s="106"/>
      <c r="BQ325" s="106"/>
      <c r="BS325" s="15"/>
      <c r="BW325" s="106"/>
      <c r="BX325" s="106"/>
      <c r="BY325" s="106"/>
      <c r="BZ325" s="106"/>
      <c r="CA325" s="106"/>
      <c r="CB325" s="106"/>
      <c r="CC325" s="106"/>
      <c r="CE325" s="106"/>
      <c r="CF325" s="106"/>
      <c r="CG325" s="106"/>
      <c r="CH325" s="106"/>
      <c r="CI325" s="106"/>
      <c r="CS325" s="15">
        <f t="shared" si="1645"/>
        <v>0</v>
      </c>
      <c r="CT325" s="15">
        <f t="shared" si="1646"/>
        <v>0</v>
      </c>
      <c r="CU325" s="15">
        <f t="shared" si="1647"/>
        <v>0</v>
      </c>
      <c r="CV325" s="15">
        <f t="shared" si="1648"/>
        <v>0</v>
      </c>
      <c r="CX325" s="15">
        <f t="shared" ca="1" si="1691"/>
        <v>0</v>
      </c>
      <c r="CY325" s="15">
        <f t="shared" si="1649"/>
        <v>0</v>
      </c>
      <c r="CZ325" s="15">
        <f t="shared" si="1650"/>
        <v>0</v>
      </c>
      <c r="DA325" s="15">
        <f t="shared" si="1651"/>
        <v>0</v>
      </c>
      <c r="DG325" s="15"/>
      <c r="DH325" s="15"/>
      <c r="DI325" s="15"/>
      <c r="DJ325" s="15"/>
      <c r="DP325" s="15"/>
      <c r="DQ325" s="15"/>
      <c r="DR325" s="15"/>
      <c r="DS325" s="15"/>
      <c r="DT325" s="15"/>
      <c r="DU325" s="15"/>
      <c r="DV325" s="15"/>
      <c r="DW325" s="15"/>
      <c r="DY325" s="15"/>
      <c r="EB325" s="15"/>
      <c r="EE325" s="15"/>
      <c r="EG325" s="15"/>
      <c r="EH325" s="15"/>
      <c r="EK325" s="106"/>
      <c r="EL325" s="106"/>
      <c r="EM325" s="106"/>
      <c r="EN325" s="106"/>
      <c r="EV325" s="232"/>
      <c r="EZ325" s="345"/>
      <c r="FA325" s="345"/>
      <c r="FE325" s="345"/>
      <c r="FF325" s="345"/>
      <c r="FG325" s="345"/>
      <c r="FH325" s="345"/>
      <c r="FI325" s="345"/>
      <c r="FJ325" s="197"/>
      <c r="FN325" s="384"/>
      <c r="FO325" s="384"/>
      <c r="FS325" s="384"/>
      <c r="FT325" s="384"/>
      <c r="FU325" s="384"/>
      <c r="FV325" s="384"/>
      <c r="FW325" s="384"/>
      <c r="GA325" s="345"/>
      <c r="GB325" s="345"/>
      <c r="GF325" s="345"/>
      <c r="GG325" s="345"/>
      <c r="GH325" s="345"/>
      <c r="GI325" s="345"/>
      <c r="GJ325" s="459"/>
      <c r="GK325" s="461" t="e">
        <f t="shared" si="1637"/>
        <v>#DIV/0!</v>
      </c>
    </row>
    <row r="326" spans="2:193" ht="18.75" hidden="1" customHeight="1" x14ac:dyDescent="0.3">
      <c r="AX326" s="423"/>
      <c r="BS326" s="15"/>
      <c r="BW326" s="46"/>
      <c r="BX326" s="46"/>
      <c r="BY326" s="46"/>
      <c r="BZ326" s="46"/>
      <c r="CA326" s="46"/>
      <c r="CB326" s="46"/>
      <c r="CC326" s="46"/>
      <c r="CE326" s="46"/>
      <c r="CF326" s="46"/>
      <c r="CG326" s="46"/>
      <c r="CH326" s="46"/>
      <c r="CI326" s="46"/>
      <c r="CS326" s="15">
        <f t="shared" si="1645"/>
        <v>0</v>
      </c>
      <c r="CT326" s="15">
        <f t="shared" si="1646"/>
        <v>0</v>
      </c>
      <c r="CU326" s="15">
        <f t="shared" si="1647"/>
        <v>0</v>
      </c>
      <c r="CV326" s="15">
        <f t="shared" si="1648"/>
        <v>0</v>
      </c>
      <c r="CX326" s="15">
        <f t="shared" ca="1" si="1691"/>
        <v>0</v>
      </c>
      <c r="CY326" s="15">
        <f t="shared" si="1649"/>
        <v>0</v>
      </c>
      <c r="CZ326" s="15">
        <f t="shared" si="1650"/>
        <v>0</v>
      </c>
      <c r="DA326" s="15">
        <f t="shared" si="1651"/>
        <v>0</v>
      </c>
      <c r="DG326" s="15"/>
      <c r="DH326" s="15"/>
      <c r="DI326" s="15"/>
      <c r="DJ326" s="15"/>
      <c r="DP326" s="15"/>
      <c r="DQ326" s="15"/>
      <c r="DR326" s="15"/>
      <c r="DS326" s="15"/>
      <c r="DT326" s="15"/>
      <c r="DU326" s="15"/>
      <c r="DV326" s="15"/>
      <c r="DW326" s="15"/>
      <c r="DY326" s="15"/>
      <c r="EB326" s="15"/>
      <c r="EE326" s="15"/>
      <c r="EG326" s="15"/>
      <c r="EH326" s="15"/>
      <c r="EK326" s="46"/>
      <c r="EL326" s="46"/>
      <c r="EM326" s="46"/>
      <c r="EN326" s="46"/>
      <c r="EV326" s="232"/>
      <c r="EZ326" s="345"/>
      <c r="FA326" s="345"/>
      <c r="FE326" s="345"/>
      <c r="FF326" s="345"/>
      <c r="FG326" s="345"/>
      <c r="FH326" s="345"/>
      <c r="FI326" s="345"/>
      <c r="FJ326" s="197"/>
      <c r="FN326" s="384"/>
      <c r="FO326" s="384"/>
      <c r="FS326" s="384"/>
      <c r="FT326" s="384"/>
      <c r="FU326" s="384"/>
      <c r="FV326" s="384"/>
      <c r="FW326" s="384"/>
      <c r="GA326" s="345"/>
      <c r="GB326" s="345"/>
      <c r="GF326" s="345"/>
      <c r="GG326" s="345"/>
      <c r="GH326" s="345"/>
      <c r="GI326" s="345"/>
      <c r="GJ326" s="459"/>
      <c r="GK326" s="461" t="e">
        <f t="shared" si="1637"/>
        <v>#DIV/0!</v>
      </c>
    </row>
    <row r="327" spans="2:193" ht="17.45" hidden="1" customHeight="1" x14ac:dyDescent="0.3">
      <c r="N327" s="14" t="s">
        <v>299</v>
      </c>
      <c r="AX327" s="424"/>
      <c r="AY327" s="59" t="e">
        <f>BF308</f>
        <v>#REF!</v>
      </c>
      <c r="AZ327" s="108" t="e">
        <f>BG308</f>
        <v>#REF!</v>
      </c>
      <c r="BA327" s="108" t="e">
        <f>BH308</f>
        <v>#REF!</v>
      </c>
      <c r="BB327" s="108"/>
      <c r="BC327" s="108"/>
      <c r="BD327" s="108" t="e">
        <f>BK308</f>
        <v>#REF!</v>
      </c>
      <c r="BE327" s="108" t="e">
        <f>BL308</f>
        <v>#REF!</v>
      </c>
      <c r="BS327" s="15"/>
      <c r="BW327" s="46"/>
      <c r="BX327" s="46"/>
      <c r="BY327" s="46"/>
      <c r="BZ327" s="46"/>
      <c r="CA327" s="46"/>
      <c r="CB327" s="46"/>
      <c r="CC327" s="46"/>
      <c r="CE327" s="46"/>
      <c r="CF327" s="46"/>
      <c r="CG327" s="46"/>
      <c r="CH327" s="46"/>
      <c r="CI327" s="46"/>
      <c r="CS327" s="15">
        <f t="shared" si="1645"/>
        <v>0</v>
      </c>
      <c r="CT327" s="15">
        <f t="shared" si="1646"/>
        <v>0</v>
      </c>
      <c r="CU327" s="15">
        <f t="shared" si="1647"/>
        <v>0</v>
      </c>
      <c r="CV327" s="15">
        <f t="shared" si="1648"/>
        <v>0</v>
      </c>
      <c r="CX327" s="15">
        <f t="shared" ca="1" si="1691"/>
        <v>0</v>
      </c>
      <c r="CY327" s="15">
        <f t="shared" si="1649"/>
        <v>0</v>
      </c>
      <c r="CZ327" s="15">
        <f t="shared" si="1650"/>
        <v>0</v>
      </c>
      <c r="DA327" s="15">
        <f t="shared" si="1651"/>
        <v>0</v>
      </c>
      <c r="DG327" s="15"/>
      <c r="DH327" s="15"/>
      <c r="DI327" s="15"/>
      <c r="DJ327" s="15"/>
      <c r="DP327" s="15"/>
      <c r="DQ327" s="15"/>
      <c r="DR327" s="15"/>
      <c r="DS327" s="15"/>
      <c r="DT327" s="15"/>
      <c r="DU327" s="15"/>
      <c r="DV327" s="15"/>
      <c r="DW327" s="15"/>
      <c r="DY327" s="15"/>
      <c r="EB327" s="15"/>
      <c r="EE327" s="15"/>
      <c r="EG327" s="15"/>
      <c r="EH327" s="15"/>
      <c r="EK327" s="46"/>
      <c r="EL327" s="46"/>
      <c r="EM327" s="46"/>
      <c r="EN327" s="46"/>
      <c r="EV327" s="232"/>
      <c r="EZ327" s="345"/>
      <c r="FA327" s="345"/>
      <c r="FE327" s="345"/>
      <c r="FF327" s="345"/>
      <c r="FG327" s="345"/>
      <c r="FH327" s="345"/>
      <c r="FI327" s="345"/>
      <c r="FJ327" s="197"/>
      <c r="FN327" s="384"/>
      <c r="FO327" s="384"/>
      <c r="FS327" s="384"/>
      <c r="FT327" s="384"/>
      <c r="FU327" s="384"/>
      <c r="FV327" s="384"/>
      <c r="FW327" s="384"/>
      <c r="GA327" s="345"/>
      <c r="GB327" s="345"/>
      <c r="GF327" s="345"/>
      <c r="GG327" s="345"/>
      <c r="GH327" s="345"/>
      <c r="GI327" s="345"/>
      <c r="GJ327" s="459"/>
      <c r="GK327" s="461" t="e">
        <f t="shared" si="1637"/>
        <v>#DIV/0!</v>
      </c>
    </row>
    <row r="328" spans="2:193" s="181" customFormat="1" ht="19.5" hidden="1" customHeight="1" x14ac:dyDescent="0.2">
      <c r="B328" s="118"/>
      <c r="C328" s="118"/>
      <c r="D328" s="118"/>
      <c r="E328" s="119"/>
      <c r="F328" s="118"/>
      <c r="G328" s="118"/>
      <c r="H328" s="118"/>
      <c r="I328" s="118"/>
      <c r="J328" s="118"/>
      <c r="K328" s="118"/>
      <c r="L328" s="118"/>
      <c r="M328" s="728" t="s">
        <v>307</v>
      </c>
      <c r="N328" s="728"/>
      <c r="O328" s="484"/>
      <c r="P328" s="484"/>
      <c r="Q328" s="484"/>
      <c r="R328" s="484"/>
      <c r="S328" s="484"/>
      <c r="T328" s="484"/>
      <c r="U328" s="484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114"/>
      <c r="AY328" s="68"/>
      <c r="AZ328" s="68"/>
      <c r="BA328" s="68"/>
      <c r="BB328" s="68"/>
      <c r="BC328" s="68"/>
      <c r="BD328" s="68"/>
      <c r="BE328" s="68"/>
      <c r="BF328" s="68"/>
      <c r="BG328" s="68"/>
      <c r="BH328" s="68"/>
      <c r="BI328" s="68"/>
      <c r="BJ328" s="68"/>
      <c r="BK328" s="68"/>
      <c r="BL328" s="68"/>
      <c r="BM328" s="68"/>
      <c r="BN328" s="68"/>
      <c r="BO328" s="68"/>
      <c r="BP328" s="68"/>
      <c r="BQ328" s="68"/>
      <c r="BR328" s="68"/>
      <c r="BS328" s="68"/>
      <c r="BT328" s="68"/>
      <c r="BU328" s="68"/>
      <c r="BV328" s="68"/>
      <c r="BW328" s="68"/>
      <c r="BX328" s="68"/>
      <c r="BY328" s="68"/>
      <c r="BZ328" s="68"/>
      <c r="CA328" s="68"/>
      <c r="CB328" s="68"/>
      <c r="CC328" s="68"/>
      <c r="CD328" s="68"/>
      <c r="CE328" s="68"/>
      <c r="CF328" s="68"/>
      <c r="CG328" s="68"/>
      <c r="CH328" s="68"/>
      <c r="CI328" s="68"/>
      <c r="CJ328" s="68"/>
      <c r="CK328" s="68"/>
      <c r="CL328" s="68"/>
      <c r="CM328" s="68"/>
      <c r="CN328" s="68"/>
      <c r="CO328" s="68"/>
      <c r="CP328" s="68"/>
      <c r="CQ328" s="68"/>
      <c r="CR328" s="68"/>
      <c r="CS328" s="68">
        <f t="shared" si="1645"/>
        <v>0</v>
      </c>
      <c r="CT328" s="68">
        <f t="shared" si="1646"/>
        <v>0</v>
      </c>
      <c r="CU328" s="68">
        <f t="shared" si="1647"/>
        <v>0</v>
      </c>
      <c r="CV328" s="68">
        <f t="shared" si="1648"/>
        <v>0</v>
      </c>
      <c r="CW328" s="68"/>
      <c r="CX328" s="68">
        <f t="shared" ca="1" si="1691"/>
        <v>0</v>
      </c>
      <c r="CY328" s="68">
        <f t="shared" si="1649"/>
        <v>0</v>
      </c>
      <c r="CZ328" s="68">
        <f t="shared" si="1650"/>
        <v>0</v>
      </c>
      <c r="DA328" s="68">
        <f t="shared" si="1651"/>
        <v>0</v>
      </c>
      <c r="DB328" s="68"/>
      <c r="DC328" s="244"/>
      <c r="DD328" s="244"/>
      <c r="DE328" s="244"/>
      <c r="DF328" s="68"/>
      <c r="DG328" s="68"/>
      <c r="DH328" s="68"/>
      <c r="DI328" s="68"/>
      <c r="DJ328" s="68"/>
      <c r="DK328" s="68"/>
      <c r="DL328" s="68"/>
      <c r="DM328" s="68"/>
      <c r="DN328" s="68"/>
      <c r="DO328" s="68"/>
      <c r="DP328" s="68"/>
      <c r="DQ328" s="68"/>
      <c r="DR328" s="68"/>
      <c r="DS328" s="68"/>
      <c r="DT328" s="68"/>
      <c r="DU328" s="244"/>
      <c r="DV328" s="244"/>
      <c r="DW328" s="244"/>
      <c r="DX328" s="244"/>
      <c r="DY328" s="244"/>
      <c r="DZ328" s="244"/>
      <c r="EA328" s="244"/>
      <c r="EB328" s="244"/>
      <c r="EC328" s="244"/>
      <c r="ED328" s="244"/>
      <c r="EE328" s="244"/>
      <c r="EF328" s="244"/>
      <c r="EG328" s="244"/>
      <c r="EH328" s="244"/>
      <c r="EI328" s="68"/>
      <c r="EJ328" s="68"/>
      <c r="EK328" s="68"/>
      <c r="EL328" s="68"/>
      <c r="EM328" s="68"/>
      <c r="EN328" s="68"/>
      <c r="EO328" s="68"/>
      <c r="EP328" s="68"/>
      <c r="EQ328" s="68"/>
      <c r="ER328" s="68"/>
      <c r="ES328" s="196"/>
      <c r="ET328" s="196"/>
      <c r="EU328" s="68"/>
      <c r="EV328" s="230"/>
      <c r="EW328" s="322"/>
      <c r="EX328" s="322"/>
      <c r="EY328" s="339"/>
      <c r="EZ328" s="322"/>
      <c r="FA328" s="322"/>
      <c r="FB328" s="322"/>
      <c r="FC328" s="322"/>
      <c r="FD328" s="339"/>
      <c r="FE328" s="322"/>
      <c r="FF328" s="322"/>
      <c r="FG328" s="322"/>
      <c r="FH328" s="322"/>
      <c r="FI328" s="322"/>
      <c r="FJ328" s="68"/>
      <c r="FK328" s="360"/>
      <c r="FL328" s="360"/>
      <c r="FM328" s="376"/>
      <c r="FN328" s="360"/>
      <c r="FO328" s="360"/>
      <c r="FP328" s="360"/>
      <c r="FQ328" s="360"/>
      <c r="FR328" s="376"/>
      <c r="FS328" s="360"/>
      <c r="FT328" s="360"/>
      <c r="FU328" s="360"/>
      <c r="FV328" s="360"/>
      <c r="FW328" s="360"/>
      <c r="FX328" s="322"/>
      <c r="FY328" s="322"/>
      <c r="FZ328" s="339"/>
      <c r="GA328" s="322"/>
      <c r="GB328" s="322"/>
      <c r="GC328" s="322"/>
      <c r="GD328" s="322"/>
      <c r="GE328" s="339"/>
      <c r="GF328" s="322"/>
      <c r="GG328" s="322"/>
      <c r="GH328" s="322"/>
      <c r="GI328" s="322"/>
      <c r="GJ328" s="339"/>
      <c r="GK328" s="462" t="e">
        <f t="shared" ref="GK328:GK334" si="1833">BW328/AB328</f>
        <v>#DIV/0!</v>
      </c>
    </row>
    <row r="329" spans="2:193" s="37" customFormat="1" ht="19.5" hidden="1" customHeight="1" x14ac:dyDescent="0.2">
      <c r="B329" s="32"/>
      <c r="C329" s="33"/>
      <c r="D329" s="32"/>
      <c r="E329" s="40"/>
      <c r="F329" s="32"/>
      <c r="G329" s="33"/>
      <c r="H329" s="32"/>
      <c r="I329" s="32"/>
      <c r="J329" s="32"/>
      <c r="K329" s="32"/>
      <c r="L329" s="32"/>
      <c r="M329" s="177"/>
      <c r="N329" s="178"/>
      <c r="O329" s="178"/>
      <c r="P329" s="178"/>
      <c r="Q329" s="178"/>
      <c r="R329" s="178"/>
      <c r="S329" s="178"/>
      <c r="T329" s="179"/>
      <c r="U329" s="178"/>
      <c r="V329" s="47">
        <f>W329+X329+AA329+AB329</f>
        <v>0</v>
      </c>
      <c r="W329" s="93"/>
      <c r="X329" s="93"/>
      <c r="Y329" s="93"/>
      <c r="Z329" s="93"/>
      <c r="AA329" s="93"/>
      <c r="AB329" s="47">
        <f>AC329+AD329+AG329+AH329</f>
        <v>0</v>
      </c>
      <c r="AC329" s="93"/>
      <c r="AD329" s="93"/>
      <c r="AE329" s="93"/>
      <c r="AF329" s="93"/>
      <c r="AG329" s="93"/>
      <c r="AH329" s="93"/>
      <c r="AI329" s="47">
        <f t="shared" ref="AI329" si="1834">AJ329+AK329+AL329+AM329</f>
        <v>0</v>
      </c>
      <c r="AJ329" s="93"/>
      <c r="AK329" s="93"/>
      <c r="AL329" s="93"/>
      <c r="AM329" s="93"/>
      <c r="AN329" s="47">
        <f t="shared" ref="AN329" si="1835">AO329+AP329+AQ329+AR329</f>
        <v>0</v>
      </c>
      <c r="AO329" s="93"/>
      <c r="AP329" s="93"/>
      <c r="AQ329" s="93"/>
      <c r="AR329" s="93"/>
      <c r="AS329" s="47">
        <f t="shared" ref="AS329" si="1836">AT329+AU329+AV329+AW329</f>
        <v>0</v>
      </c>
      <c r="AT329" s="93"/>
      <c r="AU329" s="93"/>
      <c r="AV329" s="93"/>
      <c r="AW329" s="93"/>
      <c r="AX329" s="291"/>
      <c r="AY329" s="47">
        <f t="shared" ref="AY329" si="1837">AZ329+BA329+BD329+BE329</f>
        <v>0</v>
      </c>
      <c r="AZ329" s="93"/>
      <c r="BA329" s="93"/>
      <c r="BB329" s="93"/>
      <c r="BC329" s="93"/>
      <c r="BD329" s="93"/>
      <c r="BE329" s="93"/>
      <c r="BF329" s="47" t="e">
        <f>BG329+BH329+BK329+BL329</f>
        <v>#REF!</v>
      </c>
      <c r="BG329" s="93"/>
      <c r="BH329" s="93" t="e">
        <f>#REF!-BA329</f>
        <v>#REF!</v>
      </c>
      <c r="BI329" s="93"/>
      <c r="BJ329" s="93"/>
      <c r="BK329" s="93"/>
      <c r="BL329" s="93"/>
      <c r="BM329" s="47">
        <f t="shared" ref="BM329" si="1838">BN329+BO329+BP329+BQ329</f>
        <v>0</v>
      </c>
      <c r="BN329" s="93"/>
      <c r="BO329" s="93"/>
      <c r="BP329" s="93"/>
      <c r="BQ329" s="93"/>
      <c r="BR329" s="47">
        <f t="shared" ref="BR329" si="1839">BS329+BT329+BU329+BV329</f>
        <v>0</v>
      </c>
      <c r="BS329" s="93"/>
      <c r="BT329" s="93"/>
      <c r="BU329" s="93"/>
      <c r="BV329" s="93"/>
      <c r="BW329" s="47">
        <f t="shared" ref="BW329" si="1840">BX329+BY329+CB329+CC329</f>
        <v>0</v>
      </c>
      <c r="BX329" s="93"/>
      <c r="BY329" s="93"/>
      <c r="BZ329" s="93"/>
      <c r="CA329" s="93"/>
      <c r="CB329" s="93"/>
      <c r="CC329" s="93"/>
      <c r="CD329" s="47">
        <f>CE329+CF329+CI329+CJ329</f>
        <v>0</v>
      </c>
      <c r="CE329" s="93"/>
      <c r="CF329" s="93"/>
      <c r="CG329" s="93"/>
      <c r="CH329" s="93"/>
      <c r="CI329" s="93"/>
      <c r="CJ329" s="93"/>
      <c r="CK329" s="47">
        <f t="shared" ref="CK329" si="1841">CL329+CM329+CP329+CQ329</f>
        <v>0</v>
      </c>
      <c r="CL329" s="93"/>
      <c r="CM329" s="93"/>
      <c r="CN329" s="93"/>
      <c r="CO329" s="93"/>
      <c r="CP329" s="93"/>
      <c r="CQ329" s="93"/>
      <c r="CR329" s="93">
        <f t="shared" ref="CR329" si="1842">CS329</f>
        <v>0</v>
      </c>
      <c r="CS329" s="47">
        <f t="shared" ref="CS329:CS334" si="1843">CT329+CU329+CV329</f>
        <v>0</v>
      </c>
      <c r="CT329" s="93">
        <f t="shared" ref="CT329:CT334" si="1844">CE329+CL329</f>
        <v>0</v>
      </c>
      <c r="CU329" s="93">
        <f t="shared" ref="CU329:CU334" si="1845">CF329+CM329</f>
        <v>0</v>
      </c>
      <c r="CV329" s="93">
        <f t="shared" ref="CV329:CV334" si="1846">CI329+CP329</f>
        <v>0</v>
      </c>
      <c r="CW329" s="93"/>
      <c r="CX329" s="47">
        <f t="shared" ca="1" si="1691"/>
        <v>0</v>
      </c>
      <c r="CY329" s="47">
        <f t="shared" ref="CY329:CY332" si="1847">BX329-CE329</f>
        <v>0</v>
      </c>
      <c r="CZ329" s="47">
        <f t="shared" ref="CZ329:CZ332" si="1848">BY329-CF329</f>
        <v>0</v>
      </c>
      <c r="DA329" s="47">
        <f t="shared" ref="DA329:DA332" si="1849">CB329-CI329</f>
        <v>0</v>
      </c>
      <c r="DB329" s="47"/>
      <c r="DC329" s="76"/>
      <c r="DD329" s="46"/>
      <c r="DE329" s="46"/>
      <c r="DF329" s="47">
        <f t="shared" ref="DF329" si="1850">DG329+DH329+DI329+DJ329</f>
        <v>0</v>
      </c>
      <c r="DG329" s="93"/>
      <c r="DH329" s="93"/>
      <c r="DI329" s="93"/>
      <c r="DJ329" s="93"/>
      <c r="DK329" s="47">
        <f t="shared" ref="DK329" si="1851">DL329+DM329+DN329+DO329</f>
        <v>0</v>
      </c>
      <c r="DL329" s="93"/>
      <c r="DM329" s="93"/>
      <c r="DN329" s="93"/>
      <c r="DO329" s="93"/>
      <c r="DP329" s="47">
        <f>DQ329+DR329+DS329+DT329</f>
        <v>0</v>
      </c>
      <c r="DQ329" s="93"/>
      <c r="DR329" s="93"/>
      <c r="DS329" s="93"/>
      <c r="DT329" s="93"/>
      <c r="DU329" s="46"/>
      <c r="DV329" s="46"/>
      <c r="DW329" s="46"/>
      <c r="DX329" s="242"/>
      <c r="DY329" s="76"/>
      <c r="DZ329" s="76"/>
      <c r="EA329" s="243"/>
      <c r="EB329" s="46"/>
      <c r="EC329" s="46"/>
      <c r="ED329" s="46"/>
      <c r="EE329" s="46"/>
      <c r="EF329" s="46"/>
      <c r="EG329" s="46"/>
      <c r="EH329" s="46"/>
      <c r="EI329" s="47">
        <f>EJ329+EK329+EN329+EO329</f>
        <v>0</v>
      </c>
      <c r="EJ329" s="93"/>
      <c r="EK329" s="93"/>
      <c r="EL329" s="93"/>
      <c r="EM329" s="93"/>
      <c r="EN329" s="93"/>
      <c r="EO329" s="93"/>
      <c r="EP329" s="47">
        <f>EQ329+ER329+EU329+EV329</f>
        <v>0</v>
      </c>
      <c r="EQ329" s="93"/>
      <c r="ER329" s="93"/>
      <c r="ES329" s="245"/>
      <c r="ET329" s="245"/>
      <c r="EU329" s="93"/>
      <c r="EV329" s="2"/>
      <c r="EW329" s="341"/>
      <c r="EX329" s="308"/>
      <c r="EY329" s="342"/>
      <c r="EZ329" s="322"/>
      <c r="FA329" s="322"/>
      <c r="FB329" s="341"/>
      <c r="FC329" s="308"/>
      <c r="FD329" s="342"/>
      <c r="FE329" s="322"/>
      <c r="FF329" s="322"/>
      <c r="FG329" s="322"/>
      <c r="FH329" s="322"/>
      <c r="FI329" s="322"/>
      <c r="FJ329" s="23"/>
      <c r="FK329" s="378"/>
      <c r="FL329" s="349"/>
      <c r="FM329" s="379"/>
      <c r="FN329" s="360"/>
      <c r="FO329" s="360"/>
      <c r="FP329" s="378"/>
      <c r="FQ329" s="349"/>
      <c r="FR329" s="379"/>
      <c r="FS329" s="360"/>
      <c r="FT329" s="360"/>
      <c r="FU329" s="360"/>
      <c r="FV329" s="360"/>
      <c r="FW329" s="360"/>
      <c r="FX329" s="341"/>
      <c r="FY329" s="308"/>
      <c r="FZ329" s="342"/>
      <c r="GA329" s="322"/>
      <c r="GB329" s="322"/>
      <c r="GC329" s="341"/>
      <c r="GD329" s="308"/>
      <c r="GE329" s="342"/>
      <c r="GF329" s="322"/>
      <c r="GG329" s="322"/>
      <c r="GH329" s="322"/>
      <c r="GI329" s="322"/>
      <c r="GJ329" s="339"/>
      <c r="GK329" s="303" t="e">
        <f t="shared" si="1833"/>
        <v>#DIV/0!</v>
      </c>
    </row>
    <row r="330" spans="2:193" s="115" customFormat="1" ht="16.5" hidden="1" thickBot="1" x14ac:dyDescent="0.3">
      <c r="B330" s="125"/>
      <c r="C330" s="126"/>
      <c r="D330" s="126"/>
      <c r="M330" s="715" t="s">
        <v>308</v>
      </c>
      <c r="N330" s="716"/>
      <c r="O330" s="485"/>
      <c r="P330" s="485"/>
      <c r="Q330" s="485"/>
      <c r="R330" s="485"/>
      <c r="S330" s="485"/>
      <c r="T330" s="161">
        <f>T329</f>
        <v>0</v>
      </c>
      <c r="U330" s="161">
        <f>U329</f>
        <v>0</v>
      </c>
      <c r="V330" s="57">
        <f t="shared" ref="V330:X330" si="1852">V329</f>
        <v>0</v>
      </c>
      <c r="W330" s="57">
        <f t="shared" si="1852"/>
        <v>0</v>
      </c>
      <c r="X330" s="57">
        <f t="shared" si="1852"/>
        <v>0</v>
      </c>
      <c r="Y330" s="57"/>
      <c r="Z330" s="57"/>
      <c r="AA330" s="57">
        <f t="shared" ref="AA330" si="1853">AA329</f>
        <v>0</v>
      </c>
      <c r="AB330" s="57">
        <f t="shared" ref="AB330:AH330" si="1854">AB329</f>
        <v>0</v>
      </c>
      <c r="AC330" s="57">
        <f t="shared" si="1854"/>
        <v>0</v>
      </c>
      <c r="AD330" s="57">
        <f t="shared" si="1854"/>
        <v>0</v>
      </c>
      <c r="AE330" s="57"/>
      <c r="AF330" s="57"/>
      <c r="AG330" s="57">
        <f t="shared" ref="AG330" si="1855">AG329</f>
        <v>0</v>
      </c>
      <c r="AH330" s="57">
        <f t="shared" si="1854"/>
        <v>0</v>
      </c>
      <c r="AI330" s="57">
        <f t="shared" ref="AI330:AM330" si="1856">AI329</f>
        <v>0</v>
      </c>
      <c r="AJ330" s="57">
        <f t="shared" si="1856"/>
        <v>0</v>
      </c>
      <c r="AK330" s="57">
        <f t="shared" si="1856"/>
        <v>0</v>
      </c>
      <c r="AL330" s="57">
        <f t="shared" si="1856"/>
        <v>0</v>
      </c>
      <c r="AM330" s="57">
        <f t="shared" si="1856"/>
        <v>0</v>
      </c>
      <c r="AN330" s="57">
        <f t="shared" ref="AN330:AR330" si="1857">AN329</f>
        <v>0</v>
      </c>
      <c r="AO330" s="57">
        <f t="shared" si="1857"/>
        <v>0</v>
      </c>
      <c r="AP330" s="57">
        <f t="shared" si="1857"/>
        <v>0</v>
      </c>
      <c r="AQ330" s="57">
        <f t="shared" si="1857"/>
        <v>0</v>
      </c>
      <c r="AR330" s="57">
        <f t="shared" si="1857"/>
        <v>0</v>
      </c>
      <c r="AS330" s="57">
        <f t="shared" ref="AS330:DB330" si="1858">AS329</f>
        <v>0</v>
      </c>
      <c r="AT330" s="57">
        <f t="shared" si="1858"/>
        <v>0</v>
      </c>
      <c r="AU330" s="57">
        <f t="shared" si="1858"/>
        <v>0</v>
      </c>
      <c r="AV330" s="57">
        <f t="shared" si="1858"/>
        <v>0</v>
      </c>
      <c r="AW330" s="57">
        <f t="shared" si="1858"/>
        <v>0</v>
      </c>
      <c r="AX330" s="114"/>
      <c r="AY330" s="57">
        <f t="shared" si="1858"/>
        <v>0</v>
      </c>
      <c r="AZ330" s="57">
        <f t="shared" si="1858"/>
        <v>0</v>
      </c>
      <c r="BA330" s="57">
        <f t="shared" si="1858"/>
        <v>0</v>
      </c>
      <c r="BB330" s="57"/>
      <c r="BC330" s="57"/>
      <c r="BD330" s="57">
        <f t="shared" si="1858"/>
        <v>0</v>
      </c>
      <c r="BE330" s="57">
        <f t="shared" si="1858"/>
        <v>0</v>
      </c>
      <c r="BF330" s="57" t="e">
        <f t="shared" si="1858"/>
        <v>#REF!</v>
      </c>
      <c r="BG330" s="57">
        <f t="shared" si="1858"/>
        <v>0</v>
      </c>
      <c r="BH330" s="57" t="e">
        <f t="shared" si="1858"/>
        <v>#REF!</v>
      </c>
      <c r="BI330" s="57"/>
      <c r="BJ330" s="57"/>
      <c r="BK330" s="57">
        <f t="shared" si="1858"/>
        <v>0</v>
      </c>
      <c r="BL330" s="57">
        <f t="shared" si="1858"/>
        <v>0</v>
      </c>
      <c r="BM330" s="57">
        <f t="shared" si="1858"/>
        <v>0</v>
      </c>
      <c r="BN330" s="57">
        <f t="shared" si="1858"/>
        <v>0</v>
      </c>
      <c r="BO330" s="57">
        <f t="shared" si="1858"/>
        <v>0</v>
      </c>
      <c r="BP330" s="57">
        <f t="shared" si="1858"/>
        <v>0</v>
      </c>
      <c r="BQ330" s="57">
        <f t="shared" si="1858"/>
        <v>0</v>
      </c>
      <c r="BR330" s="57">
        <f t="shared" si="1858"/>
        <v>0</v>
      </c>
      <c r="BS330" s="57">
        <f t="shared" si="1858"/>
        <v>0</v>
      </c>
      <c r="BT330" s="57">
        <f t="shared" si="1858"/>
        <v>0</v>
      </c>
      <c r="BU330" s="57">
        <f t="shared" si="1858"/>
        <v>0</v>
      </c>
      <c r="BV330" s="57">
        <f t="shared" si="1858"/>
        <v>0</v>
      </c>
      <c r="BW330" s="57">
        <f t="shared" si="1858"/>
        <v>0</v>
      </c>
      <c r="BX330" s="57">
        <f t="shared" si="1858"/>
        <v>0</v>
      </c>
      <c r="BY330" s="57">
        <f t="shared" si="1858"/>
        <v>0</v>
      </c>
      <c r="BZ330" s="57"/>
      <c r="CA330" s="57"/>
      <c r="CB330" s="57">
        <f t="shared" si="1858"/>
        <v>0</v>
      </c>
      <c r="CC330" s="57">
        <f t="shared" si="1858"/>
        <v>0</v>
      </c>
      <c r="CD330" s="57">
        <f t="shared" si="1858"/>
        <v>0</v>
      </c>
      <c r="CE330" s="57">
        <f t="shared" ref="CE330:CF330" si="1859">CE329</f>
        <v>0</v>
      </c>
      <c r="CF330" s="57">
        <f t="shared" si="1859"/>
        <v>0</v>
      </c>
      <c r="CG330" s="57"/>
      <c r="CH330" s="57"/>
      <c r="CI330" s="57">
        <f t="shared" ref="CI330" si="1860">CI329</f>
        <v>0</v>
      </c>
      <c r="CJ330" s="57">
        <f t="shared" si="1858"/>
        <v>0</v>
      </c>
      <c r="CK330" s="57">
        <f t="shared" si="1858"/>
        <v>0</v>
      </c>
      <c r="CL330" s="57">
        <f t="shared" si="1858"/>
        <v>0</v>
      </c>
      <c r="CM330" s="57">
        <f t="shared" si="1858"/>
        <v>0</v>
      </c>
      <c r="CN330" s="57"/>
      <c r="CO330" s="57"/>
      <c r="CP330" s="57">
        <f t="shared" si="1858"/>
        <v>0</v>
      </c>
      <c r="CQ330" s="57">
        <f t="shared" si="1858"/>
        <v>0</v>
      </c>
      <c r="CR330" s="246">
        <f t="shared" si="1858"/>
        <v>0</v>
      </c>
      <c r="CS330" s="57">
        <f t="shared" si="1843"/>
        <v>0</v>
      </c>
      <c r="CT330" s="57">
        <f t="shared" si="1844"/>
        <v>0</v>
      </c>
      <c r="CU330" s="57">
        <f t="shared" si="1845"/>
        <v>0</v>
      </c>
      <c r="CV330" s="57">
        <f t="shared" si="1846"/>
        <v>0</v>
      </c>
      <c r="CW330" s="57">
        <f t="shared" si="1858"/>
        <v>0</v>
      </c>
      <c r="CX330" s="57">
        <f t="shared" ca="1" si="1691"/>
        <v>0</v>
      </c>
      <c r="CY330" s="57">
        <f t="shared" si="1847"/>
        <v>0</v>
      </c>
      <c r="CZ330" s="57">
        <f t="shared" si="1848"/>
        <v>0</v>
      </c>
      <c r="DA330" s="57">
        <f t="shared" si="1849"/>
        <v>0</v>
      </c>
      <c r="DB330" s="57">
        <f t="shared" si="1858"/>
        <v>0</v>
      </c>
      <c r="DC330" s="225"/>
      <c r="DD330" s="124"/>
      <c r="DE330" s="124"/>
      <c r="DF330" s="57"/>
      <c r="DG330" s="57"/>
      <c r="DH330" s="57"/>
      <c r="DI330" s="57"/>
      <c r="DJ330" s="57"/>
      <c r="DK330" s="57"/>
      <c r="DL330" s="57"/>
      <c r="DM330" s="57"/>
      <c r="DN330" s="57"/>
      <c r="DO330" s="57"/>
      <c r="DP330" s="57">
        <f>DP317+DP321</f>
        <v>0</v>
      </c>
      <c r="DQ330" s="57">
        <f>DQ317+DQ321</f>
        <v>0</v>
      </c>
      <c r="DR330" s="57">
        <f>DR317+DR321</f>
        <v>0</v>
      </c>
      <c r="DS330" s="57">
        <f>DS317+DS321</f>
        <v>0</v>
      </c>
      <c r="DT330" s="57">
        <f>DT317+DT321</f>
        <v>0</v>
      </c>
      <c r="DU330" s="124"/>
      <c r="DV330" s="124"/>
      <c r="DW330" s="124"/>
      <c r="DX330" s="240"/>
      <c r="DY330" s="225"/>
      <c r="DZ330" s="225"/>
      <c r="EA330" s="241"/>
      <c r="EB330" s="124"/>
      <c r="EC330" s="124"/>
      <c r="ED330" s="124"/>
      <c r="EE330" s="124"/>
      <c r="EF330" s="124"/>
      <c r="EG330" s="124"/>
      <c r="EH330" s="124"/>
      <c r="EI330" s="57">
        <f t="shared" ref="EI330:ER330" si="1861">EI329</f>
        <v>0</v>
      </c>
      <c r="EJ330" s="57">
        <f t="shared" si="1861"/>
        <v>0</v>
      </c>
      <c r="EK330" s="57">
        <f t="shared" si="1861"/>
        <v>0</v>
      </c>
      <c r="EL330" s="57"/>
      <c r="EM330" s="57"/>
      <c r="EN330" s="57">
        <f t="shared" ref="EN330" si="1862">EN329</f>
        <v>0</v>
      </c>
      <c r="EO330" s="57">
        <f t="shared" si="1861"/>
        <v>0</v>
      </c>
      <c r="EP330" s="57">
        <f t="shared" si="1861"/>
        <v>0</v>
      </c>
      <c r="EQ330" s="57">
        <f t="shared" si="1861"/>
        <v>0</v>
      </c>
      <c r="ER330" s="57">
        <f t="shared" si="1861"/>
        <v>0</v>
      </c>
      <c r="ES330" s="77"/>
      <c r="ET330" s="77"/>
      <c r="EU330" s="57">
        <f t="shared" ref="EU330" si="1863">EU329</f>
        <v>0</v>
      </c>
      <c r="EV330" s="224">
        <f t="shared" ref="EV330" si="1864">EV329</f>
        <v>0</v>
      </c>
      <c r="EW330" s="309"/>
      <c r="EX330" s="309"/>
      <c r="EY330" s="330"/>
      <c r="EZ330" s="309"/>
      <c r="FA330" s="309"/>
      <c r="FB330" s="309"/>
      <c r="FC330" s="309"/>
      <c r="FD330" s="330"/>
      <c r="FE330" s="309"/>
      <c r="FF330" s="309"/>
      <c r="FG330" s="309"/>
      <c r="FH330" s="309"/>
      <c r="FI330" s="309"/>
      <c r="FJ330" s="57">
        <f t="shared" ref="FJ330" si="1865">FJ329</f>
        <v>0</v>
      </c>
      <c r="FK330" s="352"/>
      <c r="FL330" s="352"/>
      <c r="FM330" s="367"/>
      <c r="FN330" s="352"/>
      <c r="FO330" s="352"/>
      <c r="FP330" s="352"/>
      <c r="FQ330" s="352"/>
      <c r="FR330" s="367"/>
      <c r="FS330" s="352"/>
      <c r="FT330" s="352"/>
      <c r="FU330" s="352"/>
      <c r="FV330" s="352"/>
      <c r="FW330" s="352"/>
      <c r="FX330" s="309"/>
      <c r="FY330" s="309"/>
      <c r="FZ330" s="330"/>
      <c r="GA330" s="309"/>
      <c r="GB330" s="309"/>
      <c r="GC330" s="309"/>
      <c r="GD330" s="309"/>
      <c r="GE330" s="330"/>
      <c r="GF330" s="309"/>
      <c r="GG330" s="309"/>
      <c r="GH330" s="309"/>
      <c r="GI330" s="309"/>
      <c r="GJ330" s="330"/>
      <c r="GK330" s="462" t="e">
        <f t="shared" si="1833"/>
        <v>#DIV/0!</v>
      </c>
    </row>
    <row r="331" spans="2:193" s="37" customFormat="1" ht="12.75" hidden="1" customHeight="1" thickBot="1" x14ac:dyDescent="0.25">
      <c r="B331" s="52"/>
      <c r="C331" s="52"/>
      <c r="D331" s="52"/>
      <c r="E331" s="67"/>
      <c r="F331" s="52"/>
      <c r="G331" s="52"/>
      <c r="H331" s="52"/>
      <c r="I331" s="52"/>
      <c r="J331" s="52"/>
      <c r="K331" s="52"/>
      <c r="L331" s="52"/>
      <c r="M331" s="81"/>
      <c r="N331" s="81"/>
      <c r="O331" s="81"/>
      <c r="P331" s="81"/>
      <c r="Q331" s="81"/>
      <c r="R331" s="81"/>
      <c r="S331" s="81"/>
      <c r="T331" s="81"/>
      <c r="U331" s="81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I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  <c r="AW331" s="83"/>
      <c r="AX331" s="188"/>
      <c r="AY331" s="83"/>
      <c r="AZ331" s="83"/>
      <c r="BA331" s="83"/>
      <c r="BB331" s="83"/>
      <c r="BC331" s="83"/>
      <c r="BD331" s="83"/>
      <c r="BE331" s="83"/>
      <c r="BF331" s="83"/>
      <c r="BG331" s="83"/>
      <c r="BH331" s="83"/>
      <c r="BI331" s="83"/>
      <c r="BJ331" s="83"/>
      <c r="BK331" s="83"/>
      <c r="BL331" s="83"/>
      <c r="BM331" s="83"/>
      <c r="BN331" s="83"/>
      <c r="BO331" s="83"/>
      <c r="BP331" s="83"/>
      <c r="BQ331" s="83"/>
      <c r="BR331" s="83"/>
      <c r="BS331" s="83"/>
      <c r="BT331" s="83"/>
      <c r="BU331" s="83"/>
      <c r="BV331" s="83"/>
      <c r="BW331" s="83"/>
      <c r="BX331" s="83"/>
      <c r="BY331" s="83"/>
      <c r="BZ331" s="83"/>
      <c r="CA331" s="83"/>
      <c r="CB331" s="83"/>
      <c r="CC331" s="83"/>
      <c r="CD331" s="83"/>
      <c r="CE331" s="83"/>
      <c r="CF331" s="83"/>
      <c r="CG331" s="83"/>
      <c r="CH331" s="83"/>
      <c r="CI331" s="83"/>
      <c r="CJ331" s="83"/>
      <c r="CK331" s="83"/>
      <c r="CL331" s="83"/>
      <c r="CM331" s="83"/>
      <c r="CN331" s="83"/>
      <c r="CO331" s="83"/>
      <c r="CP331" s="83"/>
      <c r="CQ331" s="83"/>
      <c r="CR331" s="78"/>
      <c r="CS331" s="83">
        <f t="shared" si="1843"/>
        <v>0</v>
      </c>
      <c r="CT331" s="83">
        <f t="shared" si="1844"/>
        <v>0</v>
      </c>
      <c r="CU331" s="83">
        <f t="shared" si="1845"/>
        <v>0</v>
      </c>
      <c r="CV331" s="83">
        <f t="shared" si="1846"/>
        <v>0</v>
      </c>
      <c r="CW331" s="83"/>
      <c r="CX331" s="83">
        <f t="shared" ca="1" si="1691"/>
        <v>0</v>
      </c>
      <c r="CY331" s="83">
        <f t="shared" si="1847"/>
        <v>0</v>
      </c>
      <c r="CZ331" s="83">
        <f t="shared" si="1848"/>
        <v>0</v>
      </c>
      <c r="DA331" s="83">
        <f t="shared" si="1849"/>
        <v>0</v>
      </c>
      <c r="DB331" s="83"/>
      <c r="DC331" s="76"/>
      <c r="DD331" s="46"/>
      <c r="DE331" s="46"/>
      <c r="DF331" s="83"/>
      <c r="DG331" s="83"/>
      <c r="DH331" s="83"/>
      <c r="DI331" s="83"/>
      <c r="DJ331" s="83"/>
      <c r="DK331" s="83"/>
      <c r="DL331" s="83"/>
      <c r="DM331" s="83"/>
      <c r="DN331" s="83"/>
      <c r="DO331" s="83"/>
      <c r="DP331" s="83"/>
      <c r="DQ331" s="83"/>
      <c r="DR331" s="83"/>
      <c r="DS331" s="83"/>
      <c r="DT331" s="83"/>
      <c r="DU331" s="46"/>
      <c r="DV331" s="46"/>
      <c r="DW331" s="46"/>
      <c r="DX331" s="247" t="s">
        <v>303</v>
      </c>
      <c r="DY331" s="76"/>
      <c r="DZ331" s="76"/>
      <c r="EA331" s="243"/>
      <c r="EB331" s="46"/>
      <c r="EC331" s="46"/>
      <c r="ED331" s="46"/>
      <c r="EE331" s="46"/>
      <c r="EF331" s="46"/>
      <c r="EG331" s="46"/>
      <c r="EH331" s="46"/>
      <c r="EI331" s="83"/>
      <c r="EJ331" s="83"/>
      <c r="EK331" s="83"/>
      <c r="EL331" s="83"/>
      <c r="EM331" s="83"/>
      <c r="EN331" s="83"/>
      <c r="EO331" s="83"/>
      <c r="EP331" s="83"/>
      <c r="EQ331" s="83"/>
      <c r="ER331" s="83"/>
      <c r="ES331" s="83"/>
      <c r="ET331" s="83"/>
      <c r="EU331" s="83"/>
      <c r="EV331" s="2"/>
      <c r="EW331" s="343"/>
      <c r="EX331" s="343"/>
      <c r="EY331" s="343"/>
      <c r="EZ331" s="322"/>
      <c r="FA331" s="322"/>
      <c r="FB331" s="343"/>
      <c r="FC331" s="343"/>
      <c r="FD331" s="343"/>
      <c r="FE331" s="322"/>
      <c r="FF331" s="322"/>
      <c r="FG331" s="322"/>
      <c r="FH331" s="322"/>
      <c r="FI331" s="322"/>
      <c r="FJ331" s="23"/>
      <c r="FK331" s="380"/>
      <c r="FL331" s="380"/>
      <c r="FM331" s="380"/>
      <c r="FN331" s="360"/>
      <c r="FO331" s="360"/>
      <c r="FP331" s="380"/>
      <c r="FQ331" s="380"/>
      <c r="FR331" s="380"/>
      <c r="FS331" s="360"/>
      <c r="FT331" s="360"/>
      <c r="FU331" s="360"/>
      <c r="FV331" s="360"/>
      <c r="FW331" s="360"/>
      <c r="FX331" s="343"/>
      <c r="FY331" s="343"/>
      <c r="FZ331" s="343"/>
      <c r="GA331" s="322"/>
      <c r="GB331" s="322"/>
      <c r="GC331" s="343"/>
      <c r="GD331" s="343"/>
      <c r="GE331" s="343"/>
      <c r="GF331" s="322"/>
      <c r="GG331" s="322"/>
      <c r="GH331" s="322"/>
      <c r="GI331" s="322"/>
      <c r="GJ331" s="339"/>
      <c r="GK331" s="303" t="e">
        <f t="shared" si="1833"/>
        <v>#DIV/0!</v>
      </c>
    </row>
    <row r="332" spans="2:193" s="115" customFormat="1" ht="16.5" hidden="1" thickBot="1" x14ac:dyDescent="0.3">
      <c r="B332" s="125"/>
      <c r="C332" s="126"/>
      <c r="D332" s="126"/>
      <c r="M332" s="715" t="s">
        <v>280</v>
      </c>
      <c r="N332" s="716"/>
      <c r="O332" s="485"/>
      <c r="P332" s="485"/>
      <c r="Q332" s="485"/>
      <c r="R332" s="485"/>
      <c r="S332" s="485"/>
      <c r="T332" s="161">
        <f>T316+T266+T260</f>
        <v>392</v>
      </c>
      <c r="U332" s="161">
        <f>U316+U266+U260</f>
        <v>68</v>
      </c>
      <c r="V332" s="57">
        <f t="shared" ref="V332" si="1866">W332+X332+AA332</f>
        <v>1497775.2146999999</v>
      </c>
      <c r="W332" s="57">
        <f t="shared" ref="W332:X332" si="1867">W318+W330</f>
        <v>225766.18290000001</v>
      </c>
      <c r="X332" s="57">
        <f t="shared" si="1867"/>
        <v>720855.7</v>
      </c>
      <c r="Y332" s="57"/>
      <c r="Z332" s="57"/>
      <c r="AA332" s="57">
        <f t="shared" ref="AA332" si="1868">AA318+AA330</f>
        <v>551153.33180000004</v>
      </c>
      <c r="AB332" s="57">
        <f t="shared" ref="AB332:AH332" si="1869">AB318+AB330</f>
        <v>1497775.1961600001</v>
      </c>
      <c r="AC332" s="57">
        <f t="shared" si="1869"/>
        <v>225766.16436</v>
      </c>
      <c r="AD332" s="57">
        <f t="shared" si="1869"/>
        <v>720855.7</v>
      </c>
      <c r="AE332" s="57"/>
      <c r="AF332" s="57"/>
      <c r="AG332" s="57">
        <f t="shared" ref="AG332" si="1870">AG318+AG330</f>
        <v>551153.33180000004</v>
      </c>
      <c r="AH332" s="57">
        <f t="shared" si="1869"/>
        <v>0</v>
      </c>
      <c r="AI332" s="57">
        <f t="shared" ref="AI332:AM332" si="1871">AI318+AI330</f>
        <v>713429.13100000005</v>
      </c>
      <c r="AJ332" s="57">
        <f t="shared" si="1871"/>
        <v>434727.95100000006</v>
      </c>
      <c r="AK332" s="57">
        <f t="shared" si="1871"/>
        <v>102879</v>
      </c>
      <c r="AL332" s="57">
        <f t="shared" si="1871"/>
        <v>175822.18</v>
      </c>
      <c r="AM332" s="57">
        <f t="shared" si="1871"/>
        <v>0</v>
      </c>
      <c r="AN332" s="57">
        <f t="shared" ref="AN332:AR332" si="1872">AN318+AN330</f>
        <v>817193.18799999985</v>
      </c>
      <c r="AO332" s="57">
        <f t="shared" si="1872"/>
        <v>510805.45099999994</v>
      </c>
      <c r="AP332" s="57">
        <f t="shared" si="1872"/>
        <v>102879</v>
      </c>
      <c r="AQ332" s="57">
        <f t="shared" si="1872"/>
        <v>203508.73699999999</v>
      </c>
      <c r="AR332" s="57">
        <f t="shared" si="1872"/>
        <v>0</v>
      </c>
      <c r="AS332" s="57">
        <f t="shared" ref="AS332:DB332" si="1873">AS318+AS330</f>
        <v>500208.04399999994</v>
      </c>
      <c r="AT332" s="57">
        <f t="shared" si="1873"/>
        <v>345126.65799999994</v>
      </c>
      <c r="AU332" s="57">
        <f t="shared" si="1873"/>
        <v>44730</v>
      </c>
      <c r="AV332" s="57">
        <f t="shared" si="1873"/>
        <v>110351.386</v>
      </c>
      <c r="AW332" s="57">
        <f t="shared" si="1873"/>
        <v>0</v>
      </c>
      <c r="AX332" s="114"/>
      <c r="AY332" s="57">
        <f t="shared" si="1873"/>
        <v>1490950.9526200001</v>
      </c>
      <c r="AZ332" s="57">
        <f t="shared" si="1873"/>
        <v>225766.182</v>
      </c>
      <c r="BA332" s="57">
        <f t="shared" si="1873"/>
        <v>716239.26753999991</v>
      </c>
      <c r="BB332" s="57"/>
      <c r="BC332" s="57"/>
      <c r="BD332" s="57">
        <f t="shared" si="1873"/>
        <v>548945.50308000005</v>
      </c>
      <c r="BE332" s="57">
        <f t="shared" si="1873"/>
        <v>0</v>
      </c>
      <c r="BF332" s="57" t="e">
        <f t="shared" si="1873"/>
        <v>#REF!</v>
      </c>
      <c r="BG332" s="57" t="e">
        <f t="shared" si="1873"/>
        <v>#REF!</v>
      </c>
      <c r="BH332" s="57" t="e">
        <f t="shared" si="1873"/>
        <v>#REF!</v>
      </c>
      <c r="BI332" s="57"/>
      <c r="BJ332" s="57"/>
      <c r="BK332" s="57" t="e">
        <f t="shared" si="1873"/>
        <v>#REF!</v>
      </c>
      <c r="BL332" s="57" t="e">
        <f t="shared" si="1873"/>
        <v>#REF!</v>
      </c>
      <c r="BM332" s="57">
        <f t="shared" si="1873"/>
        <v>803963.91177999997</v>
      </c>
      <c r="BN332" s="57">
        <f t="shared" si="1873"/>
        <v>325315.28378</v>
      </c>
      <c r="BO332" s="57">
        <f t="shared" si="1873"/>
        <v>223922.57699999999</v>
      </c>
      <c r="BP332" s="57">
        <f t="shared" si="1873"/>
        <v>254726.05100000004</v>
      </c>
      <c r="BQ332" s="57">
        <f t="shared" si="1873"/>
        <v>0</v>
      </c>
      <c r="BR332" s="57">
        <f t="shared" si="1873"/>
        <v>0</v>
      </c>
      <c r="BS332" s="57">
        <f t="shared" si="1873"/>
        <v>0</v>
      </c>
      <c r="BT332" s="57">
        <f t="shared" si="1873"/>
        <v>0</v>
      </c>
      <c r="BU332" s="57">
        <f t="shared" si="1873"/>
        <v>0</v>
      </c>
      <c r="BV332" s="57">
        <f t="shared" si="1873"/>
        <v>0</v>
      </c>
      <c r="BW332" s="57">
        <f t="shared" si="1873"/>
        <v>1382433.2170800001</v>
      </c>
      <c r="BX332" s="57">
        <f t="shared" si="1873"/>
        <v>207264.85717</v>
      </c>
      <c r="BY332" s="57">
        <f t="shared" si="1873"/>
        <v>654667.08874000004</v>
      </c>
      <c r="BZ332" s="57">
        <f t="shared" si="1873"/>
        <v>0</v>
      </c>
      <c r="CA332" s="57">
        <f t="shared" si="1873"/>
        <v>0</v>
      </c>
      <c r="CB332" s="57">
        <f t="shared" si="1873"/>
        <v>520501.27117000002</v>
      </c>
      <c r="CC332" s="57">
        <f t="shared" si="1873"/>
        <v>0</v>
      </c>
      <c r="CD332" s="57">
        <f t="shared" si="1873"/>
        <v>1382433.11708</v>
      </c>
      <c r="CE332" s="57">
        <f t="shared" ref="CE332:CI332" si="1874">CE318+CE330</f>
        <v>207264.85717</v>
      </c>
      <c r="CF332" s="57">
        <f t="shared" si="1874"/>
        <v>654667.08874000004</v>
      </c>
      <c r="CG332" s="57">
        <f t="shared" si="1874"/>
        <v>0</v>
      </c>
      <c r="CH332" s="57">
        <f t="shared" si="1874"/>
        <v>0</v>
      </c>
      <c r="CI332" s="57">
        <f t="shared" si="1874"/>
        <v>520501.17117000005</v>
      </c>
      <c r="CJ332" s="57">
        <f t="shared" si="1873"/>
        <v>0</v>
      </c>
      <c r="CK332" s="57">
        <f t="shared" si="1873"/>
        <v>239747.41782999996</v>
      </c>
      <c r="CL332" s="57">
        <f t="shared" si="1873"/>
        <v>12675.160190000002</v>
      </c>
      <c r="CM332" s="57">
        <f t="shared" si="1873"/>
        <v>168059.98470999996</v>
      </c>
      <c r="CN332" s="57"/>
      <c r="CO332" s="57"/>
      <c r="CP332" s="57">
        <f t="shared" si="1873"/>
        <v>59012.272929999999</v>
      </c>
      <c r="CQ332" s="57">
        <f t="shared" si="1873"/>
        <v>0</v>
      </c>
      <c r="CR332" s="57">
        <f t="shared" si="1873"/>
        <v>1622180.5349099999</v>
      </c>
      <c r="CS332" s="57">
        <f t="shared" si="1843"/>
        <v>1622180.5349099999</v>
      </c>
      <c r="CT332" s="57">
        <f t="shared" si="1844"/>
        <v>219940.01736</v>
      </c>
      <c r="CU332" s="57">
        <f t="shared" si="1845"/>
        <v>822727.07345000003</v>
      </c>
      <c r="CV332" s="57">
        <f t="shared" si="1846"/>
        <v>579513.44410000008</v>
      </c>
      <c r="CW332" s="57">
        <f t="shared" si="1873"/>
        <v>0</v>
      </c>
      <c r="CX332" s="57">
        <f t="shared" ca="1" si="1691"/>
        <v>0</v>
      </c>
      <c r="CY332" s="57">
        <f t="shared" si="1847"/>
        <v>0</v>
      </c>
      <c r="CZ332" s="57">
        <f t="shared" si="1848"/>
        <v>0</v>
      </c>
      <c r="DA332" s="57">
        <f t="shared" si="1849"/>
        <v>9.9999999976716936E-2</v>
      </c>
      <c r="DB332" s="57">
        <f t="shared" si="1873"/>
        <v>0</v>
      </c>
      <c r="DC332" s="225"/>
      <c r="DD332" s="124"/>
      <c r="DE332" s="124"/>
      <c r="DF332" s="57">
        <f>DF311</f>
        <v>0</v>
      </c>
      <c r="DG332" s="57">
        <f>DG311</f>
        <v>0</v>
      </c>
      <c r="DH332" s="57">
        <f>DH311</f>
        <v>0</v>
      </c>
      <c r="DI332" s="57">
        <f>DI311</f>
        <v>0</v>
      </c>
      <c r="DJ332" s="57">
        <f>DJ311</f>
        <v>0</v>
      </c>
      <c r="DK332" s="57">
        <f>DL332+DM332+DN332+DO332</f>
        <v>0</v>
      </c>
      <c r="DL332" s="57">
        <f>DL333+DL334</f>
        <v>0</v>
      </c>
      <c r="DM332" s="57">
        <f>DM333+DM334</f>
        <v>0</v>
      </c>
      <c r="DN332" s="57">
        <f>DN333+DN334</f>
        <v>0</v>
      </c>
      <c r="DO332" s="57">
        <f>DO333+DO334</f>
        <v>0</v>
      </c>
      <c r="DP332" s="57">
        <f t="shared" ref="DP332:DW332" si="1875">DP325+DP330</f>
        <v>0</v>
      </c>
      <c r="DQ332" s="57">
        <f t="shared" si="1875"/>
        <v>0</v>
      </c>
      <c r="DR332" s="57">
        <f t="shared" si="1875"/>
        <v>0</v>
      </c>
      <c r="DS332" s="57">
        <f t="shared" si="1875"/>
        <v>0</v>
      </c>
      <c r="DT332" s="57">
        <f t="shared" si="1875"/>
        <v>0</v>
      </c>
      <c r="DU332" s="57">
        <f t="shared" si="1875"/>
        <v>0</v>
      </c>
      <c r="DV332" s="57">
        <f t="shared" si="1875"/>
        <v>0</v>
      </c>
      <c r="DW332" s="77">
        <f t="shared" si="1875"/>
        <v>0</v>
      </c>
      <c r="DX332" s="96">
        <f>DZ332-EA332</f>
        <v>0</v>
      </c>
      <c r="DY332" s="248"/>
      <c r="DZ332" s="95">
        <f>DZ279+DZ284</f>
        <v>0</v>
      </c>
      <c r="EA332" s="96">
        <f>EA279+EA284</f>
        <v>0</v>
      </c>
      <c r="EB332" s="124"/>
      <c r="EC332" s="124"/>
      <c r="ED332" s="124"/>
      <c r="EE332" s="124"/>
      <c r="EF332" s="124"/>
      <c r="EG332" s="124"/>
      <c r="EH332" s="124"/>
      <c r="EI332" s="57">
        <f t="shared" ref="EI332:ER332" si="1876">EI318+EI330</f>
        <v>1382433.2170800001</v>
      </c>
      <c r="EJ332" s="57">
        <f t="shared" si="1876"/>
        <v>207264.85717</v>
      </c>
      <c r="EK332" s="57">
        <f t="shared" si="1876"/>
        <v>654667.08874000004</v>
      </c>
      <c r="EL332" s="57">
        <f t="shared" si="1876"/>
        <v>0</v>
      </c>
      <c r="EM332" s="57">
        <f t="shared" si="1876"/>
        <v>0</v>
      </c>
      <c r="EN332" s="57">
        <f t="shared" ref="EN332" si="1877">EN318+EN330</f>
        <v>520501.27117000002</v>
      </c>
      <c r="EO332" s="57">
        <f t="shared" si="1876"/>
        <v>0</v>
      </c>
      <c r="EP332" s="57">
        <f t="shared" si="1876"/>
        <v>239747.41782999996</v>
      </c>
      <c r="EQ332" s="57">
        <f t="shared" si="1876"/>
        <v>12675.160190000002</v>
      </c>
      <c r="ER332" s="57">
        <f t="shared" si="1876"/>
        <v>168059.98470999996</v>
      </c>
      <c r="ES332" s="77"/>
      <c r="ET332" s="77"/>
      <c r="EU332" s="57">
        <f t="shared" ref="EU332" si="1878">EU318+EU330</f>
        <v>59012.272929999999</v>
      </c>
      <c r="EV332" s="231">
        <f t="shared" ref="EV332" si="1879">EV318+EV330</f>
        <v>0</v>
      </c>
      <c r="EW332" s="57"/>
      <c r="EX332" s="57"/>
      <c r="EY332" s="77"/>
      <c r="EZ332" s="57"/>
      <c r="FA332" s="57"/>
      <c r="FB332" s="57"/>
      <c r="FC332" s="57"/>
      <c r="FD332" s="77"/>
      <c r="FE332" s="57"/>
      <c r="FF332" s="57"/>
      <c r="FG332" s="57"/>
      <c r="FH332" s="57"/>
      <c r="FI332" s="57"/>
      <c r="FJ332" s="57">
        <f t="shared" ref="FJ332" si="1880">FJ318+FJ330</f>
        <v>0</v>
      </c>
      <c r="FK332" s="57"/>
      <c r="FL332" s="57"/>
      <c r="FM332" s="77"/>
      <c r="FN332" s="57"/>
      <c r="FO332" s="57"/>
      <c r="FP332" s="57"/>
      <c r="FQ332" s="57"/>
      <c r="FR332" s="77"/>
      <c r="FS332" s="57"/>
      <c r="FT332" s="57"/>
      <c r="FU332" s="57"/>
      <c r="FV332" s="57"/>
      <c r="FW332" s="57"/>
      <c r="FX332" s="57"/>
      <c r="FY332" s="57"/>
      <c r="FZ332" s="77"/>
      <c r="GA332" s="57"/>
      <c r="GB332" s="57"/>
      <c r="GC332" s="57"/>
      <c r="GD332" s="57"/>
      <c r="GE332" s="77"/>
      <c r="GF332" s="57"/>
      <c r="GG332" s="57"/>
      <c r="GH332" s="57"/>
      <c r="GI332" s="57"/>
      <c r="GJ332" s="77"/>
      <c r="GK332" s="462">
        <f t="shared" si="1833"/>
        <v>0.92299112752319967</v>
      </c>
    </row>
    <row r="333" spans="2:193" s="37" customFormat="1" ht="19.5" hidden="1" customHeight="1" x14ac:dyDescent="0.2">
      <c r="B333" s="32"/>
      <c r="C333" s="33"/>
      <c r="D333" s="32"/>
      <c r="E333" s="39"/>
      <c r="F333" s="32"/>
      <c r="G333" s="33"/>
      <c r="H333" s="32"/>
      <c r="I333" s="32"/>
      <c r="J333" s="32"/>
      <c r="K333" s="32"/>
      <c r="L333" s="32"/>
      <c r="M333" s="65"/>
      <c r="N333" s="66" t="s">
        <v>283</v>
      </c>
      <c r="O333" s="66"/>
      <c r="P333" s="66"/>
      <c r="Q333" s="66"/>
      <c r="R333" s="66"/>
      <c r="S333" s="66"/>
      <c r="T333" s="66"/>
      <c r="U333" s="66"/>
      <c r="V333" s="2">
        <f t="shared" ref="V333:X333" si="1881">V319</f>
        <v>0</v>
      </c>
      <c r="W333" s="23">
        <f t="shared" si="1881"/>
        <v>0</v>
      </c>
      <c r="X333" s="23">
        <f t="shared" si="1881"/>
        <v>0</v>
      </c>
      <c r="Y333" s="23"/>
      <c r="Z333" s="23"/>
      <c r="AA333" s="23">
        <f t="shared" ref="AA333" si="1882">AA319</f>
        <v>0</v>
      </c>
      <c r="AB333" s="2">
        <f t="shared" ref="AB333:AH333" si="1883">AB319</f>
        <v>0</v>
      </c>
      <c r="AC333" s="23">
        <f t="shared" si="1883"/>
        <v>0</v>
      </c>
      <c r="AD333" s="23">
        <f t="shared" si="1883"/>
        <v>0</v>
      </c>
      <c r="AE333" s="23"/>
      <c r="AF333" s="23"/>
      <c r="AG333" s="23">
        <f t="shared" ref="AG333" si="1884">AG319</f>
        <v>0</v>
      </c>
      <c r="AH333" s="23">
        <f t="shared" si="1883"/>
        <v>0</v>
      </c>
      <c r="AI333" s="2">
        <f t="shared" ref="AI333:AM333" si="1885">AI319</f>
        <v>33741.300000000003</v>
      </c>
      <c r="AJ333" s="23">
        <f t="shared" si="1885"/>
        <v>33741.300000000003</v>
      </c>
      <c r="AK333" s="23">
        <f t="shared" si="1885"/>
        <v>0</v>
      </c>
      <c r="AL333" s="23">
        <f t="shared" si="1885"/>
        <v>0</v>
      </c>
      <c r="AM333" s="23">
        <f t="shared" si="1885"/>
        <v>0</v>
      </c>
      <c r="AN333" s="2">
        <f t="shared" ref="AN333:AR333" si="1886">AN319</f>
        <v>97565.494999999995</v>
      </c>
      <c r="AO333" s="23">
        <f t="shared" si="1886"/>
        <v>97565.494999999995</v>
      </c>
      <c r="AP333" s="23">
        <f t="shared" si="1886"/>
        <v>0</v>
      </c>
      <c r="AQ333" s="23">
        <f t="shared" si="1886"/>
        <v>0</v>
      </c>
      <c r="AR333" s="23">
        <f t="shared" si="1886"/>
        <v>0</v>
      </c>
      <c r="AS333" s="2">
        <f t="shared" ref="AS333:DB333" si="1887">AS319</f>
        <v>0</v>
      </c>
      <c r="AT333" s="23">
        <f t="shared" si="1887"/>
        <v>0</v>
      </c>
      <c r="AU333" s="23">
        <f t="shared" si="1887"/>
        <v>0</v>
      </c>
      <c r="AV333" s="23">
        <f t="shared" si="1887"/>
        <v>0</v>
      </c>
      <c r="AW333" s="23">
        <f t="shared" si="1887"/>
        <v>0</v>
      </c>
      <c r="AX333" s="417"/>
      <c r="AY333" s="2">
        <f t="shared" si="1887"/>
        <v>0</v>
      </c>
      <c r="AZ333" s="23">
        <f t="shared" si="1887"/>
        <v>0</v>
      </c>
      <c r="BA333" s="23">
        <f t="shared" si="1887"/>
        <v>0</v>
      </c>
      <c r="BB333" s="23"/>
      <c r="BC333" s="23"/>
      <c r="BD333" s="23">
        <f t="shared" si="1887"/>
        <v>0</v>
      </c>
      <c r="BE333" s="23">
        <f t="shared" si="1887"/>
        <v>0</v>
      </c>
      <c r="BF333" s="23" t="e">
        <f t="shared" si="1887"/>
        <v>#REF!</v>
      </c>
      <c r="BG333" s="23" t="e">
        <f t="shared" si="1887"/>
        <v>#REF!</v>
      </c>
      <c r="BH333" s="23" t="e">
        <f t="shared" si="1887"/>
        <v>#REF!</v>
      </c>
      <c r="BI333" s="23"/>
      <c r="BJ333" s="23"/>
      <c r="BK333" s="23" t="e">
        <f t="shared" si="1887"/>
        <v>#REF!</v>
      </c>
      <c r="BL333" s="23" t="e">
        <f t="shared" si="1887"/>
        <v>#REF!</v>
      </c>
      <c r="BM333" s="2">
        <f t="shared" si="1887"/>
        <v>22388.043260000002</v>
      </c>
      <c r="BN333" s="23">
        <f t="shared" si="1887"/>
        <v>22388.043260000002</v>
      </c>
      <c r="BO333" s="23">
        <f t="shared" si="1887"/>
        <v>0</v>
      </c>
      <c r="BP333" s="23">
        <f t="shared" si="1887"/>
        <v>0</v>
      </c>
      <c r="BQ333" s="23">
        <f t="shared" si="1887"/>
        <v>0</v>
      </c>
      <c r="BR333" s="23">
        <f t="shared" si="1887"/>
        <v>0</v>
      </c>
      <c r="BS333" s="23">
        <f t="shared" si="1887"/>
        <v>0</v>
      </c>
      <c r="BT333" s="23">
        <f t="shared" si="1887"/>
        <v>0</v>
      </c>
      <c r="BU333" s="23">
        <f t="shared" si="1887"/>
        <v>0</v>
      </c>
      <c r="BV333" s="23">
        <f t="shared" si="1887"/>
        <v>0</v>
      </c>
      <c r="BW333" s="2">
        <f t="shared" si="1887"/>
        <v>0</v>
      </c>
      <c r="BX333" s="23">
        <f t="shared" si="1887"/>
        <v>0</v>
      </c>
      <c r="BY333" s="23">
        <f t="shared" si="1887"/>
        <v>0</v>
      </c>
      <c r="BZ333" s="23"/>
      <c r="CA333" s="23"/>
      <c r="CB333" s="23">
        <f t="shared" si="1887"/>
        <v>0</v>
      </c>
      <c r="CC333" s="23">
        <f t="shared" si="1887"/>
        <v>0</v>
      </c>
      <c r="CD333" s="2">
        <f t="shared" si="1887"/>
        <v>0</v>
      </c>
      <c r="CE333" s="23">
        <f t="shared" ref="CE333:CF333" si="1888">CE319</f>
        <v>0</v>
      </c>
      <c r="CF333" s="23">
        <f t="shared" si="1888"/>
        <v>0</v>
      </c>
      <c r="CG333" s="23"/>
      <c r="CH333" s="23"/>
      <c r="CI333" s="23">
        <f t="shared" ref="CI333" si="1889">CI319</f>
        <v>0</v>
      </c>
      <c r="CJ333" s="23">
        <f t="shared" si="1887"/>
        <v>0</v>
      </c>
      <c r="CK333" s="2">
        <f t="shared" si="1887"/>
        <v>0</v>
      </c>
      <c r="CL333" s="23">
        <f t="shared" si="1887"/>
        <v>0</v>
      </c>
      <c r="CM333" s="23">
        <f t="shared" si="1887"/>
        <v>0</v>
      </c>
      <c r="CN333" s="23"/>
      <c r="CO333" s="23"/>
      <c r="CP333" s="23">
        <f t="shared" si="1887"/>
        <v>0</v>
      </c>
      <c r="CQ333" s="23">
        <f t="shared" si="1887"/>
        <v>0</v>
      </c>
      <c r="CR333" s="23">
        <f t="shared" si="1887"/>
        <v>0</v>
      </c>
      <c r="CS333" s="2">
        <f t="shared" si="1843"/>
        <v>0</v>
      </c>
      <c r="CT333" s="23">
        <f t="shared" si="1844"/>
        <v>0</v>
      </c>
      <c r="CU333" s="23">
        <f t="shared" si="1845"/>
        <v>0</v>
      </c>
      <c r="CV333" s="23">
        <f t="shared" si="1846"/>
        <v>0</v>
      </c>
      <c r="CW333" s="23">
        <f t="shared" si="1887"/>
        <v>0</v>
      </c>
      <c r="CX333" s="2">
        <f t="shared" ca="1" si="1887"/>
        <v>0</v>
      </c>
      <c r="CY333" s="23">
        <f t="shared" si="1887"/>
        <v>0</v>
      </c>
      <c r="CZ333" s="23">
        <f t="shared" si="1887"/>
        <v>0</v>
      </c>
      <c r="DA333" s="23">
        <f t="shared" si="1887"/>
        <v>0</v>
      </c>
      <c r="DB333" s="23">
        <f t="shared" si="1887"/>
        <v>0</v>
      </c>
      <c r="DC333" s="76"/>
      <c r="DD333" s="46"/>
      <c r="DE333" s="46"/>
      <c r="DF333" s="2">
        <f>DG333+DH333+DI333+DJ333</f>
        <v>0</v>
      </c>
      <c r="DG333" s="23">
        <f>DG320+DG324</f>
        <v>0</v>
      </c>
      <c r="DH333" s="23">
        <f>DH320+DH324</f>
        <v>0</v>
      </c>
      <c r="DI333" s="23">
        <f>DI320+DI324</f>
        <v>0</v>
      </c>
      <c r="DJ333" s="23">
        <f>DJ320+DJ324</f>
        <v>0</v>
      </c>
      <c r="DK333" s="2">
        <f>DL333+DM333+DN333+DO333</f>
        <v>0</v>
      </c>
      <c r="DL333" s="23">
        <f t="shared" ref="DL333:DO334" si="1890">DL320+DL324</f>
        <v>0</v>
      </c>
      <c r="DM333" s="23">
        <f t="shared" si="1890"/>
        <v>0</v>
      </c>
      <c r="DN333" s="23">
        <f t="shared" si="1890"/>
        <v>0</v>
      </c>
      <c r="DO333" s="23">
        <f t="shared" si="1890"/>
        <v>0</v>
      </c>
      <c r="DP333" s="2">
        <f>DQ333+DR333+DS333+DT333</f>
        <v>0</v>
      </c>
      <c r="DQ333" s="23">
        <f>DQ320+DQ324</f>
        <v>0</v>
      </c>
      <c r="DR333" s="23">
        <f>DR320+DR324</f>
        <v>0</v>
      </c>
      <c r="DS333" s="23">
        <f>DS320+DS324</f>
        <v>0</v>
      </c>
      <c r="DT333" s="23">
        <f>DT320+DT324</f>
        <v>0</v>
      </c>
      <c r="DU333" s="46"/>
      <c r="DV333" s="46"/>
      <c r="DW333" s="46"/>
      <c r="DX333" s="46"/>
      <c r="DY333" s="46"/>
      <c r="DZ333" s="46"/>
      <c r="EA333" s="46"/>
      <c r="EB333" s="46"/>
      <c r="EC333" s="23">
        <f>EC320+EC324</f>
        <v>0</v>
      </c>
      <c r="ED333" s="23">
        <f>ED320+ED324</f>
        <v>0</v>
      </c>
      <c r="EE333" s="46"/>
      <c r="EF333" s="23">
        <f>EF320+EF324</f>
        <v>0</v>
      </c>
      <c r="EG333" s="46"/>
      <c r="EH333" s="46"/>
      <c r="EI333" s="2">
        <f t="shared" ref="EI333:ER333" si="1891">EI319</f>
        <v>0</v>
      </c>
      <c r="EJ333" s="2">
        <f t="shared" si="1891"/>
        <v>0</v>
      </c>
      <c r="EK333" s="23">
        <f t="shared" si="1891"/>
        <v>0</v>
      </c>
      <c r="EL333" s="23"/>
      <c r="EM333" s="23"/>
      <c r="EN333" s="23">
        <f t="shared" ref="EN333" si="1892">EN319</f>
        <v>0</v>
      </c>
      <c r="EO333" s="2">
        <f t="shared" si="1891"/>
        <v>0</v>
      </c>
      <c r="EP333" s="2">
        <f t="shared" si="1891"/>
        <v>0</v>
      </c>
      <c r="EQ333" s="23">
        <f t="shared" si="1891"/>
        <v>0</v>
      </c>
      <c r="ER333" s="23">
        <f t="shared" si="1891"/>
        <v>0</v>
      </c>
      <c r="ES333" s="249"/>
      <c r="ET333" s="249"/>
      <c r="EU333" s="23">
        <f t="shared" ref="EU333" si="1893">EU319</f>
        <v>0</v>
      </c>
      <c r="EV333" s="13">
        <f t="shared" ref="EV333" si="1894">EV319</f>
        <v>0</v>
      </c>
      <c r="EW333" s="310"/>
      <c r="EX333" s="310"/>
      <c r="EY333" s="344"/>
      <c r="EZ333" s="322"/>
      <c r="FA333" s="322"/>
      <c r="FB333" s="310"/>
      <c r="FC333" s="310"/>
      <c r="FD333" s="344"/>
      <c r="FE333" s="322"/>
      <c r="FF333" s="322"/>
      <c r="FG333" s="322"/>
      <c r="FH333" s="322"/>
      <c r="FI333" s="322"/>
      <c r="FJ333" s="23">
        <f t="shared" ref="FJ333" si="1895">FJ319</f>
        <v>0</v>
      </c>
      <c r="FK333" s="353"/>
      <c r="FL333" s="353"/>
      <c r="FM333" s="381"/>
      <c r="FN333" s="360"/>
      <c r="FO333" s="360"/>
      <c r="FP333" s="353"/>
      <c r="FQ333" s="353"/>
      <c r="FR333" s="381"/>
      <c r="FS333" s="360"/>
      <c r="FT333" s="360"/>
      <c r="FU333" s="360"/>
      <c r="FV333" s="360"/>
      <c r="FW333" s="360"/>
      <c r="FX333" s="310"/>
      <c r="FY333" s="310"/>
      <c r="FZ333" s="344"/>
      <c r="GA333" s="322"/>
      <c r="GB333" s="322"/>
      <c r="GC333" s="310"/>
      <c r="GD333" s="310"/>
      <c r="GE333" s="344"/>
      <c r="GF333" s="322"/>
      <c r="GG333" s="322"/>
      <c r="GH333" s="322"/>
      <c r="GI333" s="322"/>
      <c r="GJ333" s="339"/>
      <c r="GK333" s="303" t="e">
        <f t="shared" si="1833"/>
        <v>#DIV/0!</v>
      </c>
    </row>
    <row r="334" spans="2:193" s="37" customFormat="1" ht="19.5" hidden="1" customHeight="1" x14ac:dyDescent="0.2">
      <c r="B334" s="32"/>
      <c r="C334" s="33"/>
      <c r="D334" s="32"/>
      <c r="E334" s="39"/>
      <c r="F334" s="32"/>
      <c r="G334" s="33"/>
      <c r="H334" s="32"/>
      <c r="I334" s="32"/>
      <c r="J334" s="32"/>
      <c r="K334" s="32"/>
      <c r="L334" s="32"/>
      <c r="M334" s="65"/>
      <c r="N334" s="66" t="s">
        <v>284</v>
      </c>
      <c r="O334" s="66"/>
      <c r="P334" s="66"/>
      <c r="Q334" s="66"/>
      <c r="R334" s="66"/>
      <c r="S334" s="66"/>
      <c r="T334" s="66"/>
      <c r="U334" s="66"/>
      <c r="V334" s="2">
        <f t="shared" ref="V334" si="1896">W334+X334+AA334</f>
        <v>1497775.2146999999</v>
      </c>
      <c r="W334" s="23">
        <f t="shared" ref="W334:X334" si="1897">W320+W330</f>
        <v>225766.18290000001</v>
      </c>
      <c r="X334" s="23">
        <f t="shared" si="1897"/>
        <v>720855.7</v>
      </c>
      <c r="Y334" s="23"/>
      <c r="Z334" s="23"/>
      <c r="AA334" s="23">
        <f t="shared" ref="AA334" si="1898">AA320+AA330</f>
        <v>551153.33180000004</v>
      </c>
      <c r="AB334" s="2">
        <f t="shared" ref="AB334:AH334" si="1899">AB320+AB330</f>
        <v>1497775.1961600001</v>
      </c>
      <c r="AC334" s="23">
        <f t="shared" si="1899"/>
        <v>225766.16436</v>
      </c>
      <c r="AD334" s="23">
        <f t="shared" si="1899"/>
        <v>720855.7</v>
      </c>
      <c r="AE334" s="23"/>
      <c r="AF334" s="23"/>
      <c r="AG334" s="23">
        <f t="shared" ref="AG334" si="1900">AG320+AG330</f>
        <v>551153.33180000004</v>
      </c>
      <c r="AH334" s="23">
        <f t="shared" si="1899"/>
        <v>0</v>
      </c>
      <c r="AI334" s="2">
        <f t="shared" ref="AI334:AM334" si="1901">AI320+AI330</f>
        <v>679687.83100000001</v>
      </c>
      <c r="AJ334" s="23">
        <f t="shared" si="1901"/>
        <v>400986.65100000007</v>
      </c>
      <c r="AK334" s="23">
        <f t="shared" si="1901"/>
        <v>102879</v>
      </c>
      <c r="AL334" s="23">
        <f t="shared" si="1901"/>
        <v>175822.18</v>
      </c>
      <c r="AM334" s="23">
        <f t="shared" si="1901"/>
        <v>0</v>
      </c>
      <c r="AN334" s="2">
        <f t="shared" ref="AN334:AR334" si="1902">AN320+AN330</f>
        <v>719627.69299999997</v>
      </c>
      <c r="AO334" s="23">
        <f t="shared" si="1902"/>
        <v>413239.95599999995</v>
      </c>
      <c r="AP334" s="23">
        <f t="shared" si="1902"/>
        <v>102879</v>
      </c>
      <c r="AQ334" s="23">
        <f t="shared" si="1902"/>
        <v>203508.73699999999</v>
      </c>
      <c r="AR334" s="23">
        <f t="shared" si="1902"/>
        <v>0</v>
      </c>
      <c r="AS334" s="2">
        <f t="shared" ref="AS334:DB334" si="1903">AS320+AS330</f>
        <v>500208.04399999994</v>
      </c>
      <c r="AT334" s="23">
        <f t="shared" si="1903"/>
        <v>345126.65799999994</v>
      </c>
      <c r="AU334" s="23">
        <f t="shared" si="1903"/>
        <v>44730</v>
      </c>
      <c r="AV334" s="23">
        <f t="shared" si="1903"/>
        <v>110351.386</v>
      </c>
      <c r="AW334" s="23">
        <f t="shared" si="1903"/>
        <v>0</v>
      </c>
      <c r="AX334" s="417"/>
      <c r="AY334" s="2">
        <f t="shared" si="1903"/>
        <v>1490950.9526200001</v>
      </c>
      <c r="AZ334" s="23">
        <f t="shared" si="1903"/>
        <v>225766.182</v>
      </c>
      <c r="BA334" s="23">
        <f t="shared" si="1903"/>
        <v>716239.26753999991</v>
      </c>
      <c r="BB334" s="23"/>
      <c r="BC334" s="23"/>
      <c r="BD334" s="23">
        <f t="shared" si="1903"/>
        <v>548945.50308000005</v>
      </c>
      <c r="BE334" s="23">
        <f t="shared" si="1903"/>
        <v>0</v>
      </c>
      <c r="BF334" s="23" t="e">
        <f t="shared" si="1903"/>
        <v>#REF!</v>
      </c>
      <c r="BG334" s="23" t="e">
        <f t="shared" si="1903"/>
        <v>#REF!</v>
      </c>
      <c r="BH334" s="23" t="e">
        <f t="shared" si="1903"/>
        <v>#REF!</v>
      </c>
      <c r="BI334" s="23"/>
      <c r="BJ334" s="23"/>
      <c r="BK334" s="23">
        <f t="shared" si="1903"/>
        <v>2207.8287199999904</v>
      </c>
      <c r="BL334" s="23" t="e">
        <f t="shared" si="1903"/>
        <v>#REF!</v>
      </c>
      <c r="BM334" s="2">
        <f t="shared" si="1903"/>
        <v>781575.86852000002</v>
      </c>
      <c r="BN334" s="23">
        <f t="shared" si="1903"/>
        <v>302927.24051999999</v>
      </c>
      <c r="BO334" s="23">
        <f t="shared" si="1903"/>
        <v>223922.57699999999</v>
      </c>
      <c r="BP334" s="23">
        <f t="shared" si="1903"/>
        <v>254726.05100000004</v>
      </c>
      <c r="BQ334" s="23">
        <f t="shared" si="1903"/>
        <v>0</v>
      </c>
      <c r="BR334" s="23">
        <f t="shared" si="1903"/>
        <v>0</v>
      </c>
      <c r="BS334" s="23">
        <f t="shared" si="1903"/>
        <v>0</v>
      </c>
      <c r="BT334" s="23">
        <f t="shared" si="1903"/>
        <v>0</v>
      </c>
      <c r="BU334" s="23">
        <f t="shared" si="1903"/>
        <v>0</v>
      </c>
      <c r="BV334" s="23">
        <f t="shared" si="1903"/>
        <v>0</v>
      </c>
      <c r="BW334" s="2">
        <f t="shared" si="1903"/>
        <v>1382433.2170800001</v>
      </c>
      <c r="BX334" s="23">
        <f t="shared" si="1903"/>
        <v>207264.85717</v>
      </c>
      <c r="BY334" s="23">
        <f t="shared" si="1903"/>
        <v>654667.08874000004</v>
      </c>
      <c r="BZ334" s="23"/>
      <c r="CA334" s="23"/>
      <c r="CB334" s="23">
        <f t="shared" si="1903"/>
        <v>520501.27117000002</v>
      </c>
      <c r="CC334" s="23">
        <f t="shared" si="1903"/>
        <v>0</v>
      </c>
      <c r="CD334" s="2">
        <f t="shared" si="1903"/>
        <v>1382433.11708</v>
      </c>
      <c r="CE334" s="23">
        <f t="shared" ref="CE334:CF334" si="1904">CE320+CE330</f>
        <v>207264.85717</v>
      </c>
      <c r="CF334" s="23">
        <f t="shared" si="1904"/>
        <v>654667.08874000004</v>
      </c>
      <c r="CG334" s="23"/>
      <c r="CH334" s="23"/>
      <c r="CI334" s="23">
        <f t="shared" ref="CI334" si="1905">CI320+CI330</f>
        <v>520501.17117000005</v>
      </c>
      <c r="CJ334" s="23">
        <f t="shared" si="1903"/>
        <v>0</v>
      </c>
      <c r="CK334" s="2">
        <f t="shared" si="1903"/>
        <v>239747.41782999996</v>
      </c>
      <c r="CL334" s="23">
        <f t="shared" si="1903"/>
        <v>12675.160190000002</v>
      </c>
      <c r="CM334" s="23">
        <f t="shared" si="1903"/>
        <v>168059.98470999996</v>
      </c>
      <c r="CN334" s="23"/>
      <c r="CO334" s="23"/>
      <c r="CP334" s="23">
        <f t="shared" si="1903"/>
        <v>59012.272929999999</v>
      </c>
      <c r="CQ334" s="23">
        <f t="shared" si="1903"/>
        <v>0</v>
      </c>
      <c r="CR334" s="23">
        <f t="shared" si="1903"/>
        <v>1622180.5349099999</v>
      </c>
      <c r="CS334" s="2">
        <f t="shared" si="1843"/>
        <v>1622180.5349099999</v>
      </c>
      <c r="CT334" s="23">
        <f t="shared" si="1844"/>
        <v>219940.01736</v>
      </c>
      <c r="CU334" s="23">
        <f t="shared" si="1845"/>
        <v>822727.07345000003</v>
      </c>
      <c r="CV334" s="23">
        <f t="shared" si="1846"/>
        <v>579513.44410000008</v>
      </c>
      <c r="CW334" s="23">
        <f t="shared" si="1903"/>
        <v>0</v>
      </c>
      <c r="CX334" s="2">
        <f t="shared" ca="1" si="1903"/>
        <v>0</v>
      </c>
      <c r="CY334" s="23">
        <f t="shared" si="1903"/>
        <v>0</v>
      </c>
      <c r="CZ334" s="23">
        <f t="shared" si="1903"/>
        <v>0</v>
      </c>
      <c r="DA334" s="23">
        <f t="shared" si="1903"/>
        <v>9.9999999976716936E-2</v>
      </c>
      <c r="DB334" s="23">
        <f t="shared" si="1903"/>
        <v>0</v>
      </c>
      <c r="DC334" s="76"/>
      <c r="DD334" s="46"/>
      <c r="DE334" s="46"/>
      <c r="DF334" s="2">
        <f>DG334+DH334+DI334+DJ334</f>
        <v>0</v>
      </c>
      <c r="DG334" s="23">
        <f>DG321+DG325</f>
        <v>0</v>
      </c>
      <c r="DH334" s="23">
        <f>DH321+DH325</f>
        <v>0</v>
      </c>
      <c r="DI334" s="23"/>
      <c r="DJ334" s="23"/>
      <c r="DK334" s="2">
        <f>DL334+DM334+DN334+DO334</f>
        <v>0</v>
      </c>
      <c r="DL334" s="23">
        <f t="shared" si="1890"/>
        <v>0</v>
      </c>
      <c r="DM334" s="23">
        <f t="shared" si="1890"/>
        <v>0</v>
      </c>
      <c r="DN334" s="23">
        <f t="shared" si="1890"/>
        <v>0</v>
      </c>
      <c r="DO334" s="23">
        <f t="shared" si="1890"/>
        <v>0</v>
      </c>
      <c r="DP334" s="2">
        <f>DQ334+DR334+DS334+DT334</f>
        <v>0</v>
      </c>
      <c r="DQ334" s="23">
        <f>DQ321+DQ325</f>
        <v>0</v>
      </c>
      <c r="DR334" s="23">
        <f>DR321+DR325</f>
        <v>0</v>
      </c>
      <c r="DS334" s="23"/>
      <c r="DT334" s="23"/>
      <c r="DU334" s="46"/>
      <c r="DV334" s="46"/>
      <c r="DW334" s="46"/>
      <c r="DX334" s="46"/>
      <c r="DY334" s="46"/>
      <c r="DZ334" s="46"/>
      <c r="EA334" s="46"/>
      <c r="EB334" s="46"/>
      <c r="EC334" s="23">
        <f>EC321+EC325</f>
        <v>0</v>
      </c>
      <c r="ED334" s="23">
        <f>ED321+ED325</f>
        <v>0</v>
      </c>
      <c r="EE334" s="46"/>
      <c r="EF334" s="23">
        <f>EF321+EF325</f>
        <v>0</v>
      </c>
      <c r="EG334" s="46"/>
      <c r="EH334" s="46"/>
      <c r="EI334" s="2">
        <f t="shared" ref="EI334:ER334" si="1906">EI320+EI330</f>
        <v>1382433.2170800001</v>
      </c>
      <c r="EJ334" s="23">
        <f t="shared" si="1906"/>
        <v>207264.85717</v>
      </c>
      <c r="EK334" s="23">
        <f t="shared" si="1906"/>
        <v>654667.08874000004</v>
      </c>
      <c r="EL334" s="23"/>
      <c r="EM334" s="23"/>
      <c r="EN334" s="23">
        <f t="shared" ref="EN334" si="1907">EN320+EN330</f>
        <v>520501.27117000002</v>
      </c>
      <c r="EO334" s="23">
        <f t="shared" si="1906"/>
        <v>0</v>
      </c>
      <c r="EP334" s="2">
        <f t="shared" si="1906"/>
        <v>239747.41782999996</v>
      </c>
      <c r="EQ334" s="23">
        <f t="shared" si="1906"/>
        <v>12675.160190000002</v>
      </c>
      <c r="ER334" s="23">
        <f t="shared" si="1906"/>
        <v>168059.98470999996</v>
      </c>
      <c r="ES334" s="195"/>
      <c r="ET334" s="195"/>
      <c r="EU334" s="23">
        <f t="shared" ref="EU334" si="1908">EU320+EU330</f>
        <v>59012.272929999999</v>
      </c>
      <c r="EV334" s="13">
        <f t="shared" ref="EV334" si="1909">EV320+EV330</f>
        <v>0</v>
      </c>
      <c r="EW334" s="310"/>
      <c r="EX334" s="322"/>
      <c r="EY334" s="339"/>
      <c r="EZ334" s="322"/>
      <c r="FA334" s="322"/>
      <c r="FB334" s="310"/>
      <c r="FC334" s="322"/>
      <c r="FD334" s="339"/>
      <c r="FE334" s="322"/>
      <c r="FF334" s="322"/>
      <c r="FG334" s="322"/>
      <c r="FH334" s="322"/>
      <c r="FI334" s="322"/>
      <c r="FJ334" s="23">
        <f t="shared" ref="FJ334" si="1910">FJ320+FJ330</f>
        <v>0</v>
      </c>
      <c r="FK334" s="353"/>
      <c r="FL334" s="360"/>
      <c r="FM334" s="376"/>
      <c r="FN334" s="360"/>
      <c r="FO334" s="360"/>
      <c r="FP334" s="353"/>
      <c r="FQ334" s="360"/>
      <c r="FR334" s="376"/>
      <c r="FS334" s="360"/>
      <c r="FT334" s="360"/>
      <c r="FU334" s="360"/>
      <c r="FV334" s="360"/>
      <c r="FW334" s="360"/>
      <c r="FX334" s="310"/>
      <c r="FY334" s="322"/>
      <c r="FZ334" s="339"/>
      <c r="GA334" s="322"/>
      <c r="GB334" s="322"/>
      <c r="GC334" s="310"/>
      <c r="GD334" s="322"/>
      <c r="GE334" s="339"/>
      <c r="GF334" s="322"/>
      <c r="GG334" s="322"/>
      <c r="GH334" s="322"/>
      <c r="GI334" s="322"/>
      <c r="GJ334" s="339"/>
      <c r="GK334" s="303">
        <f t="shared" si="1833"/>
        <v>0.92299112752319967</v>
      </c>
    </row>
    <row r="335" spans="2:193" hidden="1" x14ac:dyDescent="0.3">
      <c r="BW335" s="46"/>
      <c r="BX335" s="46"/>
      <c r="BY335" s="46"/>
      <c r="BZ335" s="46"/>
      <c r="CA335" s="46"/>
      <c r="CB335" s="46"/>
      <c r="CC335" s="46"/>
      <c r="CE335" s="46"/>
      <c r="CF335" s="46"/>
      <c r="CG335" s="46"/>
      <c r="CH335" s="46"/>
      <c r="CI335" s="46"/>
      <c r="EK335" s="46"/>
      <c r="EL335" s="46"/>
      <c r="EM335" s="46"/>
      <c r="EN335" s="46"/>
      <c r="ES335" s="76"/>
      <c r="ET335" s="76"/>
      <c r="EZ335" s="404"/>
      <c r="FA335" s="404"/>
      <c r="FE335" s="404"/>
      <c r="FF335" s="404"/>
      <c r="FG335" s="404"/>
      <c r="FH335" s="404"/>
      <c r="FI335" s="404"/>
      <c r="FJ335" s="76"/>
      <c r="FK335" s="405"/>
      <c r="FL335" s="405"/>
      <c r="FM335" s="405"/>
      <c r="FN335" s="405"/>
      <c r="FO335" s="405"/>
      <c r="FS335" s="405"/>
      <c r="FT335" s="405"/>
      <c r="FU335" s="405"/>
      <c r="FV335" s="405"/>
      <c r="FW335" s="405"/>
      <c r="FX335" s="404"/>
      <c r="FY335" s="404"/>
      <c r="FZ335" s="404"/>
      <c r="GA335" s="404"/>
      <c r="GB335" s="404"/>
      <c r="GC335" s="404"/>
      <c r="GD335" s="404"/>
      <c r="GE335" s="404"/>
      <c r="GF335" s="404"/>
      <c r="GG335" s="404"/>
      <c r="GH335" s="404"/>
      <c r="GI335" s="404"/>
      <c r="GJ335" s="404"/>
    </row>
    <row r="336" spans="2:193" hidden="1" x14ac:dyDescent="0.3">
      <c r="BW336" s="46"/>
      <c r="BX336" s="46" t="s">
        <v>696</v>
      </c>
      <c r="BY336" s="466">
        <f>BY260/BA260</f>
        <v>0.91403406432674927</v>
      </c>
      <c r="BZ336" s="467">
        <f>BZ264/BB264</f>
        <v>0.90258633069209615</v>
      </c>
      <c r="CA336" s="467">
        <f>CA260/BC260</f>
        <v>0.91923723796495971</v>
      </c>
      <c r="CB336" s="46"/>
      <c r="CC336" s="46"/>
      <c r="CE336" s="46" t="s">
        <v>696</v>
      </c>
      <c r="CF336" s="466">
        <f>CF260/BH260</f>
        <v>141.81233981272163</v>
      </c>
      <c r="CG336" s="467">
        <f>CG264/BK264</f>
        <v>91.498066720502166</v>
      </c>
      <c r="CH336" s="467" t="e">
        <f>CH260/BL260</f>
        <v>#REF!</v>
      </c>
      <c r="CI336" s="46"/>
      <c r="EK336" s="466"/>
      <c r="EL336" s="467"/>
      <c r="EM336" s="467"/>
      <c r="EN336" s="46"/>
    </row>
    <row r="337" spans="22:144" hidden="1" x14ac:dyDescent="0.3">
      <c r="BW337" s="441"/>
      <c r="BX337" s="441"/>
      <c r="BY337" s="441"/>
      <c r="BZ337" s="441"/>
      <c r="CA337" s="441"/>
      <c r="CB337" s="441"/>
      <c r="CC337" s="46"/>
      <c r="CE337" s="441"/>
      <c r="CF337" s="441"/>
      <c r="CG337" s="441"/>
      <c r="CH337" s="441"/>
      <c r="CI337" s="441"/>
      <c r="EK337" s="441"/>
      <c r="EL337" s="441"/>
      <c r="EM337" s="441"/>
      <c r="EN337" s="441"/>
    </row>
    <row r="338" spans="22:144" hidden="1" x14ac:dyDescent="0.3">
      <c r="V338" s="435"/>
      <c r="W338" s="435"/>
      <c r="X338" s="435"/>
      <c r="Y338" s="435"/>
      <c r="Z338" s="435"/>
      <c r="AA338" s="435"/>
      <c r="AB338" s="435"/>
      <c r="AC338" s="435"/>
      <c r="AD338" s="435"/>
      <c r="AE338" s="435"/>
      <c r="AF338" s="435"/>
      <c r="AG338" s="435"/>
      <c r="BW338" s="46"/>
      <c r="BX338" s="46"/>
      <c r="BY338" s="203"/>
      <c r="BZ338" s="203"/>
      <c r="CA338" s="203"/>
      <c r="CB338" s="46"/>
      <c r="CC338" s="203"/>
      <c r="CE338" s="46"/>
      <c r="CF338" s="203"/>
      <c r="CG338" s="203"/>
      <c r="CH338" s="203"/>
      <c r="CI338" s="46"/>
      <c r="EK338" s="203"/>
      <c r="EL338" s="203"/>
      <c r="EM338" s="203"/>
      <c r="EN338" s="46"/>
    </row>
    <row r="339" spans="22:144" hidden="1" x14ac:dyDescent="0.3">
      <c r="BW339" s="46">
        <v>19959.787509999998</v>
      </c>
      <c r="BX339" s="46"/>
      <c r="BY339" s="46"/>
      <c r="BZ339" s="46"/>
      <c r="CA339" s="46"/>
      <c r="CB339" s="46"/>
      <c r="CC339" s="203"/>
      <c r="CE339" s="46"/>
      <c r="CF339" s="46"/>
      <c r="CG339" s="46"/>
      <c r="CH339" s="46"/>
      <c r="CI339" s="46"/>
      <c r="EK339" s="46"/>
      <c r="EL339" s="46"/>
      <c r="EM339" s="46"/>
      <c r="EN339" s="46"/>
    </row>
    <row r="340" spans="22:144" hidden="1" x14ac:dyDescent="0.3">
      <c r="BW340" s="46"/>
      <c r="BX340" s="46"/>
      <c r="BY340" s="203"/>
      <c r="BZ340" s="203"/>
      <c r="CA340" s="203"/>
      <c r="CB340" s="46"/>
      <c r="CC340" s="203">
        <v>2</v>
      </c>
      <c r="CE340" s="46"/>
      <c r="CF340" s="203"/>
      <c r="CG340" s="203"/>
      <c r="CH340" s="203"/>
      <c r="CI340" s="46"/>
      <c r="EK340" s="203"/>
      <c r="EL340" s="203"/>
      <c r="EM340" s="203"/>
      <c r="EN340" s="46"/>
    </row>
    <row r="341" spans="22:144" hidden="1" x14ac:dyDescent="0.3">
      <c r="BW341" s="46"/>
      <c r="BX341" s="46"/>
      <c r="BY341" s="471"/>
      <c r="BZ341" s="46"/>
      <c r="CA341" s="46"/>
      <c r="CB341" s="46"/>
      <c r="CC341" s="203"/>
      <c r="CE341" s="46"/>
      <c r="CF341" s="471"/>
      <c r="CG341" s="46"/>
      <c r="CH341" s="46"/>
      <c r="CI341" s="46"/>
      <c r="EK341" s="471"/>
      <c r="EL341" s="46"/>
      <c r="EM341" s="46"/>
      <c r="EN341" s="46"/>
    </row>
    <row r="342" spans="22:144" hidden="1" x14ac:dyDescent="0.3">
      <c r="BW342" s="46"/>
      <c r="BX342" s="46"/>
      <c r="BY342" s="203"/>
      <c r="BZ342" s="203"/>
      <c r="CA342" s="203"/>
      <c r="CB342" s="46"/>
      <c r="CC342" s="203">
        <v>3</v>
      </c>
      <c r="CE342" s="46"/>
      <c r="CF342" s="203"/>
      <c r="CG342" s="203"/>
      <c r="CH342" s="203"/>
      <c r="CI342" s="46"/>
      <c r="EK342" s="203"/>
      <c r="EL342" s="203"/>
      <c r="EM342" s="203"/>
      <c r="EN342" s="46"/>
    </row>
    <row r="343" spans="22:144" hidden="1" x14ac:dyDescent="0.3">
      <c r="BW343" s="46"/>
      <c r="BX343" s="46"/>
      <c r="BY343" s="46"/>
      <c r="BZ343" s="46"/>
      <c r="CA343" s="46"/>
      <c r="CB343" s="46"/>
      <c r="CC343" s="203"/>
      <c r="CE343" s="46"/>
      <c r="CF343" s="46"/>
      <c r="CG343" s="46"/>
      <c r="CH343" s="46"/>
      <c r="CI343" s="46"/>
      <c r="EK343" s="46"/>
      <c r="EL343" s="46"/>
      <c r="EM343" s="46"/>
      <c r="EN343" s="46"/>
    </row>
    <row r="344" spans="22:144" hidden="1" x14ac:dyDescent="0.3">
      <c r="BW344" s="46"/>
      <c r="BX344" s="46"/>
      <c r="BY344" s="203"/>
      <c r="BZ344" s="203"/>
      <c r="CA344" s="203"/>
      <c r="CB344" s="46"/>
      <c r="CC344" s="203">
        <v>2</v>
      </c>
      <c r="CE344" s="46"/>
      <c r="CF344" s="203"/>
      <c r="CG344" s="203"/>
      <c r="CH344" s="203"/>
      <c r="CI344" s="46"/>
      <c r="EK344" s="203"/>
      <c r="EL344" s="203"/>
      <c r="EM344" s="203"/>
      <c r="EN344" s="46"/>
    </row>
    <row r="345" spans="22:144" hidden="1" x14ac:dyDescent="0.3">
      <c r="BW345" s="46"/>
      <c r="BX345" s="46"/>
      <c r="BY345" s="46"/>
      <c r="BZ345" s="46"/>
      <c r="CA345" s="46"/>
      <c r="CB345" s="46"/>
      <c r="CC345" s="46"/>
      <c r="CE345" s="46"/>
      <c r="CF345" s="46"/>
      <c r="CG345" s="46"/>
      <c r="CH345" s="46"/>
      <c r="CI345" s="46"/>
      <c r="EK345" s="46"/>
      <c r="EL345" s="46"/>
      <c r="EM345" s="46"/>
      <c r="EN345" s="46"/>
    </row>
    <row r="346" spans="22:144" hidden="1" x14ac:dyDescent="0.3">
      <c r="BW346" s="46"/>
      <c r="BX346" s="46"/>
      <c r="BY346" s="46"/>
      <c r="BZ346" s="46"/>
      <c r="CA346" s="46"/>
      <c r="CB346" s="46"/>
      <c r="CC346" s="203">
        <v>2</v>
      </c>
      <c r="CE346" s="46"/>
      <c r="CF346" s="46"/>
      <c r="CG346" s="46"/>
      <c r="CH346" s="46"/>
      <c r="CI346" s="46"/>
      <c r="EK346" s="46"/>
      <c r="EL346" s="46"/>
      <c r="EM346" s="46"/>
      <c r="EN346" s="46"/>
    </row>
    <row r="347" spans="22:144" hidden="1" x14ac:dyDescent="0.3">
      <c r="BW347" s="46"/>
      <c r="BX347" s="46"/>
      <c r="BY347" s="46"/>
      <c r="BZ347" s="46"/>
      <c r="CA347" s="46"/>
      <c r="CB347" s="46"/>
      <c r="CC347" s="46"/>
      <c r="CE347" s="46"/>
      <c r="CF347" s="46"/>
      <c r="CG347" s="46"/>
      <c r="CH347" s="46"/>
      <c r="CI347" s="46"/>
      <c r="EK347" s="46"/>
      <c r="EL347" s="46"/>
      <c r="EM347" s="46"/>
      <c r="EN347" s="46"/>
    </row>
    <row r="348" spans="22:144" hidden="1" x14ac:dyDescent="0.3">
      <c r="BW348" s="46"/>
      <c r="BX348" s="46"/>
      <c r="BY348" s="46"/>
      <c r="BZ348" s="46"/>
      <c r="CA348" s="46"/>
      <c r="CB348" s="46"/>
      <c r="CC348" s="46"/>
      <c r="CE348" s="46"/>
      <c r="CF348" s="46"/>
      <c r="CG348" s="46"/>
      <c r="CH348" s="46"/>
      <c r="CI348" s="46"/>
      <c r="EK348" s="46"/>
      <c r="EL348" s="46"/>
      <c r="EM348" s="46"/>
      <c r="EN348" s="46"/>
    </row>
    <row r="349" spans="22:144" hidden="1" x14ac:dyDescent="0.3">
      <c r="BW349" s="46"/>
      <c r="BX349" s="46"/>
      <c r="BY349" s="203"/>
      <c r="BZ349" s="203"/>
      <c r="CA349" s="203"/>
      <c r="CB349" s="46"/>
      <c r="CC349" s="203">
        <f>CC338+CC340+CC342+CC344+CC346</f>
        <v>9</v>
      </c>
      <c r="CE349" s="46"/>
      <c r="CF349" s="203"/>
      <c r="CG349" s="203"/>
      <c r="CH349" s="203"/>
      <c r="CI349" s="46"/>
      <c r="EK349" s="203"/>
      <c r="EL349" s="203"/>
      <c r="EM349" s="203"/>
      <c r="EN349" s="46"/>
    </row>
    <row r="350" spans="22:144" hidden="1" x14ac:dyDescent="0.3">
      <c r="BW350" s="46"/>
      <c r="BX350" s="46"/>
      <c r="BY350" s="46"/>
      <c r="BZ350" s="46"/>
      <c r="CA350" s="46"/>
      <c r="CB350" s="46"/>
      <c r="CC350" s="46"/>
      <c r="CE350" s="46"/>
      <c r="CF350" s="46"/>
      <c r="CG350" s="46"/>
      <c r="CH350" s="46"/>
      <c r="CI350" s="46"/>
      <c r="EK350" s="46"/>
      <c r="EL350" s="46"/>
      <c r="EM350" s="46"/>
      <c r="EN350" s="46"/>
    </row>
    <row r="351" spans="22:144" hidden="1" x14ac:dyDescent="0.3">
      <c r="BW351" s="46"/>
      <c r="BX351" s="46"/>
      <c r="BY351" s="46"/>
      <c r="BZ351" s="46"/>
      <c r="CA351" s="46"/>
      <c r="CB351" s="46"/>
      <c r="CC351" s="46"/>
      <c r="CE351" s="46"/>
      <c r="CF351" s="46"/>
      <c r="CG351" s="46"/>
      <c r="CH351" s="46"/>
      <c r="CI351" s="46"/>
      <c r="EK351" s="46"/>
      <c r="EL351" s="46"/>
      <c r="EM351" s="46"/>
      <c r="EN351" s="46"/>
    </row>
    <row r="352" spans="22:144" hidden="1" x14ac:dyDescent="0.3">
      <c r="BW352" s="46"/>
      <c r="BX352" s="46"/>
      <c r="BY352" s="46"/>
      <c r="BZ352" s="46"/>
      <c r="CA352" s="46"/>
      <c r="CB352" s="46"/>
      <c r="CC352" s="46"/>
      <c r="CE352" s="46"/>
      <c r="CF352" s="46"/>
      <c r="CG352" s="46"/>
      <c r="CH352" s="46"/>
      <c r="CI352" s="46"/>
      <c r="EK352" s="46"/>
      <c r="EL352" s="46"/>
      <c r="EM352" s="46"/>
      <c r="EN352" s="46"/>
    </row>
    <row r="353" spans="14:144" hidden="1" x14ac:dyDescent="0.3">
      <c r="BW353" s="46"/>
      <c r="BX353" s="46"/>
      <c r="BY353" s="46"/>
      <c r="BZ353" s="46"/>
      <c r="CA353" s="46"/>
      <c r="CB353" s="46"/>
      <c r="CC353" s="46"/>
      <c r="CE353" s="46"/>
      <c r="CF353" s="46"/>
      <c r="CG353" s="46"/>
      <c r="CH353" s="46"/>
      <c r="CI353" s="46"/>
      <c r="EK353" s="46"/>
      <c r="EL353" s="46"/>
      <c r="EM353" s="46"/>
      <c r="EN353" s="46"/>
    </row>
    <row r="354" spans="14:144" hidden="1" x14ac:dyDescent="0.3">
      <c r="BW354" s="46"/>
      <c r="BX354" s="46"/>
      <c r="BY354" s="46"/>
      <c r="BZ354" s="46"/>
      <c r="CA354" s="46"/>
      <c r="CB354" s="46"/>
      <c r="CC354" s="46"/>
      <c r="CE354" s="46"/>
      <c r="CF354" s="46"/>
      <c r="CG354" s="46"/>
      <c r="CH354" s="46"/>
      <c r="CI354" s="46"/>
      <c r="EK354" s="46"/>
      <c r="EL354" s="46"/>
      <c r="EM354" s="46"/>
      <c r="EN354" s="46"/>
    </row>
    <row r="355" spans="14:144" hidden="1" x14ac:dyDescent="0.3">
      <c r="BW355" s="46"/>
      <c r="BX355" s="46"/>
      <c r="BY355" s="46"/>
      <c r="BZ355" s="46"/>
      <c r="CA355" s="46"/>
      <c r="CB355" s="46"/>
      <c r="CC355" s="46"/>
      <c r="CE355" s="46"/>
      <c r="CF355" s="46"/>
      <c r="CG355" s="46"/>
      <c r="CH355" s="46"/>
      <c r="CI355" s="46"/>
      <c r="EK355" s="46"/>
      <c r="EL355" s="46"/>
      <c r="EM355" s="46"/>
      <c r="EN355" s="46"/>
    </row>
    <row r="356" spans="14:144" x14ac:dyDescent="0.3">
      <c r="BW356" s="46"/>
      <c r="BX356" s="46"/>
      <c r="BY356" s="46"/>
      <c r="BZ356" s="46"/>
      <c r="CA356" s="46"/>
      <c r="CB356" s="46"/>
      <c r="CC356" s="46"/>
      <c r="CE356" s="46"/>
      <c r="CF356" s="46"/>
      <c r="CG356" s="46"/>
      <c r="CH356" s="46"/>
      <c r="CI356" s="46"/>
      <c r="EK356" s="46"/>
      <c r="EL356" s="46"/>
      <c r="EM356" s="46"/>
      <c r="EN356" s="46"/>
    </row>
    <row r="357" spans="14:144" ht="14.25" x14ac:dyDescent="0.2"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  <c r="BV357" s="34"/>
      <c r="BW357" s="34"/>
      <c r="BX357" s="34"/>
      <c r="BY357" s="34"/>
      <c r="BZ357" s="34"/>
      <c r="CA357" s="34"/>
      <c r="CB357" s="34"/>
      <c r="CC357" s="34"/>
      <c r="CD357" s="34"/>
      <c r="CE357" s="34"/>
      <c r="CF357" s="34"/>
      <c r="CG357" s="34"/>
      <c r="CH357" s="34"/>
      <c r="CI357" s="34"/>
      <c r="CJ357" s="34"/>
      <c r="CK357" s="34"/>
      <c r="CL357" s="34"/>
      <c r="CM357" s="34"/>
      <c r="CN357" s="34"/>
      <c r="CO357" s="34"/>
      <c r="CP357" s="34"/>
      <c r="CQ357" s="34"/>
      <c r="CR357" s="34"/>
      <c r="CS357" s="34"/>
      <c r="CT357" s="34"/>
      <c r="CU357" s="34"/>
      <c r="CV357" s="34"/>
      <c r="EK357" s="46"/>
      <c r="EL357" s="46"/>
      <c r="EM357" s="46"/>
      <c r="EN357" s="46"/>
    </row>
    <row r="358" spans="14:144" x14ac:dyDescent="0.3">
      <c r="BW358" s="46"/>
      <c r="BX358" s="46"/>
      <c r="BY358" s="46"/>
      <c r="BZ358" s="46"/>
      <c r="CA358" s="46"/>
      <c r="CB358" s="46"/>
      <c r="CC358" s="46"/>
      <c r="CE358" s="46"/>
      <c r="CF358" s="46"/>
      <c r="CG358" s="46"/>
      <c r="CH358" s="46"/>
      <c r="CI358" s="46"/>
      <c r="EK358" s="46"/>
      <c r="EL358" s="46"/>
      <c r="EM358" s="46"/>
      <c r="EN358" s="46"/>
    </row>
    <row r="359" spans="14:144" x14ac:dyDescent="0.3">
      <c r="BW359" s="46"/>
      <c r="BX359" s="46"/>
      <c r="BY359" s="46"/>
      <c r="BZ359" s="46"/>
      <c r="CA359" s="46"/>
      <c r="CB359" s="46"/>
      <c r="CC359" s="46"/>
      <c r="CE359" s="46"/>
      <c r="CF359" s="46"/>
      <c r="CG359" s="46"/>
      <c r="CH359" s="46"/>
      <c r="CI359" s="46"/>
      <c r="EK359" s="46"/>
      <c r="EL359" s="46"/>
      <c r="EM359" s="46"/>
      <c r="EN359" s="46"/>
    </row>
    <row r="360" spans="14:144" x14ac:dyDescent="0.3">
      <c r="BW360" s="46"/>
      <c r="BX360" s="46"/>
      <c r="BY360" s="46"/>
      <c r="BZ360" s="46"/>
      <c r="CA360" s="46"/>
      <c r="CB360" s="46"/>
      <c r="CC360" s="46"/>
      <c r="CE360" s="46"/>
      <c r="CF360" s="46"/>
      <c r="CG360" s="46"/>
      <c r="CH360" s="46"/>
      <c r="CI360" s="46"/>
      <c r="EK360" s="46"/>
      <c r="EL360" s="46"/>
      <c r="EM360" s="46"/>
      <c r="EN360" s="46"/>
    </row>
    <row r="361" spans="14:144" x14ac:dyDescent="0.3">
      <c r="BW361" s="46"/>
      <c r="BX361" s="46"/>
      <c r="BY361" s="46"/>
      <c r="BZ361" s="46"/>
      <c r="CA361" s="46"/>
      <c r="CB361" s="46"/>
      <c r="CC361" s="46"/>
      <c r="CE361" s="46"/>
      <c r="CF361" s="46"/>
      <c r="CG361" s="46"/>
      <c r="CH361" s="46"/>
      <c r="CI361" s="46"/>
      <c r="EK361" s="46"/>
      <c r="EL361" s="46"/>
      <c r="EM361" s="46"/>
      <c r="EN361" s="46"/>
    </row>
    <row r="362" spans="14:144" x14ac:dyDescent="0.3">
      <c r="BW362" s="46"/>
      <c r="BX362" s="46"/>
      <c r="BY362" s="46"/>
      <c r="BZ362" s="46"/>
      <c r="CA362" s="46"/>
      <c r="CB362" s="46"/>
      <c r="CC362" s="46"/>
      <c r="CE362" s="46"/>
      <c r="CF362" s="46"/>
      <c r="CG362" s="46"/>
      <c r="CH362" s="46"/>
      <c r="CI362" s="46"/>
      <c r="EK362" s="46"/>
      <c r="EL362" s="46"/>
      <c r="EM362" s="46"/>
      <c r="EN362" s="46"/>
    </row>
    <row r="363" spans="14:144" x14ac:dyDescent="0.3">
      <c r="BW363" s="46"/>
      <c r="BX363" s="46"/>
      <c r="BY363" s="46"/>
      <c r="BZ363" s="46"/>
      <c r="CA363" s="46"/>
      <c r="CB363" s="46"/>
      <c r="CC363" s="46"/>
      <c r="CE363" s="46"/>
      <c r="CF363" s="46"/>
      <c r="CG363" s="46"/>
      <c r="CH363" s="46"/>
      <c r="CI363" s="46"/>
      <c r="EK363" s="46"/>
      <c r="EL363" s="46"/>
      <c r="EM363" s="46"/>
      <c r="EN363" s="46"/>
    </row>
    <row r="364" spans="14:144" x14ac:dyDescent="0.3">
      <c r="BW364" s="46"/>
      <c r="BX364" s="46"/>
      <c r="BY364" s="46"/>
      <c r="BZ364" s="46"/>
      <c r="CA364" s="46"/>
      <c r="CB364" s="46"/>
      <c r="CC364" s="46"/>
      <c r="CE364" s="46"/>
      <c r="CF364" s="46"/>
      <c r="CG364" s="46"/>
      <c r="CH364" s="46"/>
      <c r="CI364" s="46"/>
      <c r="EK364" s="46"/>
      <c r="EL364" s="46"/>
      <c r="EM364" s="46"/>
      <c r="EN364" s="46"/>
    </row>
    <row r="365" spans="14:144" x14ac:dyDescent="0.3">
      <c r="BW365" s="46"/>
      <c r="BX365" s="46"/>
      <c r="BY365" s="46"/>
      <c r="BZ365" s="46"/>
      <c r="CA365" s="46"/>
      <c r="CB365" s="46"/>
      <c r="CC365" s="46"/>
      <c r="CE365" s="46"/>
      <c r="CF365" s="46"/>
      <c r="CG365" s="46"/>
      <c r="CH365" s="46"/>
      <c r="CI365" s="46"/>
      <c r="EK365" s="46"/>
      <c r="EL365" s="46"/>
      <c r="EM365" s="46"/>
      <c r="EN365" s="46"/>
    </row>
    <row r="366" spans="14:144" x14ac:dyDescent="0.3">
      <c r="BW366" s="46"/>
      <c r="BX366" s="46"/>
      <c r="BY366" s="46"/>
      <c r="BZ366" s="46"/>
      <c r="CA366" s="46"/>
      <c r="CB366" s="46"/>
      <c r="CC366" s="46"/>
      <c r="CE366" s="46"/>
      <c r="CF366" s="46"/>
      <c r="CG366" s="46"/>
      <c r="CH366" s="46"/>
      <c r="CI366" s="46"/>
      <c r="EK366" s="46"/>
      <c r="EL366" s="46"/>
      <c r="EM366" s="46"/>
      <c r="EN366" s="46"/>
    </row>
    <row r="367" spans="14:144" x14ac:dyDescent="0.3">
      <c r="BW367" s="46"/>
      <c r="BX367" s="46"/>
      <c r="BY367" s="46"/>
      <c r="BZ367" s="46"/>
      <c r="CA367" s="46"/>
      <c r="CB367" s="46"/>
      <c r="CC367" s="46"/>
      <c r="CE367" s="46"/>
      <c r="CF367" s="46"/>
      <c r="CG367" s="46"/>
      <c r="CH367" s="46"/>
      <c r="CI367" s="46"/>
      <c r="EK367" s="46"/>
      <c r="EL367" s="46"/>
      <c r="EM367" s="46"/>
      <c r="EN367" s="46"/>
    </row>
    <row r="368" spans="14:144" x14ac:dyDescent="0.3">
      <c r="BW368" s="46"/>
      <c r="BX368" s="46"/>
      <c r="BY368" s="46"/>
      <c r="BZ368" s="46"/>
      <c r="CA368" s="46"/>
      <c r="CB368" s="46"/>
      <c r="CC368" s="46"/>
      <c r="CE368" s="46"/>
      <c r="CF368" s="46"/>
      <c r="CG368" s="46"/>
      <c r="CH368" s="46"/>
      <c r="CI368" s="46"/>
      <c r="EK368" s="46"/>
      <c r="EL368" s="46"/>
      <c r="EM368" s="46"/>
      <c r="EN368" s="46"/>
    </row>
    <row r="369" spans="75:144" x14ac:dyDescent="0.3">
      <c r="BW369" s="46"/>
      <c r="BX369" s="46"/>
      <c r="BY369" s="46"/>
      <c r="BZ369" s="46"/>
      <c r="CA369" s="46"/>
      <c r="CB369" s="46"/>
      <c r="CC369" s="46"/>
      <c r="CE369" s="46"/>
      <c r="CF369" s="46"/>
      <c r="CG369" s="46"/>
      <c r="CH369" s="46"/>
      <c r="CI369" s="46"/>
      <c r="EK369" s="46"/>
      <c r="EL369" s="46"/>
      <c r="EM369" s="46"/>
      <c r="EN369" s="46"/>
    </row>
    <row r="370" spans="75:144" x14ac:dyDescent="0.3">
      <c r="BW370" s="46"/>
      <c r="BX370" s="46"/>
      <c r="BY370" s="46"/>
      <c r="BZ370" s="46"/>
      <c r="CA370" s="46"/>
      <c r="CB370" s="46"/>
      <c r="CC370" s="46"/>
      <c r="CE370" s="46"/>
      <c r="CF370" s="46"/>
      <c r="CG370" s="46"/>
      <c r="CH370" s="46"/>
      <c r="CI370" s="46"/>
      <c r="EK370" s="46"/>
      <c r="EL370" s="46"/>
      <c r="EM370" s="46"/>
      <c r="EN370" s="46"/>
    </row>
    <row r="371" spans="75:144" x14ac:dyDescent="0.3">
      <c r="BW371" s="46"/>
      <c r="BX371" s="46"/>
      <c r="BY371" s="46"/>
      <c r="BZ371" s="46"/>
      <c r="CA371" s="46"/>
      <c r="CB371" s="46"/>
      <c r="CC371" s="46"/>
      <c r="CE371" s="46"/>
      <c r="CF371" s="46"/>
      <c r="CG371" s="46"/>
      <c r="CH371" s="46"/>
      <c r="CI371" s="46"/>
      <c r="EK371" s="46"/>
      <c r="EL371" s="46"/>
      <c r="EM371" s="46"/>
      <c r="EN371" s="46"/>
    </row>
    <row r="372" spans="75:144" x14ac:dyDescent="0.3">
      <c r="BW372" s="46"/>
      <c r="BX372" s="46"/>
      <c r="BY372" s="46"/>
      <c r="BZ372" s="46"/>
      <c r="CA372" s="46"/>
      <c r="CB372" s="46"/>
      <c r="CC372" s="46"/>
      <c r="CE372" s="46"/>
      <c r="CF372" s="46"/>
      <c r="CG372" s="46"/>
      <c r="CH372" s="46"/>
      <c r="CI372" s="46"/>
      <c r="EK372" s="46"/>
      <c r="EL372" s="46"/>
      <c r="EM372" s="46"/>
      <c r="EN372" s="46"/>
    </row>
    <row r="373" spans="75:144" x14ac:dyDescent="0.3">
      <c r="BW373" s="46"/>
      <c r="BX373" s="46"/>
      <c r="BY373" s="46"/>
      <c r="BZ373" s="46"/>
      <c r="CA373" s="46"/>
      <c r="CB373" s="46"/>
      <c r="CC373" s="46"/>
      <c r="CE373" s="46"/>
      <c r="CF373" s="46"/>
      <c r="CG373" s="46"/>
      <c r="CH373" s="46"/>
      <c r="CI373" s="46"/>
      <c r="EK373" s="46"/>
      <c r="EL373" s="46"/>
      <c r="EM373" s="46"/>
      <c r="EN373" s="46"/>
    </row>
    <row r="374" spans="75:144" x14ac:dyDescent="0.3">
      <c r="BW374" s="46"/>
      <c r="BX374" s="46"/>
      <c r="BY374" s="46"/>
      <c r="BZ374" s="46"/>
      <c r="CA374" s="46"/>
      <c r="CB374" s="46"/>
      <c r="CC374" s="46"/>
      <c r="CE374" s="46"/>
      <c r="CF374" s="46"/>
      <c r="CG374" s="46"/>
      <c r="CH374" s="46"/>
      <c r="CI374" s="46"/>
      <c r="EK374" s="46"/>
      <c r="EL374" s="46"/>
      <c r="EM374" s="46"/>
      <c r="EN374" s="46"/>
    </row>
    <row r="375" spans="75:144" x14ac:dyDescent="0.3">
      <c r="BW375" s="46"/>
      <c r="BX375" s="46"/>
      <c r="BY375" s="46"/>
      <c r="BZ375" s="46"/>
      <c r="CA375" s="46"/>
      <c r="CB375" s="46"/>
      <c r="CC375" s="46"/>
      <c r="CE375" s="46"/>
      <c r="CF375" s="46"/>
      <c r="CG375" s="46"/>
      <c r="CH375" s="46"/>
      <c r="CI375" s="46"/>
      <c r="EK375" s="46"/>
      <c r="EL375" s="46"/>
      <c r="EM375" s="46"/>
      <c r="EN375" s="46"/>
    </row>
    <row r="376" spans="75:144" x14ac:dyDescent="0.3">
      <c r="BW376" s="46"/>
      <c r="BX376" s="46"/>
      <c r="BY376" s="46"/>
      <c r="BZ376" s="46"/>
      <c r="CA376" s="46"/>
      <c r="CB376" s="46"/>
      <c r="CC376" s="46"/>
      <c r="CE376" s="46"/>
      <c r="CF376" s="46"/>
      <c r="CG376" s="46"/>
      <c r="CH376" s="46"/>
      <c r="CI376" s="46"/>
      <c r="EK376" s="46"/>
      <c r="EL376" s="46"/>
      <c r="EM376" s="46"/>
      <c r="EN376" s="46"/>
    </row>
    <row r="377" spans="75:144" x14ac:dyDescent="0.3">
      <c r="BW377" s="46"/>
      <c r="BX377" s="46"/>
      <c r="BY377" s="46"/>
      <c r="BZ377" s="46"/>
      <c r="CA377" s="46"/>
      <c r="CB377" s="46"/>
      <c r="CC377" s="46"/>
      <c r="CE377" s="46"/>
      <c r="CF377" s="46"/>
      <c r="CG377" s="46"/>
      <c r="CH377" s="46"/>
      <c r="CI377" s="46"/>
      <c r="EK377" s="46"/>
      <c r="EL377" s="46"/>
      <c r="EM377" s="46"/>
      <c r="EN377" s="46"/>
    </row>
    <row r="378" spans="75:144" x14ac:dyDescent="0.3">
      <c r="BW378" s="46"/>
      <c r="BX378" s="46"/>
      <c r="BY378" s="46"/>
      <c r="BZ378" s="46"/>
      <c r="CA378" s="46"/>
      <c r="CB378" s="46"/>
      <c r="CC378" s="46"/>
      <c r="CE378" s="46"/>
      <c r="CF378" s="46"/>
      <c r="CG378" s="46"/>
      <c r="CH378" s="46"/>
      <c r="CI378" s="46"/>
      <c r="EK378" s="46"/>
      <c r="EL378" s="46"/>
      <c r="EM378" s="46"/>
      <c r="EN378" s="46"/>
    </row>
    <row r="379" spans="75:144" x14ac:dyDescent="0.3">
      <c r="BW379" s="46"/>
      <c r="BX379" s="46"/>
      <c r="BY379" s="46"/>
      <c r="BZ379" s="46"/>
      <c r="CA379" s="46"/>
      <c r="CB379" s="46"/>
      <c r="CC379" s="46"/>
      <c r="CE379" s="46"/>
      <c r="CF379" s="46"/>
      <c r="CG379" s="46"/>
      <c r="CH379" s="46"/>
      <c r="CI379" s="46"/>
      <c r="EK379" s="46"/>
      <c r="EL379" s="46"/>
      <c r="EM379" s="46"/>
      <c r="EN379" s="46"/>
    </row>
    <row r="380" spans="75:144" x14ac:dyDescent="0.3">
      <c r="BW380" s="46"/>
      <c r="BX380" s="46"/>
      <c r="BY380" s="46"/>
      <c r="BZ380" s="46"/>
      <c r="CA380" s="46"/>
      <c r="CB380" s="46"/>
      <c r="CC380" s="46"/>
      <c r="CE380" s="46"/>
      <c r="CF380" s="46"/>
      <c r="CG380" s="46"/>
      <c r="CH380" s="46"/>
      <c r="CI380" s="46"/>
      <c r="EK380" s="46"/>
      <c r="EL380" s="46"/>
      <c r="EM380" s="46"/>
      <c r="EN380" s="46"/>
    </row>
    <row r="381" spans="75:144" x14ac:dyDescent="0.3">
      <c r="BW381" s="46"/>
      <c r="BX381" s="46"/>
      <c r="BY381" s="46"/>
      <c r="BZ381" s="46"/>
      <c r="CA381" s="46"/>
      <c r="CB381" s="46"/>
      <c r="CC381" s="46"/>
      <c r="CE381" s="46"/>
      <c r="CF381" s="46"/>
      <c r="CG381" s="46"/>
      <c r="CH381" s="46"/>
      <c r="CI381" s="46"/>
      <c r="EK381" s="46"/>
      <c r="EL381" s="46"/>
      <c r="EM381" s="46"/>
      <c r="EN381" s="46"/>
    </row>
    <row r="382" spans="75:144" x14ac:dyDescent="0.3">
      <c r="BW382" s="46"/>
      <c r="BX382" s="46"/>
      <c r="BY382" s="46"/>
      <c r="BZ382" s="46"/>
      <c r="CA382" s="46"/>
      <c r="CB382" s="46"/>
      <c r="CC382" s="46"/>
      <c r="CE382" s="46"/>
      <c r="CF382" s="46"/>
      <c r="CG382" s="46"/>
      <c r="CH382" s="46"/>
      <c r="CI382" s="46"/>
      <c r="EK382" s="46"/>
      <c r="EL382" s="46"/>
      <c r="EM382" s="46"/>
      <c r="EN382" s="46"/>
    </row>
    <row r="383" spans="75:144" x14ac:dyDescent="0.3">
      <c r="BW383" s="46"/>
      <c r="BX383" s="46"/>
      <c r="BY383" s="46"/>
      <c r="BZ383" s="46"/>
      <c r="CA383" s="46"/>
      <c r="CB383" s="46"/>
      <c r="CC383" s="46"/>
      <c r="CE383" s="46"/>
      <c r="CF383" s="46"/>
      <c r="CG383" s="46"/>
      <c r="CH383" s="46"/>
      <c r="CI383" s="46"/>
      <c r="EK383" s="46"/>
      <c r="EL383" s="46"/>
      <c r="EM383" s="46"/>
      <c r="EN383" s="46"/>
    </row>
    <row r="384" spans="75:144" x14ac:dyDescent="0.3">
      <c r="BW384" s="46"/>
      <c r="BX384" s="46"/>
      <c r="BY384" s="46"/>
      <c r="BZ384" s="46"/>
      <c r="CA384" s="46"/>
      <c r="CB384" s="46"/>
      <c r="CC384" s="46"/>
      <c r="CE384" s="46"/>
      <c r="CF384" s="46"/>
      <c r="CG384" s="46"/>
      <c r="CH384" s="46"/>
      <c r="CI384" s="46"/>
      <c r="EK384" s="46"/>
      <c r="EL384" s="46"/>
      <c r="EM384" s="46"/>
      <c r="EN384" s="46"/>
    </row>
    <row r="385" spans="75:144" x14ac:dyDescent="0.3">
      <c r="BW385" s="46"/>
      <c r="BX385" s="46"/>
      <c r="BY385" s="46"/>
      <c r="BZ385" s="46"/>
      <c r="CA385" s="46"/>
      <c r="CB385" s="46"/>
      <c r="CC385" s="46"/>
      <c r="CE385" s="46"/>
      <c r="CF385" s="46"/>
      <c r="CG385" s="46"/>
      <c r="CH385" s="46"/>
      <c r="CI385" s="46"/>
      <c r="EK385" s="46"/>
      <c r="EL385" s="46"/>
      <c r="EM385" s="46"/>
      <c r="EN385" s="46"/>
    </row>
    <row r="386" spans="75:144" x14ac:dyDescent="0.3">
      <c r="BW386" s="46"/>
      <c r="BX386" s="46"/>
      <c r="BY386" s="46"/>
      <c r="BZ386" s="46"/>
      <c r="CA386" s="46"/>
      <c r="CB386" s="46"/>
      <c r="CC386" s="46"/>
      <c r="CE386" s="46"/>
      <c r="CF386" s="46"/>
      <c r="CG386" s="46"/>
      <c r="CH386" s="46"/>
      <c r="CI386" s="46"/>
      <c r="EK386" s="46"/>
      <c r="EL386" s="46"/>
      <c r="EM386" s="46"/>
      <c r="EN386" s="46"/>
    </row>
    <row r="387" spans="75:144" x14ac:dyDescent="0.3">
      <c r="BW387" s="46"/>
      <c r="BX387" s="46"/>
      <c r="BY387" s="46"/>
      <c r="BZ387" s="46"/>
      <c r="CA387" s="46"/>
      <c r="CB387" s="46"/>
      <c r="CC387" s="46"/>
      <c r="CE387" s="46"/>
      <c r="CF387" s="46"/>
      <c r="CG387" s="46"/>
      <c r="CH387" s="46"/>
      <c r="CI387" s="46"/>
      <c r="EK387" s="46"/>
      <c r="EL387" s="46"/>
      <c r="EM387" s="46"/>
      <c r="EN387" s="46"/>
    </row>
    <row r="388" spans="75:144" x14ac:dyDescent="0.3">
      <c r="BW388" s="46"/>
      <c r="BX388" s="46"/>
      <c r="BY388" s="46"/>
      <c r="BZ388" s="46"/>
      <c r="CA388" s="46"/>
      <c r="CB388" s="46"/>
      <c r="CC388" s="46"/>
      <c r="CE388" s="46"/>
      <c r="CF388" s="46"/>
      <c r="CG388" s="46"/>
      <c r="CH388" s="46"/>
      <c r="CI388" s="46"/>
      <c r="EK388" s="46"/>
      <c r="EL388" s="46"/>
      <c r="EM388" s="46"/>
      <c r="EN388" s="46"/>
    </row>
    <row r="389" spans="75:144" x14ac:dyDescent="0.3">
      <c r="BW389" s="46"/>
      <c r="BX389" s="46"/>
      <c r="BY389" s="46"/>
      <c r="BZ389" s="46"/>
      <c r="CA389" s="46"/>
      <c r="CB389" s="46"/>
      <c r="CC389" s="46"/>
      <c r="CE389" s="46"/>
      <c r="CF389" s="46"/>
      <c r="CG389" s="46"/>
      <c r="CH389" s="46"/>
      <c r="CI389" s="46"/>
      <c r="EK389" s="46"/>
      <c r="EL389" s="46"/>
      <c r="EM389" s="46"/>
      <c r="EN389" s="46"/>
    </row>
    <row r="390" spans="75:144" x14ac:dyDescent="0.3">
      <c r="BW390" s="46"/>
      <c r="BX390" s="46"/>
      <c r="BY390" s="46"/>
      <c r="BZ390" s="46"/>
      <c r="CA390" s="46"/>
      <c r="CB390" s="46"/>
      <c r="CC390" s="46"/>
      <c r="CE390" s="46"/>
      <c r="CF390" s="46"/>
      <c r="CG390" s="46"/>
      <c r="CH390" s="46"/>
      <c r="CI390" s="46"/>
      <c r="EK390" s="46"/>
      <c r="EL390" s="46"/>
      <c r="EM390" s="46"/>
      <c r="EN390" s="46"/>
    </row>
    <row r="391" spans="75:144" x14ac:dyDescent="0.3">
      <c r="BW391" s="46"/>
      <c r="BX391" s="46"/>
      <c r="BY391" s="46"/>
      <c r="BZ391" s="46"/>
      <c r="CA391" s="46"/>
      <c r="CB391" s="46"/>
      <c r="CC391" s="46"/>
      <c r="CE391" s="46"/>
      <c r="CF391" s="46"/>
      <c r="CG391" s="46"/>
      <c r="CH391" s="46"/>
      <c r="CI391" s="46"/>
      <c r="EK391" s="46"/>
      <c r="EL391" s="46"/>
      <c r="EM391" s="46"/>
      <c r="EN391" s="46"/>
    </row>
    <row r="392" spans="75:144" x14ac:dyDescent="0.3">
      <c r="BW392" s="46"/>
      <c r="BX392" s="46"/>
      <c r="BY392" s="46"/>
      <c r="BZ392" s="46"/>
      <c r="CA392" s="46"/>
      <c r="CB392" s="46"/>
      <c r="CC392" s="46"/>
      <c r="CE392" s="46"/>
      <c r="CF392" s="46"/>
      <c r="CG392" s="46"/>
      <c r="CH392" s="46"/>
      <c r="CI392" s="46"/>
      <c r="EK392" s="46"/>
      <c r="EL392" s="46"/>
      <c r="EM392" s="46"/>
      <c r="EN392" s="46"/>
    </row>
    <row r="393" spans="75:144" x14ac:dyDescent="0.3">
      <c r="BW393" s="46"/>
      <c r="BX393" s="46"/>
      <c r="BY393" s="46"/>
      <c r="BZ393" s="46"/>
      <c r="CA393" s="46"/>
      <c r="CB393" s="46"/>
      <c r="CC393" s="46"/>
      <c r="CE393" s="46"/>
      <c r="CF393" s="46"/>
      <c r="CG393" s="46"/>
      <c r="CH393" s="46"/>
      <c r="CI393" s="46"/>
      <c r="EK393" s="46"/>
      <c r="EL393" s="46"/>
      <c r="EM393" s="46"/>
      <c r="EN393" s="46"/>
    </row>
    <row r="394" spans="75:144" x14ac:dyDescent="0.3">
      <c r="BW394" s="46"/>
      <c r="BX394" s="46"/>
      <c r="BY394" s="46"/>
      <c r="BZ394" s="46"/>
      <c r="CA394" s="46"/>
      <c r="CB394" s="46"/>
      <c r="CC394" s="46"/>
      <c r="CE394" s="46"/>
      <c r="CF394" s="46"/>
      <c r="CG394" s="46"/>
      <c r="CH394" s="46"/>
      <c r="CI394" s="46"/>
      <c r="EK394" s="46"/>
      <c r="EL394" s="46"/>
      <c r="EM394" s="46"/>
      <c r="EN394" s="46"/>
    </row>
    <row r="395" spans="75:144" x14ac:dyDescent="0.3">
      <c r="BW395" s="46"/>
      <c r="BX395" s="46"/>
      <c r="BY395" s="46"/>
      <c r="BZ395" s="46"/>
      <c r="CA395" s="46"/>
      <c r="CB395" s="46"/>
      <c r="CC395" s="46"/>
      <c r="CE395" s="46"/>
      <c r="CF395" s="46"/>
      <c r="CG395" s="46"/>
      <c r="CH395" s="46"/>
      <c r="CI395" s="46"/>
      <c r="EK395" s="46"/>
      <c r="EL395" s="46"/>
      <c r="EM395" s="46"/>
      <c r="EN395" s="46"/>
    </row>
    <row r="396" spans="75:144" x14ac:dyDescent="0.3">
      <c r="BW396" s="46"/>
      <c r="BX396" s="46"/>
      <c r="BY396" s="46"/>
      <c r="BZ396" s="46"/>
      <c r="CA396" s="46"/>
      <c r="CB396" s="46"/>
      <c r="CC396" s="46"/>
      <c r="CE396" s="46"/>
      <c r="CF396" s="46"/>
      <c r="CG396" s="46"/>
      <c r="CH396" s="46"/>
      <c r="CI396" s="46"/>
      <c r="EK396" s="46"/>
      <c r="EL396" s="46"/>
      <c r="EM396" s="46"/>
      <c r="EN396" s="46"/>
    </row>
    <row r="397" spans="75:144" x14ac:dyDescent="0.3">
      <c r="BW397" s="46"/>
      <c r="BX397" s="46"/>
      <c r="BY397" s="46"/>
      <c r="BZ397" s="46"/>
      <c r="CA397" s="46"/>
      <c r="CB397" s="46"/>
      <c r="CC397" s="46"/>
      <c r="CE397" s="46"/>
      <c r="CF397" s="46"/>
      <c r="CG397" s="46"/>
      <c r="CH397" s="46"/>
      <c r="CI397" s="46"/>
      <c r="EK397" s="46"/>
      <c r="EL397" s="46"/>
      <c r="EM397" s="46"/>
      <c r="EN397" s="46"/>
    </row>
    <row r="398" spans="75:144" x14ac:dyDescent="0.3">
      <c r="BW398" s="46"/>
      <c r="BX398" s="46"/>
      <c r="BY398" s="46"/>
      <c r="BZ398" s="46"/>
      <c r="CA398" s="46"/>
      <c r="CB398" s="46"/>
      <c r="CC398" s="46"/>
      <c r="CE398" s="46"/>
      <c r="CF398" s="46"/>
      <c r="CG398" s="46"/>
      <c r="CH398" s="46"/>
      <c r="CI398" s="46"/>
      <c r="EK398" s="46"/>
      <c r="EL398" s="46"/>
      <c r="EM398" s="46"/>
      <c r="EN398" s="46"/>
    </row>
    <row r="399" spans="75:144" x14ac:dyDescent="0.3">
      <c r="BW399" s="46"/>
      <c r="BX399" s="46"/>
      <c r="BY399" s="46"/>
      <c r="BZ399" s="46"/>
      <c r="CA399" s="46"/>
      <c r="CB399" s="46"/>
      <c r="CC399" s="46"/>
      <c r="CE399" s="46"/>
      <c r="CF399" s="46"/>
      <c r="CG399" s="46"/>
      <c r="CH399" s="46"/>
      <c r="CI399" s="46"/>
      <c r="EK399" s="46"/>
      <c r="EL399" s="46"/>
      <c r="EM399" s="46"/>
      <c r="EN399" s="46"/>
    </row>
    <row r="400" spans="75:144" x14ac:dyDescent="0.3">
      <c r="BW400" s="46"/>
      <c r="BX400" s="46"/>
      <c r="BY400" s="46"/>
      <c r="BZ400" s="46"/>
      <c r="CA400" s="46"/>
      <c r="CB400" s="46"/>
      <c r="CC400" s="46"/>
      <c r="CE400" s="46"/>
      <c r="CF400" s="46"/>
      <c r="CG400" s="46"/>
      <c r="CH400" s="46"/>
      <c r="CI400" s="46"/>
      <c r="EK400" s="46"/>
      <c r="EL400" s="46"/>
      <c r="EM400" s="46"/>
      <c r="EN400" s="46"/>
    </row>
    <row r="401" spans="75:144" x14ac:dyDescent="0.3">
      <c r="BW401" s="46"/>
      <c r="BX401" s="46"/>
      <c r="BY401" s="46"/>
      <c r="BZ401" s="46"/>
      <c r="CA401" s="46"/>
      <c r="CB401" s="46"/>
      <c r="CC401" s="46"/>
      <c r="CE401" s="46"/>
      <c r="CF401" s="46"/>
      <c r="CG401" s="46"/>
      <c r="CH401" s="46"/>
      <c r="CI401" s="46"/>
      <c r="EK401" s="46"/>
      <c r="EL401" s="46"/>
      <c r="EM401" s="46"/>
      <c r="EN401" s="46"/>
    </row>
    <row r="402" spans="75:144" x14ac:dyDescent="0.3">
      <c r="BW402" s="46"/>
      <c r="BX402" s="46"/>
      <c r="BY402" s="46"/>
      <c r="BZ402" s="46"/>
      <c r="CA402" s="46"/>
      <c r="CB402" s="46"/>
      <c r="CC402" s="46"/>
      <c r="CE402" s="46"/>
      <c r="CF402" s="46"/>
      <c r="CG402" s="46"/>
      <c r="CH402" s="46"/>
      <c r="CI402" s="46"/>
      <c r="EK402" s="46"/>
      <c r="EL402" s="46"/>
      <c r="EM402" s="46"/>
      <c r="EN402" s="46"/>
    </row>
    <row r="403" spans="75:144" x14ac:dyDescent="0.3">
      <c r="BW403" s="46"/>
      <c r="BX403" s="46"/>
      <c r="BY403" s="46"/>
      <c r="BZ403" s="46"/>
      <c r="CA403" s="46"/>
      <c r="CB403" s="46"/>
      <c r="CC403" s="46"/>
      <c r="CE403" s="46"/>
      <c r="CF403" s="46"/>
      <c r="CG403" s="46"/>
      <c r="CH403" s="46"/>
      <c r="CI403" s="46"/>
      <c r="EK403" s="46"/>
      <c r="EL403" s="46"/>
      <c r="EM403" s="46"/>
      <c r="EN403" s="46"/>
    </row>
    <row r="404" spans="75:144" x14ac:dyDescent="0.3">
      <c r="BW404" s="46"/>
      <c r="BX404" s="46"/>
      <c r="BY404" s="46"/>
      <c r="BZ404" s="46"/>
      <c r="CA404" s="46"/>
      <c r="CB404" s="46"/>
      <c r="CC404" s="46"/>
      <c r="CE404" s="46"/>
      <c r="CF404" s="46"/>
      <c r="CG404" s="46"/>
      <c r="CH404" s="46"/>
      <c r="CI404" s="46"/>
      <c r="EK404" s="46"/>
      <c r="EL404" s="46"/>
      <c r="EM404" s="46"/>
      <c r="EN404" s="46"/>
    </row>
    <row r="405" spans="75:144" x14ac:dyDescent="0.3">
      <c r="BW405" s="46"/>
      <c r="BX405" s="46"/>
      <c r="BY405" s="46"/>
      <c r="BZ405" s="46"/>
      <c r="CA405" s="46"/>
      <c r="CB405" s="46"/>
      <c r="CC405" s="46"/>
      <c r="CE405" s="46"/>
      <c r="CF405" s="46"/>
      <c r="CG405" s="46"/>
      <c r="CH405" s="46"/>
      <c r="CI405" s="46"/>
      <c r="EK405" s="46"/>
      <c r="EL405" s="46"/>
      <c r="EM405" s="46"/>
      <c r="EN405" s="46"/>
    </row>
    <row r="406" spans="75:144" x14ac:dyDescent="0.3">
      <c r="BW406" s="46"/>
      <c r="BX406" s="46"/>
      <c r="BY406" s="46"/>
      <c r="BZ406" s="46"/>
      <c r="CA406" s="46"/>
      <c r="CB406" s="46"/>
      <c r="CC406" s="46"/>
      <c r="CE406" s="46"/>
      <c r="CF406" s="46"/>
      <c r="CG406" s="46"/>
      <c r="CH406" s="46"/>
      <c r="CI406" s="46"/>
      <c r="EK406" s="46"/>
      <c r="EL406" s="46"/>
      <c r="EM406" s="46"/>
      <c r="EN406" s="46"/>
    </row>
    <row r="407" spans="75:144" x14ac:dyDescent="0.3">
      <c r="BW407" s="46"/>
      <c r="BX407" s="46"/>
      <c r="BY407" s="46"/>
      <c r="BZ407" s="46"/>
      <c r="CA407" s="46"/>
      <c r="CB407" s="46"/>
      <c r="CC407" s="46"/>
      <c r="CE407" s="46"/>
      <c r="CF407" s="46"/>
      <c r="CG407" s="46"/>
      <c r="CH407" s="46"/>
      <c r="CI407" s="46"/>
      <c r="EK407" s="46"/>
      <c r="EL407" s="46"/>
      <c r="EM407" s="46"/>
      <c r="EN407" s="46"/>
    </row>
    <row r="408" spans="75:144" x14ac:dyDescent="0.3">
      <c r="BW408" s="46"/>
      <c r="BX408" s="46"/>
      <c r="BY408" s="46"/>
      <c r="BZ408" s="46"/>
      <c r="CA408" s="46"/>
      <c r="CB408" s="46"/>
      <c r="CC408" s="46"/>
      <c r="CE408" s="46"/>
      <c r="CF408" s="46"/>
      <c r="CG408" s="46"/>
      <c r="CH408" s="46"/>
      <c r="CI408" s="46"/>
      <c r="EK408" s="46"/>
      <c r="EL408" s="46"/>
      <c r="EM408" s="46"/>
      <c r="EN408" s="46"/>
    </row>
    <row r="409" spans="75:144" x14ac:dyDescent="0.3">
      <c r="BW409" s="46"/>
      <c r="BX409" s="46"/>
      <c r="BY409" s="46"/>
      <c r="BZ409" s="46"/>
      <c r="CA409" s="46"/>
      <c r="CB409" s="46"/>
      <c r="CC409" s="46"/>
      <c r="CE409" s="46"/>
      <c r="CF409" s="46"/>
      <c r="CG409" s="46"/>
      <c r="CH409" s="46"/>
      <c r="CI409" s="46"/>
      <c r="EK409" s="46"/>
      <c r="EL409" s="46"/>
      <c r="EM409" s="46"/>
      <c r="EN409" s="46"/>
    </row>
    <row r="410" spans="75:144" x14ac:dyDescent="0.3">
      <c r="BW410" s="46"/>
      <c r="BX410" s="46"/>
      <c r="BY410" s="46"/>
      <c r="BZ410" s="46"/>
      <c r="CA410" s="46"/>
      <c r="CB410" s="46"/>
      <c r="CC410" s="46"/>
      <c r="CE410" s="46"/>
      <c r="CF410" s="46"/>
      <c r="CG410" s="46"/>
      <c r="CH410" s="46"/>
      <c r="CI410" s="46"/>
      <c r="EK410" s="46"/>
      <c r="EL410" s="46"/>
      <c r="EM410" s="46"/>
      <c r="EN410" s="46"/>
    </row>
    <row r="411" spans="75:144" x14ac:dyDescent="0.3">
      <c r="BW411" s="46"/>
      <c r="BX411" s="46"/>
      <c r="BY411" s="46"/>
      <c r="BZ411" s="46"/>
      <c r="CA411" s="46"/>
      <c r="CB411" s="46"/>
      <c r="CC411" s="46"/>
      <c r="CE411" s="46"/>
      <c r="CF411" s="46"/>
      <c r="CG411" s="46"/>
      <c r="CH411" s="46"/>
      <c r="CI411" s="46"/>
      <c r="EK411" s="46"/>
      <c r="EL411" s="46"/>
      <c r="EM411" s="46"/>
      <c r="EN411" s="46"/>
    </row>
    <row r="412" spans="75:144" x14ac:dyDescent="0.3">
      <c r="BW412" s="46"/>
      <c r="BX412" s="46"/>
      <c r="BY412" s="46"/>
      <c r="BZ412" s="46"/>
      <c r="CA412" s="46"/>
      <c r="CB412" s="46"/>
      <c r="CC412" s="46"/>
      <c r="CE412" s="46"/>
      <c r="CF412" s="46"/>
      <c r="CG412" s="46"/>
      <c r="CH412" s="46"/>
      <c r="CI412" s="46"/>
      <c r="EK412" s="46"/>
      <c r="EL412" s="46"/>
      <c r="EM412" s="46"/>
      <c r="EN412" s="46"/>
    </row>
    <row r="413" spans="75:144" x14ac:dyDescent="0.3">
      <c r="BW413" s="46"/>
      <c r="BX413" s="46"/>
      <c r="BY413" s="46"/>
      <c r="BZ413" s="46"/>
      <c r="CA413" s="46"/>
      <c r="CB413" s="46"/>
      <c r="CC413" s="46"/>
      <c r="CE413" s="46"/>
      <c r="CF413" s="46"/>
      <c r="CG413" s="46"/>
      <c r="CH413" s="46"/>
      <c r="CI413" s="46"/>
      <c r="EK413" s="46"/>
      <c r="EL413" s="46"/>
      <c r="EM413" s="46"/>
      <c r="EN413" s="46"/>
    </row>
    <row r="414" spans="75:144" x14ac:dyDescent="0.3">
      <c r="BW414" s="46"/>
      <c r="BX414" s="46"/>
      <c r="BY414" s="46"/>
      <c r="BZ414" s="46"/>
      <c r="CA414" s="46"/>
      <c r="CB414" s="46"/>
      <c r="CC414" s="46"/>
      <c r="CE414" s="46"/>
      <c r="CF414" s="46"/>
      <c r="CG414" s="46"/>
      <c r="CH414" s="46"/>
      <c r="CI414" s="46"/>
      <c r="EK414" s="46"/>
      <c r="EL414" s="46"/>
      <c r="EM414" s="46"/>
      <c r="EN414" s="46"/>
    </row>
    <row r="415" spans="75:144" x14ac:dyDescent="0.3">
      <c r="BW415" s="46"/>
      <c r="BX415" s="46"/>
      <c r="BY415" s="46"/>
      <c r="BZ415" s="46"/>
      <c r="CA415" s="46"/>
      <c r="CB415" s="46"/>
      <c r="CC415" s="46"/>
      <c r="CE415" s="46"/>
      <c r="CF415" s="46"/>
      <c r="CG415" s="46"/>
      <c r="CH415" s="46"/>
      <c r="CI415" s="46"/>
      <c r="EK415" s="46"/>
      <c r="EL415" s="46"/>
      <c r="EM415" s="46"/>
      <c r="EN415" s="46"/>
    </row>
    <row r="416" spans="75:144" x14ac:dyDescent="0.3">
      <c r="BW416" s="46"/>
      <c r="BX416" s="46"/>
      <c r="BY416" s="46"/>
      <c r="BZ416" s="46"/>
      <c r="CA416" s="46"/>
      <c r="CB416" s="46"/>
      <c r="CC416" s="46"/>
      <c r="CE416" s="46"/>
      <c r="CF416" s="46"/>
      <c r="CG416" s="46"/>
      <c r="CH416" s="46"/>
      <c r="CI416" s="46"/>
      <c r="EK416" s="46"/>
      <c r="EL416" s="46"/>
      <c r="EM416" s="46"/>
      <c r="EN416" s="46"/>
    </row>
    <row r="417" spans="75:144" x14ac:dyDescent="0.3">
      <c r="BW417" s="46"/>
      <c r="BX417" s="46"/>
      <c r="BY417" s="46"/>
      <c r="BZ417" s="46"/>
      <c r="CA417" s="46"/>
      <c r="CB417" s="46"/>
      <c r="CC417" s="46"/>
      <c r="CE417" s="46"/>
      <c r="CF417" s="46"/>
      <c r="CG417" s="46"/>
      <c r="CH417" s="46"/>
      <c r="CI417" s="46"/>
      <c r="EK417" s="46"/>
      <c r="EL417" s="46"/>
      <c r="EM417" s="46"/>
      <c r="EN417" s="46"/>
    </row>
    <row r="418" spans="75:144" x14ac:dyDescent="0.3">
      <c r="BW418" s="46"/>
      <c r="BX418" s="46"/>
      <c r="BY418" s="46"/>
      <c r="BZ418" s="46"/>
      <c r="CA418" s="46"/>
      <c r="CB418" s="46"/>
      <c r="CC418" s="46"/>
      <c r="CE418" s="46"/>
      <c r="CF418" s="46"/>
      <c r="CG418" s="46"/>
      <c r="CH418" s="46"/>
      <c r="CI418" s="46"/>
      <c r="EK418" s="46"/>
      <c r="EL418" s="46"/>
      <c r="EM418" s="46"/>
      <c r="EN418" s="46"/>
    </row>
    <row r="419" spans="75:144" x14ac:dyDescent="0.3">
      <c r="BW419" s="46"/>
      <c r="BX419" s="46"/>
      <c r="BY419" s="46"/>
      <c r="BZ419" s="46"/>
      <c r="CA419" s="46"/>
      <c r="CB419" s="46"/>
      <c r="CC419" s="46"/>
      <c r="CE419" s="46"/>
      <c r="CF419" s="46"/>
      <c r="CG419" s="46"/>
      <c r="CH419" s="46"/>
      <c r="CI419" s="46"/>
      <c r="EK419" s="46"/>
      <c r="EL419" s="46"/>
      <c r="EM419" s="46"/>
      <c r="EN419" s="46"/>
    </row>
    <row r="420" spans="75:144" x14ac:dyDescent="0.3">
      <c r="BW420" s="46"/>
      <c r="BX420" s="46"/>
      <c r="BY420" s="46"/>
      <c r="BZ420" s="46"/>
      <c r="CA420" s="46"/>
      <c r="CB420" s="46"/>
      <c r="CC420" s="46"/>
      <c r="CE420" s="46"/>
      <c r="CF420" s="46"/>
      <c r="CG420" s="46"/>
      <c r="CH420" s="46"/>
      <c r="CI420" s="46"/>
      <c r="EK420" s="46"/>
      <c r="EL420" s="46"/>
      <c r="EM420" s="46"/>
      <c r="EN420" s="46"/>
    </row>
    <row r="421" spans="75:144" x14ac:dyDescent="0.3">
      <c r="BW421" s="46"/>
      <c r="BX421" s="46"/>
      <c r="BY421" s="46"/>
      <c r="BZ421" s="46"/>
      <c r="CA421" s="46"/>
      <c r="CB421" s="46"/>
      <c r="CC421" s="46"/>
      <c r="CE421" s="46"/>
      <c r="CF421" s="46"/>
      <c r="CG421" s="46"/>
      <c r="CH421" s="46"/>
      <c r="CI421" s="46"/>
      <c r="EK421" s="46"/>
      <c r="EL421" s="46"/>
      <c r="EM421" s="46"/>
      <c r="EN421" s="46"/>
    </row>
    <row r="422" spans="75:144" x14ac:dyDescent="0.3">
      <c r="BW422" s="46"/>
      <c r="BX422" s="46"/>
      <c r="BY422" s="46"/>
      <c r="BZ422" s="46"/>
      <c r="CA422" s="46"/>
      <c r="CB422" s="46"/>
      <c r="CC422" s="46"/>
      <c r="CE422" s="46"/>
      <c r="CF422" s="46"/>
      <c r="CG422" s="46"/>
      <c r="CH422" s="46"/>
      <c r="CI422" s="46"/>
      <c r="EK422" s="46"/>
      <c r="EL422" s="46"/>
      <c r="EM422" s="46"/>
      <c r="EN422" s="46"/>
    </row>
    <row r="423" spans="75:144" x14ac:dyDescent="0.3">
      <c r="BW423" s="46"/>
      <c r="BX423" s="46"/>
      <c r="BY423" s="46"/>
      <c r="BZ423" s="46"/>
      <c r="CA423" s="46"/>
      <c r="CB423" s="46"/>
      <c r="CC423" s="46"/>
      <c r="CE423" s="46"/>
      <c r="CF423" s="46"/>
      <c r="CG423" s="46"/>
      <c r="CH423" s="46"/>
      <c r="CI423" s="46"/>
      <c r="EK423" s="46"/>
      <c r="EL423" s="46"/>
      <c r="EM423" s="46"/>
      <c r="EN423" s="46"/>
    </row>
    <row r="424" spans="75:144" x14ac:dyDescent="0.3">
      <c r="BW424" s="46"/>
      <c r="BX424" s="46"/>
      <c r="BY424" s="46"/>
      <c r="BZ424" s="46"/>
      <c r="CA424" s="46"/>
      <c r="CB424" s="46"/>
      <c r="CC424" s="46"/>
      <c r="CE424" s="46"/>
      <c r="CF424" s="46"/>
      <c r="CG424" s="46"/>
      <c r="CH424" s="46"/>
      <c r="CI424" s="46"/>
      <c r="EK424" s="46"/>
      <c r="EL424" s="46"/>
      <c r="EM424" s="46"/>
      <c r="EN424" s="46"/>
    </row>
    <row r="425" spans="75:144" x14ac:dyDescent="0.3">
      <c r="BW425" s="46"/>
      <c r="BX425" s="46"/>
      <c r="BY425" s="46"/>
      <c r="BZ425" s="46"/>
      <c r="CA425" s="46"/>
      <c r="CB425" s="46"/>
      <c r="CC425" s="46"/>
      <c r="CE425" s="46"/>
      <c r="CF425" s="46"/>
      <c r="CG425" s="46"/>
      <c r="CH425" s="46"/>
      <c r="CI425" s="46"/>
      <c r="EK425" s="46"/>
      <c r="EL425" s="46"/>
      <c r="EM425" s="46"/>
      <c r="EN425" s="46"/>
    </row>
    <row r="426" spans="75:144" x14ac:dyDescent="0.3">
      <c r="BW426" s="46"/>
      <c r="BX426" s="46"/>
      <c r="BY426" s="46"/>
      <c r="BZ426" s="46"/>
      <c r="CA426" s="46"/>
      <c r="CB426" s="46"/>
      <c r="CC426" s="46"/>
      <c r="CE426" s="46"/>
      <c r="CF426" s="46"/>
      <c r="CG426" s="46"/>
      <c r="CH426" s="46"/>
      <c r="CI426" s="46"/>
      <c r="EK426" s="46"/>
      <c r="EL426" s="46"/>
      <c r="EM426" s="46"/>
      <c r="EN426" s="46"/>
    </row>
    <row r="427" spans="75:144" x14ac:dyDescent="0.3">
      <c r="BW427" s="46"/>
      <c r="BX427" s="46"/>
      <c r="BY427" s="46"/>
      <c r="BZ427" s="46"/>
      <c r="CA427" s="46"/>
      <c r="CB427" s="46"/>
      <c r="CC427" s="46"/>
      <c r="CE427" s="46"/>
      <c r="CF427" s="46"/>
      <c r="CG427" s="46"/>
      <c r="CH427" s="46"/>
      <c r="CI427" s="46"/>
      <c r="EK427" s="46"/>
      <c r="EL427" s="46"/>
      <c r="EM427" s="46"/>
      <c r="EN427" s="46"/>
    </row>
    <row r="428" spans="75:144" x14ac:dyDescent="0.3">
      <c r="BW428" s="46"/>
      <c r="BX428" s="46"/>
      <c r="BY428" s="46"/>
      <c r="BZ428" s="46"/>
      <c r="CA428" s="46"/>
      <c r="CB428" s="46"/>
      <c r="CC428" s="46"/>
      <c r="CE428" s="46"/>
      <c r="CF428" s="46"/>
      <c r="CG428" s="46"/>
      <c r="CH428" s="46"/>
      <c r="CI428" s="46"/>
      <c r="EK428" s="46"/>
      <c r="EL428" s="46"/>
      <c r="EM428" s="46"/>
      <c r="EN428" s="46"/>
    </row>
    <row r="429" spans="75:144" x14ac:dyDescent="0.3">
      <c r="BW429" s="46"/>
      <c r="BX429" s="46"/>
      <c r="BY429" s="46"/>
      <c r="BZ429" s="46"/>
      <c r="CA429" s="46"/>
      <c r="CB429" s="46"/>
      <c r="CC429" s="46"/>
      <c r="CE429" s="46"/>
      <c r="CF429" s="46"/>
      <c r="CG429" s="46"/>
      <c r="CH429" s="46"/>
      <c r="CI429" s="46"/>
      <c r="EK429" s="46"/>
      <c r="EL429" s="46"/>
      <c r="EM429" s="46"/>
      <c r="EN429" s="46"/>
    </row>
    <row r="430" spans="75:144" x14ac:dyDescent="0.3">
      <c r="BW430" s="46"/>
      <c r="BX430" s="46"/>
      <c r="BY430" s="46"/>
      <c r="BZ430" s="46"/>
      <c r="CA430" s="46"/>
      <c r="CB430" s="46"/>
      <c r="CC430" s="46"/>
      <c r="CE430" s="46"/>
      <c r="CF430" s="46"/>
      <c r="CG430" s="46"/>
      <c r="CH430" s="46"/>
      <c r="CI430" s="46"/>
      <c r="EK430" s="46"/>
      <c r="EL430" s="46"/>
      <c r="EM430" s="46"/>
      <c r="EN430" s="46"/>
    </row>
    <row r="431" spans="75:144" x14ac:dyDescent="0.3">
      <c r="BW431" s="46"/>
      <c r="BX431" s="46"/>
      <c r="BY431" s="46"/>
      <c r="BZ431" s="46"/>
      <c r="CA431" s="46"/>
      <c r="CB431" s="46"/>
      <c r="CC431" s="46"/>
      <c r="CE431" s="46"/>
      <c r="CF431" s="46"/>
      <c r="CG431" s="46"/>
      <c r="CH431" s="46"/>
      <c r="CI431" s="46"/>
      <c r="EK431" s="46"/>
      <c r="EL431" s="46"/>
      <c r="EM431" s="46"/>
      <c r="EN431" s="46"/>
    </row>
    <row r="432" spans="75:144" x14ac:dyDescent="0.3">
      <c r="BW432" s="46"/>
      <c r="BX432" s="46"/>
      <c r="BY432" s="46"/>
      <c r="BZ432" s="46"/>
      <c r="CA432" s="46"/>
      <c r="CB432" s="46"/>
      <c r="CC432" s="46"/>
      <c r="CE432" s="46"/>
      <c r="CF432" s="46"/>
      <c r="CG432" s="46"/>
      <c r="CH432" s="46"/>
      <c r="CI432" s="46"/>
      <c r="EK432" s="46"/>
      <c r="EL432" s="46"/>
      <c r="EM432" s="46"/>
      <c r="EN432" s="46"/>
    </row>
    <row r="433" spans="75:144" x14ac:dyDescent="0.3">
      <c r="BW433" s="46"/>
      <c r="BX433" s="46"/>
      <c r="BY433" s="46"/>
      <c r="BZ433" s="46"/>
      <c r="CA433" s="46"/>
      <c r="CB433" s="46"/>
      <c r="CC433" s="46"/>
      <c r="CE433" s="46"/>
      <c r="CF433" s="46"/>
      <c r="CG433" s="46"/>
      <c r="CH433" s="46"/>
      <c r="CI433" s="46"/>
      <c r="EK433" s="46"/>
      <c r="EL433" s="46"/>
      <c r="EM433" s="46"/>
      <c r="EN433" s="46"/>
    </row>
    <row r="434" spans="75:144" x14ac:dyDescent="0.3">
      <c r="BW434" s="46"/>
      <c r="BX434" s="46"/>
      <c r="BY434" s="46"/>
      <c r="BZ434" s="46"/>
      <c r="CA434" s="46"/>
      <c r="CB434" s="46"/>
      <c r="CC434" s="46"/>
      <c r="CE434" s="46"/>
      <c r="CF434" s="46"/>
      <c r="CG434" s="46"/>
      <c r="CH434" s="46"/>
      <c r="CI434" s="46"/>
      <c r="EK434" s="46"/>
      <c r="EL434" s="46"/>
      <c r="EM434" s="46"/>
      <c r="EN434" s="46"/>
    </row>
    <row r="435" spans="75:144" x14ac:dyDescent="0.3">
      <c r="BW435" s="46"/>
      <c r="BX435" s="46"/>
      <c r="BY435" s="46"/>
      <c r="BZ435" s="46"/>
      <c r="CA435" s="46"/>
      <c r="CB435" s="46"/>
      <c r="CC435" s="46"/>
      <c r="CE435" s="46"/>
      <c r="CF435" s="46"/>
      <c r="CG435" s="46"/>
      <c r="CH435" s="46"/>
      <c r="CI435" s="46"/>
      <c r="EK435" s="46"/>
      <c r="EL435" s="46"/>
      <c r="EM435" s="46"/>
      <c r="EN435" s="46"/>
    </row>
    <row r="436" spans="75:144" x14ac:dyDescent="0.3">
      <c r="BW436" s="46"/>
      <c r="BX436" s="46"/>
      <c r="BY436" s="46"/>
      <c r="BZ436" s="46"/>
      <c r="CA436" s="46"/>
      <c r="CB436" s="46"/>
      <c r="CC436" s="46"/>
      <c r="CE436" s="46"/>
      <c r="CF436" s="46"/>
      <c r="CG436" s="46"/>
      <c r="CH436" s="46"/>
      <c r="CI436" s="46"/>
      <c r="EK436" s="46"/>
      <c r="EL436" s="46"/>
      <c r="EM436" s="46"/>
      <c r="EN436" s="46"/>
    </row>
    <row r="437" spans="75:144" x14ac:dyDescent="0.3">
      <c r="BW437" s="46"/>
      <c r="BX437" s="46"/>
      <c r="BY437" s="46"/>
      <c r="BZ437" s="46"/>
      <c r="CA437" s="46"/>
      <c r="CB437" s="46"/>
      <c r="CC437" s="46"/>
      <c r="CE437" s="46"/>
      <c r="CF437" s="46"/>
      <c r="CG437" s="46"/>
      <c r="CH437" s="46"/>
      <c r="CI437" s="46"/>
      <c r="EK437" s="46"/>
      <c r="EL437" s="46"/>
      <c r="EM437" s="46"/>
      <c r="EN437" s="46"/>
    </row>
    <row r="438" spans="75:144" x14ac:dyDescent="0.3">
      <c r="BW438" s="46"/>
      <c r="BX438" s="46"/>
      <c r="BY438" s="46"/>
      <c r="BZ438" s="46"/>
      <c r="CA438" s="46"/>
      <c r="CB438" s="46"/>
      <c r="CC438" s="46"/>
      <c r="CE438" s="46"/>
      <c r="CF438" s="46"/>
      <c r="CG438" s="46"/>
      <c r="CH438" s="46"/>
      <c r="CI438" s="46"/>
      <c r="EK438" s="46"/>
      <c r="EL438" s="46"/>
      <c r="EM438" s="46"/>
      <c r="EN438" s="46"/>
    </row>
    <row r="439" spans="75:144" x14ac:dyDescent="0.3">
      <c r="BW439" s="46"/>
      <c r="BX439" s="46"/>
      <c r="BY439" s="46"/>
      <c r="BZ439" s="46"/>
      <c r="CA439" s="46"/>
      <c r="CB439" s="46"/>
      <c r="CC439" s="46"/>
      <c r="CE439" s="46"/>
      <c r="CF439" s="46"/>
      <c r="CG439" s="46"/>
      <c r="CH439" s="46"/>
      <c r="CI439" s="46"/>
      <c r="EK439" s="46"/>
      <c r="EL439" s="46"/>
      <c r="EM439" s="46"/>
      <c r="EN439" s="46"/>
    </row>
    <row r="440" spans="75:144" x14ac:dyDescent="0.3">
      <c r="BW440" s="46"/>
      <c r="BX440" s="46"/>
      <c r="BY440" s="46"/>
      <c r="BZ440" s="46"/>
      <c r="CA440" s="46"/>
      <c r="CB440" s="46"/>
      <c r="CC440" s="46"/>
      <c r="CE440" s="46"/>
      <c r="CF440" s="46"/>
      <c r="CG440" s="46"/>
      <c r="CH440" s="46"/>
      <c r="CI440" s="46"/>
      <c r="EK440" s="46"/>
      <c r="EL440" s="46"/>
      <c r="EM440" s="46"/>
      <c r="EN440" s="46"/>
    </row>
    <row r="441" spans="75:144" x14ac:dyDescent="0.3">
      <c r="BW441" s="46"/>
      <c r="BX441" s="46"/>
      <c r="BY441" s="46"/>
      <c r="BZ441" s="46"/>
      <c r="CA441" s="46"/>
      <c r="CB441" s="46"/>
      <c r="CC441" s="46"/>
      <c r="CE441" s="46"/>
      <c r="CF441" s="46"/>
      <c r="CG441" s="46"/>
      <c r="CH441" s="46"/>
      <c r="CI441" s="46"/>
      <c r="EK441" s="46"/>
      <c r="EL441" s="46"/>
      <c r="EM441" s="46"/>
      <c r="EN441" s="46"/>
    </row>
    <row r="442" spans="75:144" x14ac:dyDescent="0.3">
      <c r="BW442" s="46"/>
      <c r="BX442" s="46"/>
      <c r="BY442" s="46"/>
      <c r="BZ442" s="46"/>
      <c r="CA442" s="46"/>
      <c r="CB442" s="46"/>
      <c r="CC442" s="46"/>
      <c r="CE442" s="46"/>
      <c r="CF442" s="46"/>
      <c r="CG442" s="46"/>
      <c r="CH442" s="46"/>
      <c r="CI442" s="46"/>
      <c r="EK442" s="46"/>
      <c r="EL442" s="46"/>
      <c r="EM442" s="46"/>
      <c r="EN442" s="46"/>
    </row>
    <row r="443" spans="75:144" x14ac:dyDescent="0.3">
      <c r="BW443" s="46"/>
      <c r="BX443" s="46"/>
      <c r="BY443" s="46"/>
      <c r="BZ443" s="46"/>
      <c r="CA443" s="46"/>
      <c r="CB443" s="46"/>
      <c r="CC443" s="46"/>
      <c r="CE443" s="46"/>
      <c r="CF443" s="46"/>
      <c r="CG443" s="46"/>
      <c r="CH443" s="46"/>
      <c r="CI443" s="46"/>
      <c r="EK443" s="46"/>
      <c r="EL443" s="46"/>
      <c r="EM443" s="46"/>
      <c r="EN443" s="46"/>
    </row>
    <row r="444" spans="75:144" x14ac:dyDescent="0.3">
      <c r="BW444" s="46"/>
      <c r="BX444" s="46"/>
      <c r="BY444" s="46"/>
      <c r="BZ444" s="46"/>
      <c r="CA444" s="46"/>
      <c r="CB444" s="46"/>
      <c r="CC444" s="46"/>
      <c r="CE444" s="46"/>
      <c r="CF444" s="46"/>
      <c r="CG444" s="46"/>
      <c r="CH444" s="46"/>
      <c r="CI444" s="46"/>
      <c r="EK444" s="46"/>
      <c r="EL444" s="46"/>
      <c r="EM444" s="46"/>
      <c r="EN444" s="46"/>
    </row>
    <row r="445" spans="75:144" x14ac:dyDescent="0.3">
      <c r="BW445" s="46"/>
      <c r="BX445" s="46"/>
      <c r="BY445" s="46"/>
      <c r="BZ445" s="46"/>
      <c r="CA445" s="46"/>
      <c r="CB445" s="46"/>
      <c r="CC445" s="46"/>
      <c r="CE445" s="46"/>
      <c r="CF445" s="46"/>
      <c r="CG445" s="46"/>
      <c r="CH445" s="46"/>
      <c r="CI445" s="46"/>
      <c r="EK445" s="46"/>
      <c r="EL445" s="46"/>
      <c r="EM445" s="46"/>
      <c r="EN445" s="46"/>
    </row>
    <row r="446" spans="75:144" x14ac:dyDescent="0.3">
      <c r="BW446" s="46"/>
      <c r="BX446" s="46"/>
      <c r="BY446" s="46"/>
      <c r="BZ446" s="46"/>
      <c r="CA446" s="46"/>
      <c r="CB446" s="46"/>
      <c r="CC446" s="46"/>
      <c r="CE446" s="46"/>
      <c r="CF446" s="46"/>
      <c r="CG446" s="46"/>
      <c r="CH446" s="46"/>
      <c r="CI446" s="46"/>
      <c r="EK446" s="46"/>
      <c r="EL446" s="46"/>
      <c r="EM446" s="46"/>
      <c r="EN446" s="46"/>
    </row>
    <row r="447" spans="75:144" x14ac:dyDescent="0.3">
      <c r="BW447" s="46"/>
      <c r="BX447" s="46"/>
      <c r="BY447" s="46"/>
      <c r="BZ447" s="46"/>
      <c r="CA447" s="46"/>
      <c r="CB447" s="46"/>
      <c r="CC447" s="46"/>
      <c r="CE447" s="46"/>
      <c r="CF447" s="46"/>
      <c r="CG447" s="46"/>
      <c r="CH447" s="46"/>
      <c r="CI447" s="46"/>
      <c r="EK447" s="46"/>
      <c r="EL447" s="46"/>
      <c r="EM447" s="46"/>
      <c r="EN447" s="46"/>
    </row>
    <row r="448" spans="75:144" x14ac:dyDescent="0.3">
      <c r="BW448" s="46"/>
      <c r="BX448" s="46"/>
      <c r="BY448" s="46"/>
      <c r="BZ448" s="46"/>
      <c r="CA448" s="46"/>
      <c r="CB448" s="46"/>
      <c r="CC448" s="46"/>
      <c r="CE448" s="46"/>
      <c r="CF448" s="46"/>
      <c r="CG448" s="46"/>
      <c r="CH448" s="46"/>
      <c r="CI448" s="46"/>
      <c r="EK448" s="46"/>
      <c r="EL448" s="46"/>
      <c r="EM448" s="46"/>
      <c r="EN448" s="46"/>
    </row>
    <row r="449" spans="75:144" x14ac:dyDescent="0.3">
      <c r="BW449" s="46"/>
      <c r="BX449" s="46"/>
      <c r="BY449" s="46"/>
      <c r="BZ449" s="46"/>
      <c r="CA449" s="46"/>
      <c r="CB449" s="46"/>
      <c r="CC449" s="46"/>
      <c r="CE449" s="46"/>
      <c r="CF449" s="46"/>
      <c r="CG449" s="46"/>
      <c r="CH449" s="46"/>
      <c r="CI449" s="46"/>
      <c r="EK449" s="46"/>
      <c r="EL449" s="46"/>
      <c r="EM449" s="46"/>
      <c r="EN449" s="46"/>
    </row>
    <row r="450" spans="75:144" x14ac:dyDescent="0.3">
      <c r="BW450" s="46"/>
      <c r="BX450" s="46"/>
      <c r="BY450" s="46"/>
      <c r="BZ450" s="46"/>
      <c r="CA450" s="46"/>
      <c r="CB450" s="46"/>
      <c r="CC450" s="46"/>
      <c r="CE450" s="46"/>
      <c r="CF450" s="46"/>
      <c r="CG450" s="46"/>
      <c r="CH450" s="46"/>
      <c r="CI450" s="46"/>
      <c r="EK450" s="46"/>
      <c r="EL450" s="46"/>
      <c r="EM450" s="46"/>
      <c r="EN450" s="46"/>
    </row>
    <row r="451" spans="75:144" x14ac:dyDescent="0.3">
      <c r="BW451" s="46"/>
      <c r="BX451" s="46"/>
      <c r="BY451" s="46"/>
      <c r="BZ451" s="46"/>
      <c r="CA451" s="46"/>
      <c r="CB451" s="46"/>
      <c r="CC451" s="46"/>
      <c r="CE451" s="46"/>
      <c r="CF451" s="46"/>
      <c r="CG451" s="46"/>
      <c r="CH451" s="46"/>
      <c r="CI451" s="46"/>
      <c r="EK451" s="46"/>
      <c r="EL451" s="46"/>
      <c r="EM451" s="46"/>
      <c r="EN451" s="46"/>
    </row>
    <row r="452" spans="75:144" x14ac:dyDescent="0.3">
      <c r="BW452" s="46"/>
      <c r="BX452" s="46"/>
      <c r="BY452" s="46"/>
      <c r="BZ452" s="46"/>
      <c r="CA452" s="46"/>
      <c r="CB452" s="46"/>
      <c r="CC452" s="46"/>
      <c r="CE452" s="46"/>
      <c r="CF452" s="46"/>
      <c r="CG452" s="46"/>
      <c r="CH452" s="46"/>
      <c r="CI452" s="46"/>
      <c r="EK452" s="46"/>
      <c r="EL452" s="46"/>
      <c r="EM452" s="46"/>
      <c r="EN452" s="46"/>
    </row>
    <row r="453" spans="75:144" x14ac:dyDescent="0.3">
      <c r="BW453" s="46"/>
      <c r="BX453" s="46"/>
      <c r="BY453" s="46"/>
      <c r="BZ453" s="46"/>
      <c r="CA453" s="46"/>
      <c r="CB453" s="46"/>
      <c r="CC453" s="46"/>
      <c r="CE453" s="46"/>
      <c r="CF453" s="46"/>
      <c r="CG453" s="46"/>
      <c r="CH453" s="46"/>
      <c r="CI453" s="46"/>
      <c r="EK453" s="46"/>
      <c r="EL453" s="46"/>
      <c r="EM453" s="46"/>
      <c r="EN453" s="46"/>
    </row>
    <row r="454" spans="75:144" x14ac:dyDescent="0.3">
      <c r="BW454" s="46"/>
      <c r="BX454" s="46"/>
      <c r="BY454" s="46"/>
      <c r="BZ454" s="46"/>
      <c r="CA454" s="46"/>
      <c r="CB454" s="46"/>
      <c r="CC454" s="46"/>
      <c r="CE454" s="46"/>
      <c r="CF454" s="46"/>
      <c r="CG454" s="46"/>
      <c r="CH454" s="46"/>
      <c r="CI454" s="46"/>
      <c r="EK454" s="46"/>
      <c r="EL454" s="46"/>
      <c r="EM454" s="46"/>
      <c r="EN454" s="46"/>
    </row>
    <row r="455" spans="75:144" x14ac:dyDescent="0.3">
      <c r="BW455" s="46"/>
      <c r="BX455" s="46"/>
      <c r="BY455" s="46"/>
      <c r="BZ455" s="46"/>
      <c r="CA455" s="46"/>
      <c r="CB455" s="46"/>
      <c r="CC455" s="46"/>
      <c r="CE455" s="46"/>
      <c r="CF455" s="46"/>
      <c r="CG455" s="46"/>
      <c r="CH455" s="46"/>
      <c r="CI455" s="46"/>
      <c r="EK455" s="46"/>
      <c r="EL455" s="46"/>
      <c r="EM455" s="46"/>
      <c r="EN455" s="46"/>
    </row>
    <row r="456" spans="75:144" x14ac:dyDescent="0.3">
      <c r="BW456" s="46"/>
      <c r="BX456" s="46"/>
      <c r="BY456" s="46"/>
      <c r="BZ456" s="46"/>
      <c r="CA456" s="46"/>
      <c r="CB456" s="46"/>
      <c r="CC456" s="46"/>
      <c r="CE456" s="46"/>
      <c r="CF456" s="46"/>
      <c r="CG456" s="46"/>
      <c r="CH456" s="46"/>
      <c r="CI456" s="46"/>
      <c r="EK456" s="46"/>
      <c r="EL456" s="46"/>
      <c r="EM456" s="46"/>
      <c r="EN456" s="46"/>
    </row>
    <row r="457" spans="75:144" x14ac:dyDescent="0.3">
      <c r="BW457" s="46"/>
      <c r="BX457" s="46"/>
      <c r="BY457" s="46"/>
      <c r="BZ457" s="46"/>
      <c r="CA457" s="46"/>
      <c r="CB457" s="46"/>
      <c r="CC457" s="46"/>
      <c r="CE457" s="46"/>
      <c r="CF457" s="46"/>
      <c r="CG457" s="46"/>
      <c r="CH457" s="46"/>
      <c r="CI457" s="46"/>
      <c r="EK457" s="46"/>
      <c r="EL457" s="46"/>
      <c r="EM457" s="46"/>
      <c r="EN457" s="46"/>
    </row>
    <row r="458" spans="75:144" x14ac:dyDescent="0.3">
      <c r="BW458" s="46"/>
      <c r="BX458" s="46"/>
      <c r="BY458" s="46"/>
      <c r="BZ458" s="46"/>
      <c r="CA458" s="46"/>
      <c r="CB458" s="46"/>
      <c r="CC458" s="46"/>
      <c r="CE458" s="46"/>
      <c r="CF458" s="46"/>
      <c r="CG458" s="46"/>
      <c r="CH458" s="46"/>
      <c r="CI458" s="46"/>
      <c r="EK458" s="46"/>
      <c r="EL458" s="46"/>
      <c r="EM458" s="46"/>
      <c r="EN458" s="46"/>
    </row>
    <row r="459" spans="75:144" x14ac:dyDescent="0.3">
      <c r="BW459" s="46"/>
      <c r="BX459" s="46"/>
      <c r="BY459" s="46"/>
      <c r="BZ459" s="46"/>
      <c r="CA459" s="46"/>
      <c r="CB459" s="46"/>
      <c r="CC459" s="46"/>
      <c r="CE459" s="46"/>
      <c r="CF459" s="46"/>
      <c r="CG459" s="46"/>
      <c r="CH459" s="46"/>
      <c r="CI459" s="46"/>
      <c r="EK459" s="46"/>
      <c r="EL459" s="46"/>
      <c r="EM459" s="46"/>
      <c r="EN459" s="46"/>
    </row>
    <row r="460" spans="75:144" x14ac:dyDescent="0.3">
      <c r="BW460" s="46"/>
      <c r="BX460" s="46"/>
      <c r="BY460" s="46"/>
      <c r="BZ460" s="46"/>
      <c r="CA460" s="46"/>
      <c r="CB460" s="46"/>
      <c r="CC460" s="46"/>
      <c r="CE460" s="46"/>
      <c r="CF460" s="46"/>
      <c r="CG460" s="46"/>
      <c r="CH460" s="46"/>
      <c r="CI460" s="46"/>
      <c r="EK460" s="46"/>
      <c r="EL460" s="46"/>
      <c r="EM460" s="46"/>
      <c r="EN460" s="46"/>
    </row>
    <row r="461" spans="75:144" x14ac:dyDescent="0.3">
      <c r="BW461" s="46"/>
      <c r="BX461" s="46"/>
      <c r="BY461" s="46"/>
      <c r="BZ461" s="46"/>
      <c r="CA461" s="46"/>
      <c r="CB461" s="46"/>
      <c r="CC461" s="46"/>
      <c r="CE461" s="46"/>
      <c r="CF461" s="46"/>
      <c r="CG461" s="46"/>
      <c r="CH461" s="46"/>
      <c r="CI461" s="46"/>
      <c r="EK461" s="46"/>
      <c r="EL461" s="46"/>
      <c r="EM461" s="46"/>
      <c r="EN461" s="46"/>
    </row>
    <row r="462" spans="75:144" x14ac:dyDescent="0.3">
      <c r="BW462" s="46"/>
      <c r="BX462" s="46"/>
      <c r="BY462" s="46"/>
      <c r="BZ462" s="46"/>
      <c r="CA462" s="46"/>
      <c r="CB462" s="46"/>
      <c r="CC462" s="46"/>
      <c r="CE462" s="46"/>
      <c r="CF462" s="46"/>
      <c r="CG462" s="46"/>
      <c r="CH462" s="46"/>
      <c r="CI462" s="46"/>
      <c r="EK462" s="46"/>
      <c r="EL462" s="46"/>
      <c r="EM462" s="46"/>
      <c r="EN462" s="46"/>
    </row>
    <row r="463" spans="75:144" x14ac:dyDescent="0.3">
      <c r="BW463" s="46"/>
      <c r="BX463" s="46"/>
      <c r="BY463" s="46"/>
      <c r="BZ463" s="46"/>
      <c r="CA463" s="46"/>
      <c r="CB463" s="46"/>
      <c r="CC463" s="46"/>
      <c r="CE463" s="46"/>
      <c r="CF463" s="46"/>
      <c r="CG463" s="46"/>
      <c r="CH463" s="46"/>
      <c r="CI463" s="46"/>
      <c r="EK463" s="46"/>
      <c r="EL463" s="46"/>
      <c r="EM463" s="46"/>
      <c r="EN463" s="46"/>
    </row>
    <row r="464" spans="75:144" x14ac:dyDescent="0.3">
      <c r="BW464" s="46"/>
      <c r="BX464" s="46"/>
      <c r="BY464" s="46"/>
      <c r="BZ464" s="46"/>
      <c r="CA464" s="46"/>
      <c r="CB464" s="46"/>
      <c r="CC464" s="46"/>
      <c r="CE464" s="46"/>
      <c r="CF464" s="46"/>
      <c r="CG464" s="46"/>
      <c r="CH464" s="46"/>
      <c r="CI464" s="46"/>
      <c r="EK464" s="46"/>
      <c r="EL464" s="46"/>
      <c r="EM464" s="46"/>
      <c r="EN464" s="46"/>
    </row>
    <row r="465" spans="75:144" x14ac:dyDescent="0.3">
      <c r="BW465" s="46"/>
      <c r="BX465" s="46"/>
      <c r="BY465" s="46"/>
      <c r="BZ465" s="46"/>
      <c r="CA465" s="46"/>
      <c r="CB465" s="46"/>
      <c r="CC465" s="46"/>
      <c r="CE465" s="46"/>
      <c r="CF465" s="46"/>
      <c r="CG465" s="46"/>
      <c r="CH465" s="46"/>
      <c r="CI465" s="46"/>
      <c r="EK465" s="46"/>
      <c r="EL465" s="46"/>
      <c r="EM465" s="46"/>
      <c r="EN465" s="46"/>
    </row>
    <row r="466" spans="75:144" x14ac:dyDescent="0.3">
      <c r="BW466" s="46"/>
      <c r="BX466" s="46"/>
      <c r="BY466" s="46"/>
      <c r="BZ466" s="46"/>
      <c r="CA466" s="46"/>
      <c r="CB466" s="46"/>
      <c r="CC466" s="46"/>
      <c r="CE466" s="46"/>
      <c r="CF466" s="46"/>
      <c r="CG466" s="46"/>
      <c r="CH466" s="46"/>
      <c r="CI466" s="46"/>
      <c r="EK466" s="46"/>
      <c r="EL466" s="46"/>
      <c r="EM466" s="46"/>
      <c r="EN466" s="46"/>
    </row>
    <row r="467" spans="75:144" x14ac:dyDescent="0.3">
      <c r="BW467" s="46"/>
      <c r="BX467" s="46"/>
      <c r="BY467" s="46"/>
      <c r="BZ467" s="46"/>
      <c r="CA467" s="46"/>
      <c r="CB467" s="46"/>
      <c r="CC467" s="46"/>
      <c r="CE467" s="46"/>
      <c r="CF467" s="46"/>
      <c r="CG467" s="46"/>
      <c r="CH467" s="46"/>
      <c r="CI467" s="46"/>
      <c r="EK467" s="46"/>
      <c r="EL467" s="46"/>
      <c r="EM467" s="46"/>
      <c r="EN467" s="46"/>
    </row>
    <row r="468" spans="75:144" x14ac:dyDescent="0.3">
      <c r="BW468" s="46"/>
      <c r="BX468" s="46"/>
      <c r="BY468" s="46"/>
      <c r="BZ468" s="46"/>
      <c r="CA468" s="46"/>
      <c r="CB468" s="46"/>
      <c r="CC468" s="46"/>
      <c r="CE468" s="46"/>
      <c r="CF468" s="46"/>
      <c r="CG468" s="46"/>
      <c r="CH468" s="46"/>
      <c r="CI468" s="46"/>
      <c r="EK468" s="46"/>
      <c r="EL468" s="46"/>
      <c r="EM468" s="46"/>
      <c r="EN468" s="46"/>
    </row>
    <row r="469" spans="75:144" x14ac:dyDescent="0.3">
      <c r="BW469" s="46"/>
      <c r="BX469" s="46"/>
      <c r="BY469" s="46"/>
      <c r="BZ469" s="46"/>
      <c r="CA469" s="46"/>
      <c r="CB469" s="46"/>
      <c r="CC469" s="46"/>
      <c r="CE469" s="46"/>
      <c r="CF469" s="46"/>
      <c r="CG469" s="46"/>
      <c r="CH469" s="46"/>
      <c r="CI469" s="46"/>
      <c r="EK469" s="46"/>
      <c r="EL469" s="46"/>
      <c r="EM469" s="46"/>
      <c r="EN469" s="46"/>
    </row>
    <row r="470" spans="75:144" x14ac:dyDescent="0.3">
      <c r="BW470" s="46"/>
      <c r="BX470" s="46"/>
      <c r="BY470" s="46"/>
      <c r="BZ470" s="46"/>
      <c r="CA470" s="46"/>
      <c r="CB470" s="46"/>
      <c r="CC470" s="46"/>
      <c r="CE470" s="46"/>
      <c r="CF470" s="46"/>
      <c r="CG470" s="46"/>
      <c r="CH470" s="46"/>
      <c r="CI470" s="46"/>
      <c r="EK470" s="46"/>
      <c r="EL470" s="46"/>
      <c r="EM470" s="46"/>
      <c r="EN470" s="46"/>
    </row>
    <row r="471" spans="75:144" x14ac:dyDescent="0.3">
      <c r="BW471" s="46"/>
      <c r="BX471" s="46"/>
      <c r="BY471" s="46"/>
      <c r="BZ471" s="46"/>
      <c r="CA471" s="46"/>
      <c r="CB471" s="46"/>
      <c r="CC471" s="46"/>
      <c r="CE471" s="46"/>
      <c r="CF471" s="46"/>
      <c r="CG471" s="46"/>
      <c r="CH471" s="46"/>
      <c r="CI471" s="46"/>
      <c r="EK471" s="46"/>
      <c r="EL471" s="46"/>
      <c r="EM471" s="46"/>
      <c r="EN471" s="46"/>
    </row>
    <row r="472" spans="75:144" x14ac:dyDescent="0.3">
      <c r="BW472" s="46"/>
      <c r="BX472" s="46"/>
      <c r="BY472" s="46"/>
      <c r="BZ472" s="46"/>
      <c r="CA472" s="46"/>
      <c r="CB472" s="46"/>
      <c r="CC472" s="46"/>
      <c r="CE472" s="46"/>
      <c r="CF472" s="46"/>
      <c r="CG472" s="46"/>
      <c r="CH472" s="46"/>
      <c r="CI472" s="46"/>
      <c r="EK472" s="46"/>
      <c r="EL472" s="46"/>
      <c r="EM472" s="46"/>
      <c r="EN472" s="46"/>
    </row>
    <row r="473" spans="75:144" x14ac:dyDescent="0.3">
      <c r="BW473" s="46"/>
      <c r="BX473" s="46"/>
      <c r="BY473" s="46"/>
      <c r="BZ473" s="46"/>
      <c r="CA473" s="46"/>
      <c r="CB473" s="46"/>
      <c r="CC473" s="46"/>
      <c r="CE473" s="46"/>
      <c r="CF473" s="46"/>
      <c r="CG473" s="46"/>
      <c r="CH473" s="46"/>
      <c r="CI473" s="46"/>
      <c r="EK473" s="46"/>
      <c r="EL473" s="46"/>
      <c r="EM473" s="46"/>
      <c r="EN473" s="46"/>
    </row>
    <row r="474" spans="75:144" x14ac:dyDescent="0.3">
      <c r="BW474" s="46"/>
      <c r="BX474" s="46"/>
      <c r="BY474" s="46"/>
      <c r="BZ474" s="46"/>
      <c r="CA474" s="46"/>
      <c r="CB474" s="46"/>
      <c r="CC474" s="46"/>
      <c r="CE474" s="46"/>
      <c r="CF474" s="46"/>
      <c r="CG474" s="46"/>
      <c r="CH474" s="46"/>
      <c r="CI474" s="46"/>
      <c r="EK474" s="46"/>
      <c r="EL474" s="46"/>
      <c r="EM474" s="46"/>
      <c r="EN474" s="46"/>
    </row>
    <row r="475" spans="75:144" x14ac:dyDescent="0.3">
      <c r="BW475" s="46"/>
      <c r="BX475" s="46"/>
      <c r="BY475" s="46"/>
      <c r="BZ475" s="46"/>
      <c r="CA475" s="46"/>
      <c r="CB475" s="46"/>
      <c r="CC475" s="46"/>
      <c r="CE475" s="46"/>
      <c r="CF475" s="46"/>
      <c r="CG475" s="46"/>
      <c r="CH475" s="46"/>
      <c r="CI475" s="46"/>
      <c r="EK475" s="46"/>
      <c r="EL475" s="46"/>
      <c r="EM475" s="46"/>
      <c r="EN475" s="46"/>
    </row>
    <row r="476" spans="75:144" x14ac:dyDescent="0.3">
      <c r="BW476" s="46"/>
      <c r="BX476" s="46"/>
      <c r="BY476" s="46"/>
      <c r="BZ476" s="46"/>
      <c r="CA476" s="46"/>
      <c r="CB476" s="46"/>
      <c r="CC476" s="46"/>
      <c r="CE476" s="46"/>
      <c r="CF476" s="46"/>
      <c r="CG476" s="46"/>
      <c r="CH476" s="46"/>
      <c r="CI476" s="46"/>
      <c r="EK476" s="46"/>
      <c r="EL476" s="46"/>
      <c r="EM476" s="46"/>
      <c r="EN476" s="46"/>
    </row>
    <row r="477" spans="75:144" x14ac:dyDescent="0.3">
      <c r="BW477" s="46"/>
      <c r="BX477" s="46"/>
      <c r="BY477" s="46"/>
      <c r="BZ477" s="46"/>
      <c r="CA477" s="46"/>
      <c r="CB477" s="46"/>
      <c r="CC477" s="46"/>
      <c r="CE477" s="46"/>
      <c r="CF477" s="46"/>
      <c r="CG477" s="46"/>
      <c r="CH477" s="46"/>
      <c r="CI477" s="46"/>
      <c r="EK477" s="46"/>
      <c r="EL477" s="46"/>
      <c r="EM477" s="46"/>
      <c r="EN477" s="46"/>
    </row>
    <row r="478" spans="75:144" x14ac:dyDescent="0.3">
      <c r="BW478" s="46"/>
      <c r="BX478" s="46"/>
      <c r="BY478" s="46"/>
      <c r="BZ478" s="46"/>
      <c r="CA478" s="46"/>
      <c r="CB478" s="46"/>
      <c r="CC478" s="46"/>
      <c r="CE478" s="46"/>
      <c r="CF478" s="46"/>
      <c r="CG478" s="46"/>
      <c r="CH478" s="46"/>
      <c r="CI478" s="46"/>
      <c r="EK478" s="46"/>
      <c r="EL478" s="46"/>
      <c r="EM478" s="46"/>
      <c r="EN478" s="46"/>
    </row>
    <row r="479" spans="75:144" x14ac:dyDescent="0.3">
      <c r="BW479" s="46"/>
      <c r="BX479" s="46"/>
      <c r="BY479" s="46"/>
      <c r="BZ479" s="46"/>
      <c r="CA479" s="46"/>
      <c r="CB479" s="46"/>
      <c r="CC479" s="46"/>
      <c r="CE479" s="46"/>
      <c r="CF479" s="46"/>
      <c r="CG479" s="46"/>
      <c r="CH479" s="46"/>
      <c r="CI479" s="46"/>
      <c r="EK479" s="46"/>
      <c r="EL479" s="46"/>
      <c r="EM479" s="46"/>
      <c r="EN479" s="46"/>
    </row>
    <row r="480" spans="75:144" x14ac:dyDescent="0.3">
      <c r="BW480" s="46"/>
      <c r="BX480" s="46"/>
      <c r="BY480" s="46"/>
      <c r="BZ480" s="46"/>
      <c r="CA480" s="46"/>
      <c r="CB480" s="46"/>
      <c r="CC480" s="46"/>
      <c r="CE480" s="46"/>
      <c r="CF480" s="46"/>
      <c r="CG480" s="46"/>
      <c r="CH480" s="46"/>
      <c r="CI480" s="46"/>
      <c r="EK480" s="46"/>
      <c r="EL480" s="46"/>
      <c r="EM480" s="46"/>
      <c r="EN480" s="46"/>
    </row>
    <row r="481" spans="75:144" x14ac:dyDescent="0.3">
      <c r="BW481" s="46"/>
      <c r="BX481" s="46"/>
      <c r="BY481" s="46"/>
      <c r="BZ481" s="46"/>
      <c r="CA481" s="46"/>
      <c r="CB481" s="46"/>
      <c r="CC481" s="46"/>
      <c r="CE481" s="46"/>
      <c r="CF481" s="46"/>
      <c r="CG481" s="46"/>
      <c r="CH481" s="46"/>
      <c r="CI481" s="46"/>
      <c r="EK481" s="46"/>
      <c r="EL481" s="46"/>
      <c r="EM481" s="46"/>
      <c r="EN481" s="46"/>
    </row>
    <row r="482" spans="75:144" x14ac:dyDescent="0.3">
      <c r="BW482" s="46"/>
      <c r="BX482" s="46"/>
      <c r="BY482" s="46"/>
      <c r="BZ482" s="46"/>
      <c r="CA482" s="46"/>
      <c r="CB482" s="46"/>
      <c r="CC482" s="46"/>
      <c r="CE482" s="46"/>
      <c r="CF482" s="46"/>
      <c r="CG482" s="46"/>
      <c r="CH482" s="46"/>
      <c r="CI482" s="46"/>
      <c r="EK482" s="46"/>
      <c r="EL482" s="46"/>
      <c r="EM482" s="46"/>
      <c r="EN482" s="46"/>
    </row>
    <row r="483" spans="75:144" x14ac:dyDescent="0.3">
      <c r="BW483" s="46"/>
      <c r="BX483" s="46"/>
      <c r="BY483" s="46"/>
      <c r="BZ483" s="46"/>
      <c r="CA483" s="46"/>
      <c r="CB483" s="46"/>
      <c r="CC483" s="46"/>
      <c r="CE483" s="46"/>
      <c r="CF483" s="46"/>
      <c r="CG483" s="46"/>
      <c r="CH483" s="46"/>
      <c r="CI483" s="46"/>
      <c r="EK483" s="46"/>
      <c r="EL483" s="46"/>
      <c r="EM483" s="46"/>
      <c r="EN483" s="46"/>
    </row>
    <row r="484" spans="75:144" x14ac:dyDescent="0.3">
      <c r="BW484" s="46"/>
      <c r="BX484" s="46"/>
      <c r="BY484" s="46"/>
      <c r="BZ484" s="46"/>
      <c r="CA484" s="46"/>
      <c r="CB484" s="46"/>
      <c r="CC484" s="46"/>
      <c r="CE484" s="46"/>
      <c r="CF484" s="46"/>
      <c r="CG484" s="46"/>
      <c r="CH484" s="46"/>
      <c r="CI484" s="46"/>
      <c r="EK484" s="46"/>
      <c r="EL484" s="46"/>
      <c r="EM484" s="46"/>
      <c r="EN484" s="46"/>
    </row>
    <row r="485" spans="75:144" x14ac:dyDescent="0.3">
      <c r="BW485" s="46"/>
      <c r="BX485" s="46"/>
      <c r="BY485" s="46"/>
      <c r="BZ485" s="46"/>
      <c r="CA485" s="46"/>
      <c r="CB485" s="46"/>
      <c r="CC485" s="46"/>
      <c r="CE485" s="46"/>
      <c r="CF485" s="46"/>
      <c r="CG485" s="46"/>
      <c r="CH485" s="46"/>
      <c r="CI485" s="46"/>
      <c r="EK485" s="46"/>
      <c r="EL485" s="46"/>
      <c r="EM485" s="46"/>
      <c r="EN485" s="46"/>
    </row>
    <row r="486" spans="75:144" x14ac:dyDescent="0.3">
      <c r="BW486" s="46"/>
      <c r="BX486" s="46"/>
      <c r="BY486" s="46"/>
      <c r="BZ486" s="46"/>
      <c r="CA486" s="46"/>
      <c r="CB486" s="46"/>
      <c r="CC486" s="46"/>
      <c r="CE486" s="46"/>
      <c r="CF486" s="46"/>
      <c r="CG486" s="46"/>
      <c r="CH486" s="46"/>
      <c r="CI486" s="46"/>
      <c r="EK486" s="46"/>
      <c r="EL486" s="46"/>
      <c r="EM486" s="46"/>
      <c r="EN486" s="46"/>
    </row>
    <row r="487" spans="75:144" x14ac:dyDescent="0.3">
      <c r="BW487" s="46"/>
      <c r="BX487" s="46"/>
      <c r="BY487" s="46"/>
      <c r="BZ487" s="46"/>
      <c r="CA487" s="46"/>
      <c r="CB487" s="46"/>
      <c r="CC487" s="46"/>
      <c r="CE487" s="46"/>
      <c r="CF487" s="46"/>
      <c r="CG487" s="46"/>
      <c r="CH487" s="46"/>
      <c r="CI487" s="46"/>
      <c r="EK487" s="46"/>
      <c r="EL487" s="46"/>
      <c r="EM487" s="46"/>
      <c r="EN487" s="46"/>
    </row>
    <row r="488" spans="75:144" x14ac:dyDescent="0.3">
      <c r="BW488" s="46"/>
      <c r="BX488" s="46"/>
      <c r="BY488" s="46"/>
      <c r="BZ488" s="46"/>
      <c r="CA488" s="46"/>
      <c r="CB488" s="46"/>
      <c r="CC488" s="46"/>
      <c r="CE488" s="46"/>
      <c r="CF488" s="46"/>
      <c r="CG488" s="46"/>
      <c r="CH488" s="46"/>
      <c r="CI488" s="46"/>
      <c r="EK488" s="46"/>
      <c r="EL488" s="46"/>
      <c r="EM488" s="46"/>
      <c r="EN488" s="46"/>
    </row>
    <row r="489" spans="75:144" x14ac:dyDescent="0.3">
      <c r="BW489" s="46"/>
      <c r="BX489" s="46"/>
      <c r="BY489" s="46"/>
      <c r="BZ489" s="46"/>
      <c r="CA489" s="46"/>
      <c r="CB489" s="46"/>
      <c r="CC489" s="46"/>
      <c r="CE489" s="46"/>
      <c r="CF489" s="46"/>
      <c r="CG489" s="46"/>
      <c r="CH489" s="46"/>
      <c r="CI489" s="46"/>
      <c r="EK489" s="46"/>
      <c r="EL489" s="46"/>
      <c r="EM489" s="46"/>
      <c r="EN489" s="46"/>
    </row>
    <row r="490" spans="75:144" x14ac:dyDescent="0.3">
      <c r="BW490" s="46"/>
      <c r="BX490" s="46"/>
      <c r="BY490" s="46"/>
      <c r="BZ490" s="46"/>
      <c r="CA490" s="46"/>
      <c r="CB490" s="46"/>
      <c r="CC490" s="46"/>
      <c r="CE490" s="46"/>
      <c r="CF490" s="46"/>
      <c r="CG490" s="46"/>
      <c r="CH490" s="46"/>
      <c r="CI490" s="46"/>
      <c r="EK490" s="46"/>
      <c r="EL490" s="46"/>
      <c r="EM490" s="46"/>
      <c r="EN490" s="46"/>
    </row>
    <row r="491" spans="75:144" x14ac:dyDescent="0.3">
      <c r="BW491" s="46"/>
      <c r="BX491" s="46"/>
      <c r="BY491" s="46"/>
      <c r="BZ491" s="46"/>
      <c r="CA491" s="46"/>
      <c r="CB491" s="46"/>
      <c r="CC491" s="46"/>
      <c r="CE491" s="46"/>
      <c r="CF491" s="46"/>
      <c r="CG491" s="46"/>
      <c r="CH491" s="46"/>
      <c r="CI491" s="46"/>
      <c r="EK491" s="46"/>
      <c r="EL491" s="46"/>
      <c r="EM491" s="46"/>
      <c r="EN491" s="46"/>
    </row>
    <row r="492" spans="75:144" x14ac:dyDescent="0.3">
      <c r="BW492" s="46"/>
      <c r="BX492" s="46"/>
      <c r="BY492" s="46"/>
      <c r="BZ492" s="46"/>
      <c r="CA492" s="46"/>
      <c r="CB492" s="46"/>
      <c r="CC492" s="46"/>
      <c r="CE492" s="46"/>
      <c r="CF492" s="46"/>
      <c r="CG492" s="46"/>
      <c r="CH492" s="46"/>
      <c r="CI492" s="46"/>
      <c r="EK492" s="46"/>
      <c r="EL492" s="46"/>
      <c r="EM492" s="46"/>
      <c r="EN492" s="46"/>
    </row>
    <row r="493" spans="75:144" x14ac:dyDescent="0.3">
      <c r="BW493" s="46"/>
      <c r="BX493" s="46"/>
      <c r="BY493" s="46"/>
      <c r="BZ493" s="46"/>
      <c r="CA493" s="46"/>
      <c r="CB493" s="46"/>
      <c r="CC493" s="46"/>
      <c r="CE493" s="46"/>
      <c r="CF493" s="46"/>
      <c r="CG493" s="46"/>
      <c r="CH493" s="46"/>
      <c r="CI493" s="46"/>
      <c r="EK493" s="46"/>
      <c r="EL493" s="46"/>
      <c r="EM493" s="46"/>
      <c r="EN493" s="46"/>
    </row>
    <row r="494" spans="75:144" x14ac:dyDescent="0.3">
      <c r="BW494" s="46"/>
      <c r="BX494" s="46"/>
      <c r="BY494" s="46"/>
      <c r="BZ494" s="46"/>
      <c r="CA494" s="46"/>
      <c r="CB494" s="46"/>
      <c r="CC494" s="46"/>
      <c r="CE494" s="46"/>
      <c r="CF494" s="46"/>
      <c r="CG494" s="46"/>
      <c r="CH494" s="46"/>
      <c r="CI494" s="46"/>
      <c r="EK494" s="46"/>
      <c r="EL494" s="46"/>
      <c r="EM494" s="46"/>
      <c r="EN494" s="46"/>
    </row>
    <row r="495" spans="75:144" x14ac:dyDescent="0.3">
      <c r="BW495" s="46"/>
      <c r="BX495" s="46"/>
      <c r="BY495" s="46"/>
      <c r="BZ495" s="46"/>
      <c r="CA495" s="46"/>
      <c r="CB495" s="46"/>
      <c r="CC495" s="46"/>
      <c r="CE495" s="46"/>
      <c r="CF495" s="46"/>
      <c r="CG495" s="46"/>
      <c r="CH495" s="46"/>
      <c r="CI495" s="46"/>
      <c r="EK495" s="46"/>
      <c r="EL495" s="46"/>
      <c r="EM495" s="46"/>
      <c r="EN495" s="46"/>
    </row>
    <row r="496" spans="75:144" x14ac:dyDescent="0.3">
      <c r="BW496" s="46"/>
      <c r="BX496" s="46"/>
      <c r="BY496" s="46"/>
      <c r="BZ496" s="46"/>
      <c r="CA496" s="46"/>
      <c r="CB496" s="46"/>
      <c r="CC496" s="46"/>
      <c r="CE496" s="46"/>
      <c r="CF496" s="46"/>
      <c r="CG496" s="46"/>
      <c r="CH496" s="46"/>
      <c r="CI496" s="46"/>
      <c r="EK496" s="46"/>
      <c r="EL496" s="46"/>
      <c r="EM496" s="46"/>
      <c r="EN496" s="46"/>
    </row>
    <row r="497" spans="75:144" x14ac:dyDescent="0.3">
      <c r="BW497" s="46"/>
      <c r="BX497" s="46"/>
      <c r="BY497" s="46"/>
      <c r="BZ497" s="46"/>
      <c r="CA497" s="46"/>
      <c r="CB497" s="46"/>
      <c r="CC497" s="46"/>
      <c r="CE497" s="46"/>
      <c r="CF497" s="46"/>
      <c r="CG497" s="46"/>
      <c r="CH497" s="46"/>
      <c r="CI497" s="46"/>
      <c r="EK497" s="46"/>
      <c r="EL497" s="46"/>
      <c r="EM497" s="46"/>
      <c r="EN497" s="46"/>
    </row>
    <row r="498" spans="75:144" x14ac:dyDescent="0.3">
      <c r="BW498" s="46"/>
      <c r="BX498" s="46"/>
      <c r="BY498" s="46"/>
      <c r="BZ498" s="46"/>
      <c r="CA498" s="46"/>
      <c r="CB498" s="46"/>
      <c r="CC498" s="46"/>
      <c r="CE498" s="46"/>
      <c r="CF498" s="46"/>
      <c r="CG498" s="46"/>
      <c r="CH498" s="46"/>
      <c r="CI498" s="46"/>
      <c r="EK498" s="46"/>
      <c r="EL498" s="46"/>
      <c r="EM498" s="46"/>
      <c r="EN498" s="46"/>
    </row>
    <row r="499" spans="75:144" x14ac:dyDescent="0.3">
      <c r="BW499" s="46"/>
      <c r="BX499" s="46"/>
      <c r="BY499" s="46"/>
      <c r="BZ499" s="46"/>
      <c r="CA499" s="46"/>
      <c r="CB499" s="46"/>
      <c r="CC499" s="46"/>
      <c r="CE499" s="46"/>
      <c r="CF499" s="46"/>
      <c r="CG499" s="46"/>
      <c r="CH499" s="46"/>
      <c r="CI499" s="46"/>
      <c r="EK499" s="46"/>
      <c r="EL499" s="46"/>
      <c r="EM499" s="46"/>
      <c r="EN499" s="46"/>
    </row>
    <row r="500" spans="75:144" x14ac:dyDescent="0.3">
      <c r="BW500" s="46"/>
      <c r="BX500" s="46"/>
      <c r="BY500" s="46"/>
      <c r="BZ500" s="46"/>
      <c r="CA500" s="46"/>
      <c r="CB500" s="46"/>
      <c r="CC500" s="46"/>
      <c r="CE500" s="46"/>
      <c r="CF500" s="46"/>
      <c r="CG500" s="46"/>
      <c r="CH500" s="46"/>
      <c r="CI500" s="46"/>
      <c r="EK500" s="46"/>
      <c r="EL500" s="46"/>
      <c r="EM500" s="46"/>
      <c r="EN500" s="46"/>
    </row>
    <row r="501" spans="75:144" x14ac:dyDescent="0.3">
      <c r="BW501" s="46"/>
      <c r="BX501" s="46"/>
      <c r="BY501" s="46"/>
      <c r="BZ501" s="46"/>
      <c r="CA501" s="46"/>
      <c r="CB501" s="46"/>
      <c r="CC501" s="46"/>
      <c r="CE501" s="46"/>
      <c r="CF501" s="46"/>
      <c r="CG501" s="46"/>
      <c r="CH501" s="46"/>
      <c r="CI501" s="46"/>
      <c r="EK501" s="46"/>
      <c r="EL501" s="46"/>
      <c r="EM501" s="46"/>
      <c r="EN501" s="46"/>
    </row>
    <row r="502" spans="75:144" x14ac:dyDescent="0.3">
      <c r="BW502" s="46"/>
      <c r="BX502" s="46"/>
      <c r="BY502" s="46"/>
      <c r="BZ502" s="46"/>
      <c r="CA502" s="46"/>
      <c r="CB502" s="46"/>
      <c r="CC502" s="46"/>
      <c r="CE502" s="46"/>
      <c r="CF502" s="46"/>
      <c r="CG502" s="46"/>
      <c r="CH502" s="46"/>
      <c r="CI502" s="46"/>
      <c r="EK502" s="46"/>
      <c r="EL502" s="46"/>
      <c r="EM502" s="46"/>
      <c r="EN502" s="46"/>
    </row>
    <row r="503" spans="75:144" x14ac:dyDescent="0.3">
      <c r="BW503" s="46"/>
      <c r="BX503" s="46"/>
      <c r="BY503" s="46"/>
      <c r="BZ503" s="46"/>
      <c r="CA503" s="46"/>
      <c r="CB503" s="46"/>
      <c r="CC503" s="46"/>
      <c r="CE503" s="46"/>
      <c r="CF503" s="46"/>
      <c r="CG503" s="46"/>
      <c r="CH503" s="46"/>
      <c r="CI503" s="46"/>
      <c r="EK503" s="46"/>
      <c r="EL503" s="46"/>
      <c r="EM503" s="46"/>
      <c r="EN503" s="46"/>
    </row>
    <row r="504" spans="75:144" x14ac:dyDescent="0.3">
      <c r="BW504" s="46"/>
      <c r="BX504" s="46"/>
      <c r="BY504" s="46"/>
      <c r="BZ504" s="46"/>
      <c r="CA504" s="46"/>
      <c r="CB504" s="46"/>
      <c r="CC504" s="46"/>
      <c r="CE504" s="46"/>
      <c r="CF504" s="46"/>
      <c r="CG504" s="46"/>
      <c r="CH504" s="46"/>
      <c r="CI504" s="46"/>
      <c r="EK504" s="46"/>
      <c r="EL504" s="46"/>
      <c r="EM504" s="46"/>
      <c r="EN504" s="46"/>
    </row>
    <row r="505" spans="75:144" x14ac:dyDescent="0.3">
      <c r="BW505" s="46"/>
      <c r="BX505" s="46"/>
      <c r="BY505" s="46"/>
      <c r="BZ505" s="46"/>
      <c r="CA505" s="46"/>
      <c r="CB505" s="46"/>
      <c r="CC505" s="46"/>
      <c r="CE505" s="46"/>
      <c r="CF505" s="46"/>
      <c r="CG505" s="46"/>
      <c r="CH505" s="46"/>
      <c r="CI505" s="46"/>
      <c r="EK505" s="46"/>
      <c r="EL505" s="46"/>
      <c r="EM505" s="46"/>
      <c r="EN505" s="46"/>
    </row>
    <row r="506" spans="75:144" x14ac:dyDescent="0.3">
      <c r="BW506" s="46"/>
      <c r="BX506" s="46"/>
      <c r="BY506" s="46"/>
      <c r="BZ506" s="46"/>
      <c r="CA506" s="46"/>
      <c r="CB506" s="46"/>
      <c r="CC506" s="46"/>
      <c r="CE506" s="46"/>
      <c r="CF506" s="46"/>
      <c r="CG506" s="46"/>
      <c r="CH506" s="46"/>
      <c r="CI506" s="46"/>
      <c r="EK506" s="46"/>
      <c r="EL506" s="46"/>
      <c r="EM506" s="46"/>
      <c r="EN506" s="46"/>
    </row>
    <row r="507" spans="75:144" x14ac:dyDescent="0.3">
      <c r="BW507" s="46"/>
      <c r="BX507" s="46"/>
      <c r="BY507" s="46"/>
      <c r="BZ507" s="46"/>
      <c r="CA507" s="46"/>
      <c r="CB507" s="46"/>
      <c r="CC507" s="46"/>
      <c r="CE507" s="46"/>
      <c r="CF507" s="46"/>
      <c r="CG507" s="46"/>
      <c r="CH507" s="46"/>
      <c r="CI507" s="46"/>
      <c r="EK507" s="46"/>
      <c r="EL507" s="46"/>
      <c r="EM507" s="46"/>
      <c r="EN507" s="46"/>
    </row>
    <row r="508" spans="75:144" x14ac:dyDescent="0.3">
      <c r="BW508" s="46"/>
      <c r="BX508" s="46"/>
      <c r="BY508" s="46"/>
      <c r="BZ508" s="46"/>
      <c r="CA508" s="46"/>
      <c r="CB508" s="46"/>
      <c r="CC508" s="46"/>
      <c r="CE508" s="46"/>
      <c r="CF508" s="46"/>
      <c r="CG508" s="46"/>
      <c r="CH508" s="46"/>
      <c r="CI508" s="46"/>
      <c r="EK508" s="46"/>
      <c r="EL508" s="46"/>
      <c r="EM508" s="46"/>
      <c r="EN508" s="46"/>
    </row>
    <row r="509" spans="75:144" x14ac:dyDescent="0.3">
      <c r="BW509" s="46"/>
      <c r="BX509" s="46"/>
      <c r="BY509" s="46"/>
      <c r="BZ509" s="46"/>
      <c r="CA509" s="46"/>
      <c r="CB509" s="46"/>
      <c r="CC509" s="46"/>
      <c r="CE509" s="46"/>
      <c r="CF509" s="46"/>
      <c r="CG509" s="46"/>
      <c r="CH509" s="46"/>
      <c r="CI509" s="46"/>
      <c r="EK509" s="46"/>
      <c r="EL509" s="46"/>
      <c r="EM509" s="46"/>
      <c r="EN509" s="46"/>
    </row>
    <row r="510" spans="75:144" x14ac:dyDescent="0.3">
      <c r="BW510" s="46"/>
      <c r="BX510" s="46"/>
      <c r="BY510" s="46"/>
      <c r="BZ510" s="46"/>
      <c r="CA510" s="46"/>
      <c r="CB510" s="46"/>
      <c r="CC510" s="46"/>
      <c r="CE510" s="46"/>
      <c r="CF510" s="46"/>
      <c r="CG510" s="46"/>
      <c r="CH510" s="46"/>
      <c r="CI510" s="46"/>
      <c r="EK510" s="46"/>
      <c r="EL510" s="46"/>
      <c r="EM510" s="46"/>
      <c r="EN510" s="46"/>
    </row>
    <row r="511" spans="75:144" x14ac:dyDescent="0.3">
      <c r="BW511" s="46"/>
      <c r="BX511" s="46"/>
      <c r="BY511" s="46"/>
      <c r="BZ511" s="46"/>
      <c r="CA511" s="46"/>
      <c r="CB511" s="46"/>
      <c r="CC511" s="46"/>
      <c r="CE511" s="46"/>
      <c r="CF511" s="46"/>
      <c r="CG511" s="46"/>
      <c r="CH511" s="46"/>
      <c r="CI511" s="46"/>
      <c r="EK511" s="46"/>
      <c r="EL511" s="46"/>
      <c r="EM511" s="46"/>
      <c r="EN511" s="46"/>
    </row>
    <row r="512" spans="75:144" x14ac:dyDescent="0.3">
      <c r="BW512" s="46"/>
      <c r="BX512" s="46"/>
      <c r="BY512" s="46"/>
      <c r="BZ512" s="46"/>
      <c r="CA512" s="46"/>
      <c r="CB512" s="46"/>
      <c r="CC512" s="46"/>
      <c r="CE512" s="46"/>
      <c r="CF512" s="46"/>
      <c r="CG512" s="46"/>
      <c r="CH512" s="46"/>
      <c r="CI512" s="46"/>
      <c r="EK512" s="46"/>
      <c r="EL512" s="46"/>
      <c r="EM512" s="46"/>
      <c r="EN512" s="46"/>
    </row>
    <row r="513" spans="75:144" x14ac:dyDescent="0.3">
      <c r="BW513" s="46"/>
      <c r="BX513" s="46"/>
      <c r="BY513" s="46"/>
      <c r="BZ513" s="46"/>
      <c r="CA513" s="46"/>
      <c r="CB513" s="46"/>
      <c r="CC513" s="46"/>
      <c r="CE513" s="46"/>
      <c r="CF513" s="46"/>
      <c r="CG513" s="46"/>
      <c r="CH513" s="46"/>
      <c r="CI513" s="46"/>
      <c r="EK513" s="46"/>
      <c r="EL513" s="46"/>
      <c r="EM513" s="46"/>
      <c r="EN513" s="46"/>
    </row>
    <row r="514" spans="75:144" x14ac:dyDescent="0.3">
      <c r="BW514" s="46"/>
      <c r="BX514" s="46"/>
      <c r="BY514" s="46"/>
      <c r="BZ514" s="46"/>
      <c r="CA514" s="46"/>
      <c r="CB514" s="46"/>
      <c r="CC514" s="46"/>
      <c r="CE514" s="46"/>
      <c r="CF514" s="46"/>
      <c r="CG514" s="46"/>
      <c r="CH514" s="46"/>
      <c r="CI514" s="46"/>
      <c r="EK514" s="46"/>
      <c r="EL514" s="46"/>
      <c r="EM514" s="46"/>
      <c r="EN514" s="46"/>
    </row>
    <row r="515" spans="75:144" x14ac:dyDescent="0.3">
      <c r="BW515" s="46"/>
      <c r="BX515" s="46"/>
      <c r="BY515" s="46"/>
      <c r="BZ515" s="46"/>
      <c r="CA515" s="46"/>
      <c r="CB515" s="46"/>
      <c r="CC515" s="46"/>
      <c r="CE515" s="46"/>
      <c r="CF515" s="46"/>
      <c r="CG515" s="46"/>
      <c r="CH515" s="46"/>
      <c r="CI515" s="46"/>
      <c r="EK515" s="46"/>
      <c r="EL515" s="46"/>
      <c r="EM515" s="46"/>
      <c r="EN515" s="46"/>
    </row>
    <row r="516" spans="75:144" x14ac:dyDescent="0.3">
      <c r="BW516" s="46"/>
      <c r="BX516" s="46"/>
      <c r="BY516" s="46"/>
      <c r="BZ516" s="46"/>
      <c r="CA516" s="46"/>
      <c r="CB516" s="46"/>
      <c r="CC516" s="46"/>
      <c r="CE516" s="46"/>
      <c r="CF516" s="46"/>
      <c r="CG516" s="46"/>
      <c r="CH516" s="46"/>
      <c r="CI516" s="46"/>
      <c r="EK516" s="46"/>
      <c r="EL516" s="46"/>
      <c r="EM516" s="46"/>
      <c r="EN516" s="46"/>
    </row>
    <row r="517" spans="75:144" x14ac:dyDescent="0.3">
      <c r="BW517" s="46"/>
      <c r="BX517" s="46"/>
      <c r="BY517" s="46"/>
      <c r="BZ517" s="46"/>
      <c r="CA517" s="46"/>
      <c r="CB517" s="46"/>
      <c r="CC517" s="46"/>
      <c r="CE517" s="46"/>
      <c r="CF517" s="46"/>
      <c r="CG517" s="46"/>
      <c r="CH517" s="46"/>
      <c r="CI517" s="46"/>
      <c r="EK517" s="46"/>
      <c r="EL517" s="46"/>
      <c r="EM517" s="46"/>
      <c r="EN517" s="46"/>
    </row>
    <row r="518" spans="75:144" x14ac:dyDescent="0.3">
      <c r="BW518" s="46"/>
      <c r="BX518" s="46"/>
      <c r="BY518" s="46"/>
      <c r="BZ518" s="46"/>
      <c r="CA518" s="46"/>
      <c r="CB518" s="46"/>
      <c r="CC518" s="46"/>
      <c r="CE518" s="46"/>
      <c r="CF518" s="46"/>
      <c r="CG518" s="46"/>
      <c r="CH518" s="46"/>
      <c r="CI518" s="46"/>
      <c r="EK518" s="46"/>
      <c r="EL518" s="46"/>
      <c r="EM518" s="46"/>
      <c r="EN518" s="46"/>
    </row>
    <row r="519" spans="75:144" x14ac:dyDescent="0.3">
      <c r="BW519" s="46"/>
      <c r="BX519" s="46"/>
      <c r="BY519" s="46"/>
      <c r="BZ519" s="46"/>
      <c r="CA519" s="46"/>
      <c r="CB519" s="46"/>
      <c r="CC519" s="46"/>
      <c r="CE519" s="46"/>
      <c r="CF519" s="46"/>
      <c r="CG519" s="46"/>
      <c r="CH519" s="46"/>
      <c r="CI519" s="46"/>
      <c r="EK519" s="46"/>
      <c r="EL519" s="46"/>
      <c r="EM519" s="46"/>
      <c r="EN519" s="46"/>
    </row>
    <row r="520" spans="75:144" x14ac:dyDescent="0.3">
      <c r="BW520" s="46"/>
      <c r="BX520" s="46"/>
      <c r="BY520" s="46"/>
      <c r="BZ520" s="46"/>
      <c r="CA520" s="46"/>
      <c r="CB520" s="46"/>
      <c r="CC520" s="46"/>
      <c r="CE520" s="46"/>
      <c r="CF520" s="46"/>
      <c r="CG520" s="46"/>
      <c r="CH520" s="46"/>
      <c r="CI520" s="46"/>
      <c r="EK520" s="46"/>
      <c r="EL520" s="46"/>
      <c r="EM520" s="46"/>
      <c r="EN520" s="46"/>
    </row>
    <row r="521" spans="75:144" x14ac:dyDescent="0.3">
      <c r="BW521" s="46"/>
      <c r="BX521" s="46"/>
      <c r="BY521" s="46"/>
      <c r="BZ521" s="46"/>
      <c r="CA521" s="46"/>
      <c r="CB521" s="46"/>
      <c r="CC521" s="46"/>
      <c r="CE521" s="46"/>
      <c r="CF521" s="46"/>
      <c r="CG521" s="46"/>
      <c r="CH521" s="46"/>
      <c r="CI521" s="46"/>
      <c r="EK521" s="46"/>
      <c r="EL521" s="46"/>
      <c r="EM521" s="46"/>
      <c r="EN521" s="46"/>
    </row>
    <row r="522" spans="75:144" x14ac:dyDescent="0.3">
      <c r="BW522" s="46"/>
      <c r="BX522" s="46"/>
      <c r="BY522" s="46"/>
      <c r="BZ522" s="46"/>
      <c r="CA522" s="46"/>
      <c r="CB522" s="46"/>
      <c r="CC522" s="46"/>
      <c r="CE522" s="46"/>
      <c r="CF522" s="46"/>
      <c r="CG522" s="46"/>
      <c r="CH522" s="46"/>
      <c r="CI522" s="46"/>
      <c r="EK522" s="46"/>
      <c r="EL522" s="46"/>
      <c r="EM522" s="46"/>
      <c r="EN522" s="46"/>
    </row>
    <row r="523" spans="75:144" x14ac:dyDescent="0.3">
      <c r="BW523" s="46"/>
      <c r="BX523" s="46"/>
      <c r="BY523" s="46"/>
      <c r="BZ523" s="46"/>
      <c r="CA523" s="46"/>
      <c r="CB523" s="46"/>
      <c r="CC523" s="46"/>
      <c r="CE523" s="46"/>
      <c r="CF523" s="46"/>
      <c r="CG523" s="46"/>
      <c r="CH523" s="46"/>
      <c r="CI523" s="46"/>
      <c r="EK523" s="46"/>
      <c r="EL523" s="46"/>
      <c r="EM523" s="46"/>
      <c r="EN523" s="46"/>
    </row>
    <row r="524" spans="75:144" x14ac:dyDescent="0.3">
      <c r="BW524" s="46"/>
      <c r="BX524" s="46"/>
      <c r="BY524" s="46"/>
      <c r="BZ524" s="46"/>
      <c r="CA524" s="46"/>
      <c r="CB524" s="46"/>
      <c r="CC524" s="46"/>
      <c r="CE524" s="46"/>
      <c r="CF524" s="46"/>
      <c r="CG524" s="46"/>
      <c r="CH524" s="46"/>
      <c r="CI524" s="46"/>
      <c r="EK524" s="46"/>
      <c r="EL524" s="46"/>
      <c r="EM524" s="46"/>
      <c r="EN524" s="46"/>
    </row>
    <row r="525" spans="75:144" x14ac:dyDescent="0.3">
      <c r="BW525" s="46"/>
      <c r="BX525" s="46"/>
      <c r="BY525" s="46"/>
      <c r="BZ525" s="46"/>
      <c r="CA525" s="46"/>
      <c r="CB525" s="46"/>
      <c r="CC525" s="46"/>
      <c r="CE525" s="46"/>
      <c r="CF525" s="46"/>
      <c r="CG525" s="46"/>
      <c r="CH525" s="46"/>
      <c r="CI525" s="46"/>
      <c r="EK525" s="46"/>
      <c r="EL525" s="46"/>
      <c r="EM525" s="46"/>
      <c r="EN525" s="46"/>
    </row>
    <row r="526" spans="75:144" x14ac:dyDescent="0.3">
      <c r="BW526" s="46"/>
      <c r="BX526" s="46"/>
      <c r="BY526" s="46"/>
      <c r="BZ526" s="46"/>
      <c r="CA526" s="46"/>
      <c r="CB526" s="46"/>
      <c r="CC526" s="46"/>
      <c r="CE526" s="46"/>
      <c r="CF526" s="46"/>
      <c r="CG526" s="46"/>
      <c r="CH526" s="46"/>
      <c r="CI526" s="46"/>
      <c r="EK526" s="46"/>
      <c r="EL526" s="46"/>
      <c r="EM526" s="46"/>
      <c r="EN526" s="46"/>
    </row>
    <row r="527" spans="75:144" x14ac:dyDescent="0.3">
      <c r="BW527" s="46"/>
      <c r="BX527" s="46"/>
      <c r="BY527" s="46"/>
      <c r="BZ527" s="46"/>
      <c r="CA527" s="46"/>
      <c r="CB527" s="46"/>
      <c r="CC527" s="46"/>
      <c r="CE527" s="46"/>
      <c r="CF527" s="46"/>
      <c r="CG527" s="46"/>
      <c r="CH527" s="46"/>
      <c r="CI527" s="46"/>
      <c r="EK527" s="46"/>
      <c r="EL527" s="46"/>
      <c r="EM527" s="46"/>
      <c r="EN527" s="46"/>
    </row>
    <row r="528" spans="75:144" x14ac:dyDescent="0.3">
      <c r="BW528" s="46"/>
      <c r="BX528" s="46"/>
      <c r="BY528" s="46"/>
      <c r="BZ528" s="46"/>
      <c r="CA528" s="46"/>
      <c r="CB528" s="46"/>
      <c r="CC528" s="46"/>
      <c r="CE528" s="46"/>
      <c r="CF528" s="46"/>
      <c r="CG528" s="46"/>
      <c r="CH528" s="46"/>
      <c r="CI528" s="46"/>
      <c r="EK528" s="46"/>
      <c r="EL528" s="46"/>
      <c r="EM528" s="46"/>
      <c r="EN528" s="46"/>
    </row>
    <row r="529" spans="75:144" x14ac:dyDescent="0.3">
      <c r="BW529" s="46"/>
      <c r="BX529" s="46"/>
      <c r="BY529" s="46"/>
      <c r="BZ529" s="46"/>
      <c r="CA529" s="46"/>
      <c r="CB529" s="46"/>
      <c r="CC529" s="46"/>
      <c r="CE529" s="46"/>
      <c r="CF529" s="46"/>
      <c r="CG529" s="46"/>
      <c r="CH529" s="46"/>
      <c r="CI529" s="46"/>
      <c r="EK529" s="46"/>
      <c r="EL529" s="46"/>
      <c r="EM529" s="46"/>
      <c r="EN529" s="46"/>
    </row>
    <row r="530" spans="75:144" x14ac:dyDescent="0.3">
      <c r="BW530" s="46"/>
      <c r="BX530" s="46"/>
      <c r="BY530" s="46"/>
      <c r="BZ530" s="46"/>
      <c r="CA530" s="46"/>
      <c r="CB530" s="46"/>
      <c r="CC530" s="46"/>
      <c r="CE530" s="46"/>
      <c r="CF530" s="46"/>
      <c r="CG530" s="46"/>
      <c r="CH530" s="46"/>
      <c r="CI530" s="46"/>
      <c r="EK530" s="46"/>
      <c r="EL530" s="46"/>
      <c r="EM530" s="46"/>
      <c r="EN530" s="46"/>
    </row>
    <row r="531" spans="75:144" x14ac:dyDescent="0.3">
      <c r="BW531" s="46"/>
      <c r="BX531" s="46"/>
      <c r="BY531" s="46"/>
      <c r="BZ531" s="46"/>
      <c r="CA531" s="46"/>
      <c r="CB531" s="46"/>
      <c r="CC531" s="46"/>
      <c r="CE531" s="46"/>
      <c r="CF531" s="46"/>
      <c r="CG531" s="46"/>
      <c r="CH531" s="46"/>
      <c r="CI531" s="46"/>
      <c r="EK531" s="46"/>
      <c r="EL531" s="46"/>
      <c r="EM531" s="46"/>
      <c r="EN531" s="46"/>
    </row>
    <row r="532" spans="75:144" x14ac:dyDescent="0.3">
      <c r="BW532" s="46"/>
      <c r="BX532" s="46"/>
      <c r="BY532" s="46"/>
      <c r="BZ532" s="46"/>
      <c r="CA532" s="46"/>
      <c r="CB532" s="46"/>
      <c r="CC532" s="46"/>
      <c r="CE532" s="46"/>
      <c r="CF532" s="46"/>
      <c r="CG532" s="46"/>
      <c r="CH532" s="46"/>
      <c r="CI532" s="46"/>
      <c r="EK532" s="46"/>
      <c r="EL532" s="46"/>
      <c r="EM532" s="46"/>
      <c r="EN532" s="46"/>
    </row>
    <row r="533" spans="75:144" x14ac:dyDescent="0.3">
      <c r="BW533" s="46"/>
      <c r="BX533" s="46"/>
      <c r="BY533" s="46"/>
      <c r="BZ533" s="46"/>
      <c r="CA533" s="46"/>
      <c r="CB533" s="46"/>
      <c r="CC533" s="46"/>
      <c r="CE533" s="46"/>
      <c r="CF533" s="46"/>
      <c r="CG533" s="46"/>
      <c r="CH533" s="46"/>
      <c r="CI533" s="46"/>
      <c r="EK533" s="46"/>
      <c r="EL533" s="46"/>
      <c r="EM533" s="46"/>
      <c r="EN533" s="46"/>
    </row>
    <row r="534" spans="75:144" x14ac:dyDescent="0.3">
      <c r="BW534" s="46"/>
      <c r="BX534" s="46"/>
      <c r="BY534" s="46"/>
      <c r="BZ534" s="46"/>
      <c r="CA534" s="46"/>
      <c r="CB534" s="46"/>
      <c r="CC534" s="46"/>
      <c r="CE534" s="46"/>
      <c r="CF534" s="46"/>
      <c r="CG534" s="46"/>
      <c r="CH534" s="46"/>
      <c r="CI534" s="46"/>
      <c r="EK534" s="46"/>
      <c r="EL534" s="46"/>
      <c r="EM534" s="46"/>
      <c r="EN534" s="46"/>
    </row>
    <row r="535" spans="75:144" x14ac:dyDescent="0.3">
      <c r="BW535" s="46"/>
      <c r="BX535" s="46"/>
      <c r="BY535" s="46"/>
      <c r="BZ535" s="46"/>
      <c r="CA535" s="46"/>
      <c r="CB535" s="46"/>
      <c r="CC535" s="46"/>
      <c r="CE535" s="46"/>
      <c r="CF535" s="46"/>
      <c r="CG535" s="46"/>
      <c r="CH535" s="46"/>
      <c r="CI535" s="46"/>
      <c r="EK535" s="46"/>
      <c r="EL535" s="46"/>
      <c r="EM535" s="46"/>
      <c r="EN535" s="46"/>
    </row>
    <row r="536" spans="75:144" x14ac:dyDescent="0.3">
      <c r="BW536" s="46"/>
      <c r="BX536" s="46"/>
      <c r="BY536" s="46"/>
      <c r="BZ536" s="46"/>
      <c r="CA536" s="46"/>
      <c r="CB536" s="46"/>
      <c r="CC536" s="46"/>
      <c r="CE536" s="46"/>
      <c r="CF536" s="46"/>
      <c r="CG536" s="46"/>
      <c r="CH536" s="46"/>
      <c r="CI536" s="46"/>
      <c r="EK536" s="46"/>
      <c r="EL536" s="46"/>
      <c r="EM536" s="46"/>
      <c r="EN536" s="46"/>
    </row>
    <row r="537" spans="75:144" x14ac:dyDescent="0.3">
      <c r="BW537" s="46"/>
      <c r="BX537" s="46"/>
      <c r="BY537" s="46"/>
      <c r="BZ537" s="46"/>
      <c r="CA537" s="46"/>
      <c r="CB537" s="46"/>
      <c r="CC537" s="46"/>
      <c r="CE537" s="46"/>
      <c r="CF537" s="46"/>
      <c r="CG537" s="46"/>
      <c r="CH537" s="46"/>
      <c r="CI537" s="46"/>
      <c r="EK537" s="46"/>
      <c r="EL537" s="46"/>
      <c r="EM537" s="46"/>
      <c r="EN537" s="46"/>
    </row>
    <row r="538" spans="75:144" x14ac:dyDescent="0.3">
      <c r="BW538" s="46"/>
      <c r="BX538" s="46"/>
      <c r="BY538" s="46"/>
      <c r="BZ538" s="46"/>
      <c r="CA538" s="46"/>
      <c r="CB538" s="46"/>
      <c r="CC538" s="46"/>
      <c r="CE538" s="46"/>
      <c r="CF538" s="46"/>
      <c r="CG538" s="46"/>
      <c r="CH538" s="46"/>
      <c r="CI538" s="46"/>
      <c r="EK538" s="46"/>
      <c r="EL538" s="46"/>
      <c r="EM538" s="46"/>
      <c r="EN538" s="46"/>
    </row>
    <row r="539" spans="75:144" x14ac:dyDescent="0.3">
      <c r="BW539" s="46"/>
      <c r="BX539" s="46"/>
      <c r="BY539" s="46"/>
      <c r="BZ539" s="46"/>
      <c r="CA539" s="46"/>
      <c r="CB539" s="46"/>
      <c r="CC539" s="46"/>
      <c r="CE539" s="46"/>
      <c r="CF539" s="46"/>
      <c r="CG539" s="46"/>
      <c r="CH539" s="46"/>
      <c r="CI539" s="46"/>
      <c r="EK539" s="46"/>
      <c r="EL539" s="46"/>
      <c r="EM539" s="46"/>
      <c r="EN539" s="46"/>
    </row>
    <row r="540" spans="75:144" x14ac:dyDescent="0.3">
      <c r="BW540" s="46"/>
      <c r="BX540" s="46"/>
      <c r="BY540" s="46"/>
      <c r="BZ540" s="46"/>
      <c r="CA540" s="46"/>
      <c r="CB540" s="46"/>
      <c r="CC540" s="46"/>
      <c r="CE540" s="46"/>
      <c r="CF540" s="46"/>
      <c r="CG540" s="46"/>
      <c r="CH540" s="46"/>
      <c r="CI540" s="46"/>
      <c r="EK540" s="46"/>
      <c r="EL540" s="46"/>
      <c r="EM540" s="46"/>
      <c r="EN540" s="46"/>
    </row>
    <row r="541" spans="75:144" x14ac:dyDescent="0.3">
      <c r="BW541" s="46"/>
      <c r="BX541" s="46"/>
      <c r="BY541" s="46"/>
      <c r="BZ541" s="46"/>
      <c r="CA541" s="46"/>
      <c r="CB541" s="46"/>
      <c r="CC541" s="46"/>
      <c r="CE541" s="46"/>
      <c r="CF541" s="46"/>
      <c r="CG541" s="46"/>
      <c r="CH541" s="46"/>
      <c r="CI541" s="46"/>
      <c r="EK541" s="46"/>
      <c r="EL541" s="46"/>
      <c r="EM541" s="46"/>
      <c r="EN541" s="46"/>
    </row>
    <row r="542" spans="75:144" x14ac:dyDescent="0.3">
      <c r="BW542" s="46"/>
      <c r="BX542" s="46"/>
      <c r="BY542" s="46"/>
      <c r="BZ542" s="46"/>
      <c r="CA542" s="46"/>
      <c r="CB542" s="46"/>
      <c r="CC542" s="46"/>
      <c r="CE542" s="46"/>
      <c r="CF542" s="46"/>
      <c r="CG542" s="46"/>
      <c r="CH542" s="46"/>
      <c r="CI542" s="46"/>
      <c r="EK542" s="46"/>
      <c r="EL542" s="46"/>
      <c r="EM542" s="46"/>
      <c r="EN542" s="46"/>
    </row>
    <row r="543" spans="75:144" x14ac:dyDescent="0.3">
      <c r="BW543" s="46"/>
      <c r="BX543" s="46"/>
      <c r="BY543" s="46"/>
      <c r="BZ543" s="46"/>
      <c r="CA543" s="46"/>
      <c r="CB543" s="46"/>
      <c r="CC543" s="46"/>
      <c r="CE543" s="46"/>
      <c r="CF543" s="46"/>
      <c r="CG543" s="46"/>
      <c r="CH543" s="46"/>
      <c r="CI543" s="46"/>
      <c r="EK543" s="46"/>
      <c r="EL543" s="46"/>
      <c r="EM543" s="46"/>
      <c r="EN543" s="46"/>
    </row>
    <row r="544" spans="75:144" x14ac:dyDescent="0.3">
      <c r="BW544" s="46"/>
      <c r="BX544" s="46"/>
      <c r="BY544" s="46"/>
      <c r="BZ544" s="46"/>
      <c r="CA544" s="46"/>
      <c r="CB544" s="46"/>
      <c r="CC544" s="46"/>
      <c r="CE544" s="46"/>
      <c r="CF544" s="46"/>
      <c r="CG544" s="46"/>
      <c r="CH544" s="46"/>
      <c r="CI544" s="46"/>
      <c r="EK544" s="46"/>
      <c r="EL544" s="46"/>
      <c r="EM544" s="46"/>
      <c r="EN544" s="46"/>
    </row>
    <row r="545" spans="75:144" x14ac:dyDescent="0.3">
      <c r="BW545" s="46"/>
      <c r="BX545" s="46"/>
      <c r="BY545" s="46"/>
      <c r="BZ545" s="46"/>
      <c r="CA545" s="46"/>
      <c r="CB545" s="46"/>
      <c r="CC545" s="46"/>
      <c r="CE545" s="46"/>
      <c r="CF545" s="46"/>
      <c r="CG545" s="46"/>
      <c r="CH545" s="46"/>
      <c r="CI545" s="46"/>
      <c r="EK545" s="46"/>
      <c r="EL545" s="46"/>
      <c r="EM545" s="46"/>
      <c r="EN545" s="46"/>
    </row>
    <row r="546" spans="75:144" x14ac:dyDescent="0.3">
      <c r="BW546" s="46"/>
      <c r="BX546" s="46"/>
      <c r="BY546" s="46"/>
      <c r="BZ546" s="46"/>
      <c r="CA546" s="46"/>
      <c r="CB546" s="46"/>
      <c r="CC546" s="46"/>
      <c r="CE546" s="46"/>
      <c r="CF546" s="46"/>
      <c r="CG546" s="46"/>
      <c r="CH546" s="46"/>
      <c r="CI546" s="46"/>
      <c r="EK546" s="46"/>
      <c r="EL546" s="46"/>
      <c r="EM546" s="46"/>
      <c r="EN546" s="46"/>
    </row>
    <row r="547" spans="75:144" x14ac:dyDescent="0.3">
      <c r="BW547" s="46"/>
      <c r="BX547" s="46"/>
      <c r="BY547" s="46"/>
      <c r="BZ547" s="46"/>
      <c r="CA547" s="46"/>
      <c r="CB547" s="46"/>
      <c r="CC547" s="46"/>
      <c r="CE547" s="46"/>
      <c r="CF547" s="46"/>
      <c r="CG547" s="46"/>
      <c r="CH547" s="46"/>
      <c r="CI547" s="46"/>
      <c r="EK547" s="46"/>
      <c r="EL547" s="46"/>
      <c r="EM547" s="46"/>
      <c r="EN547" s="46"/>
    </row>
    <row r="548" spans="75:144" x14ac:dyDescent="0.3">
      <c r="BW548" s="46"/>
      <c r="BX548" s="46"/>
      <c r="BY548" s="46"/>
      <c r="BZ548" s="46"/>
      <c r="CA548" s="46"/>
      <c r="CB548" s="46"/>
      <c r="CC548" s="46"/>
      <c r="CE548" s="46"/>
      <c r="CF548" s="46"/>
      <c r="CG548" s="46"/>
      <c r="CH548" s="46"/>
      <c r="CI548" s="46"/>
      <c r="EK548" s="46"/>
      <c r="EL548" s="46"/>
      <c r="EM548" s="46"/>
      <c r="EN548" s="46"/>
    </row>
    <row r="549" spans="75:144" x14ac:dyDescent="0.3">
      <c r="BW549" s="46"/>
      <c r="BX549" s="46"/>
      <c r="BY549" s="46"/>
      <c r="BZ549" s="46"/>
      <c r="CA549" s="46"/>
      <c r="CB549" s="46"/>
      <c r="CC549" s="46"/>
      <c r="CE549" s="46"/>
      <c r="CF549" s="46"/>
      <c r="CG549" s="46"/>
      <c r="CH549" s="46"/>
      <c r="CI549" s="46"/>
      <c r="EK549" s="46"/>
      <c r="EL549" s="46"/>
      <c r="EM549" s="46"/>
      <c r="EN549" s="46"/>
    </row>
    <row r="550" spans="75:144" x14ac:dyDescent="0.3">
      <c r="BW550" s="46"/>
      <c r="BX550" s="46"/>
      <c r="BY550" s="46"/>
      <c r="BZ550" s="46"/>
      <c r="CA550" s="46"/>
      <c r="CB550" s="46"/>
      <c r="CC550" s="46"/>
      <c r="CE550" s="46"/>
      <c r="CF550" s="46"/>
      <c r="CG550" s="46"/>
      <c r="CH550" s="46"/>
      <c r="CI550" s="46"/>
      <c r="EK550" s="46"/>
      <c r="EL550" s="46"/>
      <c r="EM550" s="46"/>
      <c r="EN550" s="46"/>
    </row>
    <row r="551" spans="75:144" x14ac:dyDescent="0.3">
      <c r="BW551" s="46"/>
      <c r="BX551" s="46"/>
      <c r="BY551" s="46"/>
      <c r="BZ551" s="46"/>
      <c r="CA551" s="46"/>
      <c r="CB551" s="46"/>
      <c r="CC551" s="46"/>
      <c r="CE551" s="46"/>
      <c r="CF551" s="46"/>
      <c r="CG551" s="46"/>
      <c r="CH551" s="46"/>
      <c r="CI551" s="46"/>
      <c r="EK551" s="46"/>
      <c r="EL551" s="46"/>
      <c r="EM551" s="46"/>
      <c r="EN551" s="46"/>
    </row>
    <row r="552" spans="75:144" x14ac:dyDescent="0.3">
      <c r="BW552" s="46"/>
      <c r="BX552" s="46"/>
      <c r="BY552" s="46"/>
      <c r="BZ552" s="46"/>
      <c r="CA552" s="46"/>
      <c r="CB552" s="46"/>
      <c r="CC552" s="46"/>
      <c r="CE552" s="46"/>
      <c r="CF552" s="46"/>
      <c r="CG552" s="46"/>
      <c r="CH552" s="46"/>
      <c r="CI552" s="46"/>
      <c r="EK552" s="46"/>
      <c r="EL552" s="46"/>
      <c r="EM552" s="46"/>
      <c r="EN552" s="46"/>
    </row>
    <row r="553" spans="75:144" x14ac:dyDescent="0.3">
      <c r="BW553" s="46"/>
      <c r="BX553" s="46"/>
      <c r="BY553" s="46"/>
      <c r="BZ553" s="46"/>
      <c r="CA553" s="46"/>
      <c r="CB553" s="46"/>
      <c r="CC553" s="46"/>
      <c r="CE553" s="46"/>
      <c r="CF553" s="46"/>
      <c r="CG553" s="46"/>
      <c r="CH553" s="46"/>
      <c r="CI553" s="46"/>
      <c r="EK553" s="46"/>
      <c r="EL553" s="46"/>
      <c r="EM553" s="46"/>
      <c r="EN553" s="46"/>
    </row>
    <row r="554" spans="75:144" x14ac:dyDescent="0.3">
      <c r="BW554" s="46"/>
      <c r="BX554" s="46"/>
      <c r="BY554" s="46"/>
      <c r="BZ554" s="46"/>
      <c r="CA554" s="46"/>
      <c r="CB554" s="46"/>
      <c r="CC554" s="46"/>
      <c r="CE554" s="46"/>
      <c r="CF554" s="46"/>
      <c r="CG554" s="46"/>
      <c r="CH554" s="46"/>
      <c r="CI554" s="46"/>
      <c r="EK554" s="46"/>
      <c r="EL554" s="46"/>
      <c r="EM554" s="46"/>
      <c r="EN554" s="46"/>
    </row>
    <row r="555" spans="75:144" x14ac:dyDescent="0.3">
      <c r="BW555" s="46"/>
      <c r="BX555" s="46"/>
      <c r="BY555" s="46"/>
      <c r="BZ555" s="46"/>
      <c r="CA555" s="46"/>
      <c r="CB555" s="46"/>
      <c r="CC555" s="46"/>
      <c r="CE555" s="46"/>
      <c r="CF555" s="46"/>
      <c r="CG555" s="46"/>
      <c r="CH555" s="46"/>
      <c r="CI555" s="46"/>
      <c r="EK555" s="46"/>
      <c r="EL555" s="46"/>
      <c r="EM555" s="46"/>
      <c r="EN555" s="46"/>
    </row>
    <row r="556" spans="75:144" x14ac:dyDescent="0.3">
      <c r="BW556" s="46"/>
      <c r="BX556" s="46"/>
      <c r="BY556" s="46"/>
      <c r="BZ556" s="46"/>
      <c r="CA556" s="46"/>
      <c r="CB556" s="46"/>
      <c r="CC556" s="46"/>
      <c r="CE556" s="46"/>
      <c r="CF556" s="46"/>
      <c r="CG556" s="46"/>
      <c r="CH556" s="46"/>
      <c r="CI556" s="46"/>
      <c r="EK556" s="46"/>
      <c r="EL556" s="46"/>
      <c r="EM556" s="46"/>
      <c r="EN556" s="46"/>
    </row>
    <row r="557" spans="75:144" x14ac:dyDescent="0.3">
      <c r="BW557" s="46"/>
      <c r="BX557" s="46"/>
      <c r="BY557" s="46"/>
      <c r="BZ557" s="46"/>
      <c r="CA557" s="46"/>
      <c r="CB557" s="46"/>
      <c r="CC557" s="46"/>
      <c r="CE557" s="46"/>
      <c r="CF557" s="46"/>
      <c r="CG557" s="46"/>
      <c r="CH557" s="46"/>
      <c r="CI557" s="46"/>
      <c r="EK557" s="46"/>
      <c r="EL557" s="46"/>
      <c r="EM557" s="46"/>
      <c r="EN557" s="46"/>
    </row>
    <row r="558" spans="75:144" x14ac:dyDescent="0.3">
      <c r="BW558" s="46"/>
      <c r="BX558" s="46"/>
      <c r="BY558" s="46"/>
      <c r="BZ558" s="46"/>
      <c r="CA558" s="46"/>
      <c r="CB558" s="46"/>
      <c r="CC558" s="46"/>
      <c r="CE558" s="46"/>
      <c r="CF558" s="46"/>
      <c r="CG558" s="46"/>
      <c r="CH558" s="46"/>
      <c r="CI558" s="46"/>
      <c r="EK558" s="46"/>
      <c r="EL558" s="46"/>
      <c r="EM558" s="46"/>
      <c r="EN558" s="46"/>
    </row>
    <row r="559" spans="75:144" x14ac:dyDescent="0.3">
      <c r="BW559" s="46"/>
      <c r="BX559" s="46"/>
      <c r="BY559" s="46"/>
      <c r="BZ559" s="46"/>
      <c r="CA559" s="46"/>
      <c r="CB559" s="46"/>
      <c r="CC559" s="46"/>
      <c r="CE559" s="46"/>
      <c r="CF559" s="46"/>
      <c r="CG559" s="46"/>
      <c r="CH559" s="46"/>
      <c r="CI559" s="46"/>
      <c r="EK559" s="46"/>
      <c r="EL559" s="46"/>
      <c r="EM559" s="46"/>
      <c r="EN559" s="46"/>
    </row>
    <row r="560" spans="75:144" x14ac:dyDescent="0.3">
      <c r="BW560" s="46"/>
      <c r="BX560" s="46"/>
      <c r="BY560" s="46"/>
      <c r="BZ560" s="46"/>
      <c r="CA560" s="46"/>
      <c r="CB560" s="46"/>
      <c r="CC560" s="46"/>
      <c r="CE560" s="46"/>
      <c r="CF560" s="46"/>
      <c r="CG560" s="46"/>
      <c r="CH560" s="46"/>
      <c r="CI560" s="46"/>
      <c r="EK560" s="46"/>
      <c r="EL560" s="46"/>
      <c r="EM560" s="46"/>
      <c r="EN560" s="46"/>
    </row>
    <row r="561" spans="75:144" x14ac:dyDescent="0.3">
      <c r="BW561" s="46"/>
      <c r="BX561" s="46"/>
      <c r="BY561" s="46"/>
      <c r="BZ561" s="46"/>
      <c r="CA561" s="46"/>
      <c r="CB561" s="46"/>
      <c r="CC561" s="46"/>
      <c r="CE561" s="46"/>
      <c r="CF561" s="46"/>
      <c r="CG561" s="46"/>
      <c r="CH561" s="46"/>
      <c r="CI561" s="46"/>
      <c r="EK561" s="46"/>
      <c r="EL561" s="46"/>
      <c r="EM561" s="46"/>
      <c r="EN561" s="46"/>
    </row>
    <row r="562" spans="75:144" x14ac:dyDescent="0.3">
      <c r="BW562" s="46"/>
      <c r="BX562" s="46"/>
      <c r="BY562" s="46"/>
      <c r="BZ562" s="46"/>
      <c r="CA562" s="46"/>
      <c r="CB562" s="46"/>
      <c r="CC562" s="46"/>
      <c r="CE562" s="46"/>
      <c r="CF562" s="46"/>
      <c r="CG562" s="46"/>
      <c r="CH562" s="46"/>
      <c r="CI562" s="46"/>
      <c r="EK562" s="46"/>
      <c r="EL562" s="46"/>
      <c r="EM562" s="46"/>
      <c r="EN562" s="46"/>
    </row>
    <row r="563" spans="75:144" x14ac:dyDescent="0.3">
      <c r="BW563" s="46"/>
      <c r="BX563" s="46"/>
      <c r="BY563" s="46"/>
      <c r="BZ563" s="46"/>
      <c r="CA563" s="46"/>
      <c r="CB563" s="46"/>
      <c r="CC563" s="46"/>
      <c r="CE563" s="46"/>
      <c r="CF563" s="46"/>
      <c r="CG563" s="46"/>
      <c r="CH563" s="46"/>
      <c r="CI563" s="46"/>
      <c r="EK563" s="46"/>
      <c r="EL563" s="46"/>
      <c r="EM563" s="46"/>
      <c r="EN563" s="46"/>
    </row>
    <row r="564" spans="75:144" x14ac:dyDescent="0.3">
      <c r="BW564" s="46"/>
      <c r="BX564" s="46"/>
      <c r="BY564" s="46"/>
      <c r="BZ564" s="46"/>
      <c r="CA564" s="46"/>
      <c r="CB564" s="46"/>
      <c r="CC564" s="46"/>
      <c r="CE564" s="46"/>
      <c r="CF564" s="46"/>
      <c r="CG564" s="46"/>
      <c r="CH564" s="46"/>
      <c r="CI564" s="46"/>
      <c r="EK564" s="46"/>
      <c r="EL564" s="46"/>
      <c r="EM564" s="46"/>
      <c r="EN564" s="46"/>
    </row>
    <row r="565" spans="75:144" x14ac:dyDescent="0.3">
      <c r="BW565" s="46"/>
      <c r="BX565" s="46"/>
      <c r="BY565" s="46"/>
      <c r="BZ565" s="46"/>
      <c r="CA565" s="46"/>
      <c r="CB565" s="46"/>
      <c r="CC565" s="46"/>
      <c r="CE565" s="46"/>
      <c r="CF565" s="46"/>
      <c r="CG565" s="46"/>
      <c r="CH565" s="46"/>
      <c r="CI565" s="46"/>
      <c r="EK565" s="46"/>
      <c r="EL565" s="46"/>
      <c r="EM565" s="46"/>
      <c r="EN565" s="46"/>
    </row>
    <row r="566" spans="75:144" x14ac:dyDescent="0.3">
      <c r="BW566" s="46"/>
      <c r="BX566" s="46"/>
      <c r="BY566" s="46"/>
      <c r="BZ566" s="46"/>
      <c r="CA566" s="46"/>
      <c r="CB566" s="46"/>
      <c r="CC566" s="46"/>
      <c r="CE566" s="46"/>
      <c r="CF566" s="46"/>
      <c r="CG566" s="46"/>
      <c r="CH566" s="46"/>
      <c r="CI566" s="46"/>
      <c r="EK566" s="46"/>
      <c r="EL566" s="46"/>
      <c r="EM566" s="46"/>
      <c r="EN566" s="46"/>
    </row>
    <row r="567" spans="75:144" x14ac:dyDescent="0.3">
      <c r="BW567" s="46"/>
      <c r="BX567" s="46"/>
      <c r="BY567" s="46"/>
      <c r="BZ567" s="46"/>
      <c r="CA567" s="46"/>
      <c r="CB567" s="46"/>
      <c r="CC567" s="46"/>
      <c r="CE567" s="46"/>
      <c r="CF567" s="46"/>
      <c r="CG567" s="46"/>
      <c r="CH567" s="46"/>
      <c r="CI567" s="46"/>
      <c r="EK567" s="46"/>
      <c r="EL567" s="46"/>
      <c r="EM567" s="46"/>
      <c r="EN567" s="46"/>
    </row>
    <row r="568" spans="75:144" x14ac:dyDescent="0.3">
      <c r="BW568" s="46"/>
      <c r="BX568" s="46"/>
      <c r="BY568" s="46"/>
      <c r="BZ568" s="46"/>
      <c r="CA568" s="46"/>
      <c r="CB568" s="46"/>
      <c r="CC568" s="46"/>
      <c r="CE568" s="46"/>
      <c r="CF568" s="46"/>
      <c r="CG568" s="46"/>
      <c r="CH568" s="46"/>
      <c r="CI568" s="46"/>
      <c r="EK568" s="46"/>
      <c r="EL568" s="46"/>
      <c r="EM568" s="46"/>
      <c r="EN568" s="46"/>
    </row>
    <row r="569" spans="75:144" x14ac:dyDescent="0.3">
      <c r="BW569" s="46"/>
      <c r="BX569" s="46"/>
      <c r="BY569" s="46"/>
      <c r="BZ569" s="46"/>
      <c r="CA569" s="46"/>
      <c r="CB569" s="46"/>
      <c r="CC569" s="46"/>
      <c r="CE569" s="46"/>
      <c r="CF569" s="46"/>
      <c r="CG569" s="46"/>
      <c r="CH569" s="46"/>
      <c r="CI569" s="46"/>
      <c r="EK569" s="46"/>
      <c r="EL569" s="46"/>
      <c r="EM569" s="46"/>
      <c r="EN569" s="46"/>
    </row>
    <row r="570" spans="75:144" x14ac:dyDescent="0.3">
      <c r="BW570" s="46"/>
      <c r="BX570" s="46"/>
      <c r="BY570" s="46"/>
      <c r="BZ570" s="46"/>
      <c r="CA570" s="46"/>
      <c r="CB570" s="46"/>
      <c r="CC570" s="46"/>
      <c r="CE570" s="46"/>
      <c r="CF570" s="46"/>
      <c r="CG570" s="46"/>
      <c r="CH570" s="46"/>
      <c r="CI570" s="46"/>
      <c r="EK570" s="46"/>
      <c r="EL570" s="46"/>
      <c r="EM570" s="46"/>
      <c r="EN570" s="46"/>
    </row>
    <row r="571" spans="75:144" x14ac:dyDescent="0.3">
      <c r="BW571" s="46"/>
      <c r="BX571" s="46"/>
      <c r="BY571" s="46"/>
      <c r="BZ571" s="46"/>
      <c r="CA571" s="46"/>
      <c r="CB571" s="46"/>
      <c r="CC571" s="46"/>
      <c r="CE571" s="46"/>
      <c r="CF571" s="46"/>
      <c r="CG571" s="46"/>
      <c r="CH571" s="46"/>
      <c r="CI571" s="46"/>
      <c r="EK571" s="46"/>
      <c r="EL571" s="46"/>
      <c r="EM571" s="46"/>
      <c r="EN571" s="46"/>
    </row>
    <row r="572" spans="75:144" x14ac:dyDescent="0.3">
      <c r="BW572" s="46"/>
      <c r="BX572" s="46"/>
      <c r="BY572" s="46"/>
      <c r="BZ572" s="46"/>
      <c r="CA572" s="46"/>
      <c r="CB572" s="46"/>
      <c r="CC572" s="46"/>
      <c r="CE572" s="46"/>
      <c r="CF572" s="46"/>
      <c r="CG572" s="46"/>
      <c r="CH572" s="46"/>
      <c r="CI572" s="46"/>
      <c r="EK572" s="46"/>
      <c r="EL572" s="46"/>
      <c r="EM572" s="46"/>
      <c r="EN572" s="46"/>
    </row>
    <row r="573" spans="75:144" x14ac:dyDescent="0.3">
      <c r="BW573" s="46"/>
      <c r="BX573" s="46"/>
      <c r="BY573" s="46"/>
      <c r="BZ573" s="46"/>
      <c r="CA573" s="46"/>
      <c r="CB573" s="46"/>
      <c r="CC573" s="46"/>
      <c r="CE573" s="46"/>
      <c r="CF573" s="46"/>
      <c r="CG573" s="46"/>
      <c r="CH573" s="46"/>
      <c r="CI573" s="46"/>
      <c r="EK573" s="46"/>
      <c r="EL573" s="46"/>
      <c r="EM573" s="46"/>
      <c r="EN573" s="46"/>
    </row>
    <row r="574" spans="75:144" x14ac:dyDescent="0.3">
      <c r="BW574" s="46"/>
      <c r="BX574" s="46"/>
      <c r="BY574" s="46"/>
      <c r="BZ574" s="46"/>
      <c r="CA574" s="46"/>
      <c r="CB574" s="46"/>
      <c r="CC574" s="46"/>
      <c r="CE574" s="46"/>
      <c r="CF574" s="46"/>
      <c r="CG574" s="46"/>
      <c r="CH574" s="46"/>
      <c r="CI574" s="46"/>
      <c r="EK574" s="46"/>
      <c r="EL574" s="46"/>
      <c r="EM574" s="46"/>
      <c r="EN574" s="46"/>
    </row>
    <row r="575" spans="75:144" x14ac:dyDescent="0.3">
      <c r="BW575" s="46"/>
      <c r="BX575" s="46"/>
      <c r="BY575" s="46"/>
      <c r="BZ575" s="46"/>
      <c r="CA575" s="46"/>
      <c r="CB575" s="46"/>
      <c r="CC575" s="46"/>
      <c r="CE575" s="46"/>
      <c r="CF575" s="46"/>
      <c r="CG575" s="46"/>
      <c r="CH575" s="46"/>
      <c r="CI575" s="46"/>
      <c r="EK575" s="46"/>
      <c r="EL575" s="46"/>
      <c r="EM575" s="46"/>
      <c r="EN575" s="46"/>
    </row>
    <row r="576" spans="75:144" x14ac:dyDescent="0.3">
      <c r="BW576" s="46"/>
      <c r="BX576" s="46"/>
      <c r="BY576" s="46"/>
      <c r="BZ576" s="46"/>
      <c r="CA576" s="46"/>
      <c r="CB576" s="46"/>
      <c r="CC576" s="46"/>
      <c r="CE576" s="46"/>
      <c r="CF576" s="46"/>
      <c r="CG576" s="46"/>
      <c r="CH576" s="46"/>
      <c r="CI576" s="46"/>
      <c r="EK576" s="46"/>
      <c r="EL576" s="46"/>
      <c r="EM576" s="46"/>
      <c r="EN576" s="46"/>
    </row>
    <row r="577" spans="75:144" x14ac:dyDescent="0.3">
      <c r="BW577" s="46"/>
      <c r="BX577" s="46"/>
      <c r="BY577" s="46"/>
      <c r="BZ577" s="46"/>
      <c r="CA577" s="46"/>
      <c r="CB577" s="46"/>
      <c r="CC577" s="46"/>
      <c r="CE577" s="46"/>
      <c r="CF577" s="46"/>
      <c r="CG577" s="46"/>
      <c r="CH577" s="46"/>
      <c r="CI577" s="46"/>
      <c r="EK577" s="46"/>
      <c r="EL577" s="46"/>
      <c r="EM577" s="46"/>
      <c r="EN577" s="46"/>
    </row>
    <row r="578" spans="75:144" x14ac:dyDescent="0.3">
      <c r="BW578" s="46"/>
      <c r="BX578" s="46"/>
      <c r="BY578" s="46"/>
      <c r="BZ578" s="46"/>
      <c r="CA578" s="46"/>
      <c r="CB578" s="46"/>
      <c r="CC578" s="46"/>
      <c r="CE578" s="46"/>
      <c r="CF578" s="46"/>
      <c r="CG578" s="46"/>
      <c r="CH578" s="46"/>
      <c r="CI578" s="46"/>
      <c r="EK578" s="46"/>
      <c r="EL578" s="46"/>
      <c r="EM578" s="46"/>
      <c r="EN578" s="46"/>
    </row>
    <row r="579" spans="75:144" x14ac:dyDescent="0.3">
      <c r="BW579" s="46"/>
      <c r="BX579" s="46"/>
      <c r="BY579" s="46"/>
      <c r="BZ579" s="46"/>
      <c r="CA579" s="46"/>
      <c r="CB579" s="46"/>
      <c r="CC579" s="46"/>
      <c r="CE579" s="46"/>
      <c r="CF579" s="46"/>
      <c r="CG579" s="46"/>
      <c r="CH579" s="46"/>
      <c r="CI579" s="46"/>
      <c r="EK579" s="46"/>
      <c r="EL579" s="46"/>
      <c r="EM579" s="46"/>
      <c r="EN579" s="46"/>
    </row>
    <row r="580" spans="75:144" x14ac:dyDescent="0.3">
      <c r="BW580" s="46"/>
      <c r="BX580" s="46"/>
      <c r="BY580" s="46"/>
      <c r="BZ580" s="46"/>
      <c r="CA580" s="46"/>
      <c r="CB580" s="46"/>
      <c r="CC580" s="46"/>
      <c r="CE580" s="46"/>
      <c r="CF580" s="46"/>
      <c r="CG580" s="46"/>
      <c r="CH580" s="46"/>
      <c r="CI580" s="46"/>
      <c r="EK580" s="46"/>
      <c r="EL580" s="46"/>
      <c r="EM580" s="46"/>
      <c r="EN580" s="46"/>
    </row>
    <row r="581" spans="75:144" x14ac:dyDescent="0.3">
      <c r="BW581" s="46"/>
      <c r="BX581" s="46"/>
      <c r="BY581" s="46"/>
      <c r="BZ581" s="46"/>
      <c r="CA581" s="46"/>
      <c r="CB581" s="46"/>
      <c r="CC581" s="46"/>
      <c r="CE581" s="46"/>
      <c r="CF581" s="46"/>
      <c r="CG581" s="46"/>
      <c r="CH581" s="46"/>
      <c r="CI581" s="46"/>
      <c r="EK581" s="46"/>
      <c r="EL581" s="46"/>
      <c r="EM581" s="46"/>
      <c r="EN581" s="46"/>
    </row>
    <row r="582" spans="75:144" x14ac:dyDescent="0.3">
      <c r="BW582" s="46"/>
      <c r="BX582" s="46"/>
      <c r="BY582" s="46"/>
      <c r="BZ582" s="46"/>
      <c r="CA582" s="46"/>
      <c r="CB582" s="46"/>
      <c r="CC582" s="46"/>
      <c r="CE582" s="46"/>
      <c r="CF582" s="46"/>
      <c r="CG582" s="46"/>
      <c r="CH582" s="46"/>
      <c r="CI582" s="46"/>
      <c r="EK582" s="46"/>
      <c r="EL582" s="46"/>
      <c r="EM582" s="46"/>
      <c r="EN582" s="46"/>
    </row>
    <row r="583" spans="75:144" x14ac:dyDescent="0.3">
      <c r="BW583" s="46"/>
      <c r="BX583" s="46"/>
      <c r="BY583" s="46"/>
      <c r="BZ583" s="46"/>
      <c r="CA583" s="46"/>
      <c r="CB583" s="46"/>
      <c r="CC583" s="46"/>
      <c r="CE583" s="46"/>
      <c r="CF583" s="46"/>
      <c r="CG583" s="46"/>
      <c r="CH583" s="46"/>
      <c r="CI583" s="46"/>
      <c r="EK583" s="46"/>
      <c r="EL583" s="46"/>
      <c r="EM583" s="46"/>
      <c r="EN583" s="46"/>
    </row>
    <row r="584" spans="75:144" x14ac:dyDescent="0.3">
      <c r="BW584" s="46"/>
      <c r="BX584" s="46"/>
      <c r="BY584" s="46"/>
      <c r="BZ584" s="46"/>
      <c r="CA584" s="46"/>
      <c r="CB584" s="46"/>
      <c r="CC584" s="46"/>
      <c r="CE584" s="46"/>
      <c r="CF584" s="46"/>
      <c r="CG584" s="46"/>
      <c r="CH584" s="46"/>
      <c r="CI584" s="46"/>
      <c r="EK584" s="46"/>
      <c r="EL584" s="46"/>
      <c r="EM584" s="46"/>
      <c r="EN584" s="46"/>
    </row>
    <row r="585" spans="75:144" x14ac:dyDescent="0.3">
      <c r="BW585" s="46"/>
      <c r="BX585" s="46"/>
      <c r="BY585" s="46"/>
      <c r="BZ585" s="46"/>
      <c r="CA585" s="46"/>
      <c r="CB585" s="46"/>
      <c r="CC585" s="46"/>
      <c r="CE585" s="46"/>
      <c r="CF585" s="46"/>
      <c r="CG585" s="46"/>
      <c r="CH585" s="46"/>
      <c r="CI585" s="46"/>
      <c r="EK585" s="46"/>
      <c r="EL585" s="46"/>
      <c r="EM585" s="46"/>
      <c r="EN585" s="46"/>
    </row>
    <row r="586" spans="75:144" x14ac:dyDescent="0.3">
      <c r="BW586" s="46"/>
      <c r="BX586" s="46"/>
      <c r="BY586" s="46"/>
      <c r="BZ586" s="46"/>
      <c r="CA586" s="46"/>
      <c r="CB586" s="46"/>
      <c r="CC586" s="46"/>
      <c r="CE586" s="46"/>
      <c r="CF586" s="46"/>
      <c r="CG586" s="46"/>
      <c r="CH586" s="46"/>
      <c r="CI586" s="46"/>
      <c r="EK586" s="46"/>
      <c r="EL586" s="46"/>
      <c r="EM586" s="46"/>
      <c r="EN586" s="46"/>
    </row>
    <row r="587" spans="75:144" x14ac:dyDescent="0.3">
      <c r="BW587" s="46"/>
      <c r="BX587" s="46"/>
      <c r="BY587" s="46"/>
      <c r="BZ587" s="46"/>
      <c r="CA587" s="46"/>
      <c r="CB587" s="46"/>
      <c r="CC587" s="46"/>
      <c r="CE587" s="46"/>
      <c r="CF587" s="46"/>
      <c r="CG587" s="46"/>
      <c r="CH587" s="46"/>
      <c r="CI587" s="46"/>
      <c r="EK587" s="46"/>
      <c r="EL587" s="46"/>
      <c r="EM587" s="46"/>
      <c r="EN587" s="46"/>
    </row>
    <row r="588" spans="75:144" x14ac:dyDescent="0.3">
      <c r="BW588" s="46"/>
      <c r="BX588" s="46"/>
      <c r="BY588" s="46"/>
      <c r="BZ588" s="46"/>
      <c r="CA588" s="46"/>
      <c r="CB588" s="46"/>
      <c r="CC588" s="46"/>
      <c r="CE588" s="46"/>
      <c r="CF588" s="46"/>
      <c r="CG588" s="46"/>
      <c r="CH588" s="46"/>
      <c r="CI588" s="46"/>
      <c r="EK588" s="46"/>
      <c r="EL588" s="46"/>
      <c r="EM588" s="46"/>
      <c r="EN588" s="46"/>
    </row>
    <row r="589" spans="75:144" x14ac:dyDescent="0.3">
      <c r="BW589" s="46"/>
      <c r="BX589" s="46"/>
      <c r="BY589" s="46"/>
      <c r="BZ589" s="46"/>
      <c r="CA589" s="46"/>
      <c r="CB589" s="46"/>
      <c r="CC589" s="46"/>
      <c r="CE589" s="46"/>
      <c r="CF589" s="46"/>
      <c r="CG589" s="46"/>
      <c r="CH589" s="46"/>
      <c r="CI589" s="46"/>
      <c r="EK589" s="46"/>
      <c r="EL589" s="46"/>
      <c r="EM589" s="46"/>
      <c r="EN589" s="46"/>
    </row>
    <row r="590" spans="75:144" x14ac:dyDescent="0.3">
      <c r="BW590" s="46"/>
      <c r="BX590" s="46"/>
      <c r="BY590" s="46"/>
      <c r="BZ590" s="46"/>
      <c r="CA590" s="46"/>
      <c r="CB590" s="46"/>
      <c r="CC590" s="46"/>
      <c r="CE590" s="46"/>
      <c r="CF590" s="46"/>
      <c r="CG590" s="46"/>
      <c r="CH590" s="46"/>
      <c r="CI590" s="46"/>
      <c r="EK590" s="46"/>
      <c r="EL590" s="46"/>
      <c r="EM590" s="46"/>
      <c r="EN590" s="46"/>
    </row>
    <row r="591" spans="75:144" x14ac:dyDescent="0.3">
      <c r="BW591" s="46"/>
      <c r="BX591" s="46"/>
      <c r="BY591" s="46"/>
      <c r="BZ591" s="46"/>
      <c r="CA591" s="46"/>
      <c r="CB591" s="46"/>
      <c r="CC591" s="46"/>
      <c r="CE591" s="46"/>
      <c r="CF591" s="46"/>
      <c r="CG591" s="46"/>
      <c r="CH591" s="46"/>
      <c r="CI591" s="46"/>
      <c r="EK591" s="46"/>
      <c r="EL591" s="46"/>
      <c r="EM591" s="46"/>
      <c r="EN591" s="46"/>
    </row>
    <row r="592" spans="75:144" x14ac:dyDescent="0.3">
      <c r="BW592" s="46"/>
      <c r="BX592" s="46"/>
      <c r="BY592" s="46"/>
      <c r="BZ592" s="46"/>
      <c r="CA592" s="46"/>
      <c r="CB592" s="46"/>
      <c r="CC592" s="46"/>
      <c r="CE592" s="46"/>
      <c r="CF592" s="46"/>
      <c r="CG592" s="46"/>
      <c r="CH592" s="46"/>
      <c r="CI592" s="46"/>
      <c r="EK592" s="46"/>
      <c r="EL592" s="46"/>
      <c r="EM592" s="46"/>
      <c r="EN592" s="46"/>
    </row>
    <row r="593" spans="75:144" x14ac:dyDescent="0.3">
      <c r="BW593" s="46"/>
      <c r="BX593" s="46"/>
      <c r="BY593" s="46"/>
      <c r="BZ593" s="46"/>
      <c r="CA593" s="46"/>
      <c r="CB593" s="46"/>
      <c r="CC593" s="46"/>
      <c r="CE593" s="46"/>
      <c r="CF593" s="46"/>
      <c r="CG593" s="46"/>
      <c r="CH593" s="46"/>
      <c r="CI593" s="46"/>
      <c r="EK593" s="46"/>
      <c r="EL593" s="46"/>
      <c r="EM593" s="46"/>
      <c r="EN593" s="46"/>
    </row>
    <row r="594" spans="75:144" x14ac:dyDescent="0.3">
      <c r="BW594" s="46"/>
      <c r="BX594" s="46"/>
      <c r="BY594" s="46"/>
      <c r="BZ594" s="46"/>
      <c r="CA594" s="46"/>
      <c r="CB594" s="46"/>
      <c r="CC594" s="46"/>
      <c r="CE594" s="46"/>
      <c r="CF594" s="46"/>
      <c r="CG594" s="46"/>
      <c r="CH594" s="46"/>
      <c r="CI594" s="46"/>
      <c r="EK594" s="46"/>
      <c r="EL594" s="46"/>
      <c r="EM594" s="46"/>
      <c r="EN594" s="46"/>
    </row>
    <row r="595" spans="75:144" x14ac:dyDescent="0.3">
      <c r="BW595" s="46"/>
      <c r="BX595" s="46"/>
      <c r="BY595" s="46"/>
      <c r="BZ595" s="46"/>
      <c r="CA595" s="46"/>
      <c r="CB595" s="46"/>
      <c r="CC595" s="46"/>
      <c r="CE595" s="46"/>
      <c r="CF595" s="46"/>
      <c r="CG595" s="46"/>
      <c r="CH595" s="46"/>
      <c r="CI595" s="46"/>
      <c r="EK595" s="46"/>
      <c r="EL595" s="46"/>
      <c r="EM595" s="46"/>
      <c r="EN595" s="46"/>
    </row>
    <row r="596" spans="75:144" x14ac:dyDescent="0.3">
      <c r="BW596" s="46"/>
      <c r="BX596" s="46"/>
      <c r="BY596" s="46"/>
      <c r="BZ596" s="46"/>
      <c r="CA596" s="46"/>
      <c r="CB596" s="46"/>
      <c r="CC596" s="46"/>
      <c r="CE596" s="46"/>
      <c r="CF596" s="46"/>
      <c r="CG596" s="46"/>
      <c r="CH596" s="46"/>
      <c r="CI596" s="46"/>
      <c r="EK596" s="46"/>
      <c r="EL596" s="46"/>
      <c r="EM596" s="46"/>
      <c r="EN596" s="46"/>
    </row>
    <row r="597" spans="75:144" x14ac:dyDescent="0.3">
      <c r="BW597" s="46"/>
      <c r="BX597" s="46"/>
      <c r="BY597" s="46"/>
      <c r="BZ597" s="46"/>
      <c r="CA597" s="46"/>
      <c r="CB597" s="46"/>
      <c r="CC597" s="46"/>
      <c r="CE597" s="46"/>
      <c r="CF597" s="46"/>
      <c r="CG597" s="46"/>
      <c r="CH597" s="46"/>
      <c r="CI597" s="46"/>
      <c r="EK597" s="46"/>
      <c r="EL597" s="46"/>
      <c r="EM597" s="46"/>
      <c r="EN597" s="46"/>
    </row>
    <row r="598" spans="75:144" x14ac:dyDescent="0.3">
      <c r="BW598" s="46"/>
      <c r="BX598" s="46"/>
      <c r="BY598" s="46"/>
      <c r="BZ598" s="46"/>
      <c r="CA598" s="46"/>
      <c r="CB598" s="46"/>
      <c r="CC598" s="46"/>
      <c r="CE598" s="46"/>
      <c r="CF598" s="46"/>
      <c r="CG598" s="46"/>
      <c r="CH598" s="46"/>
      <c r="CI598" s="46"/>
      <c r="EK598" s="46"/>
      <c r="EL598" s="46"/>
      <c r="EM598" s="46"/>
      <c r="EN598" s="46"/>
    </row>
    <row r="599" spans="75:144" x14ac:dyDescent="0.3">
      <c r="BW599" s="46"/>
      <c r="BX599" s="46"/>
      <c r="BY599" s="46"/>
      <c r="BZ599" s="46"/>
      <c r="CA599" s="46"/>
      <c r="CB599" s="46"/>
      <c r="CC599" s="46"/>
      <c r="CE599" s="46"/>
      <c r="CF599" s="46"/>
      <c r="CG599" s="46"/>
      <c r="CH599" s="46"/>
      <c r="CI599" s="46"/>
      <c r="EK599" s="46"/>
      <c r="EL599" s="46"/>
      <c r="EM599" s="46"/>
      <c r="EN599" s="46"/>
    </row>
    <row r="600" spans="75:144" x14ac:dyDescent="0.3">
      <c r="BW600" s="46"/>
      <c r="BX600" s="46"/>
      <c r="BY600" s="46"/>
      <c r="BZ600" s="46"/>
      <c r="CA600" s="46"/>
      <c r="CB600" s="46"/>
      <c r="CC600" s="46"/>
      <c r="CE600" s="46"/>
      <c r="CF600" s="46"/>
      <c r="CG600" s="46"/>
      <c r="CH600" s="46"/>
      <c r="CI600" s="46"/>
      <c r="EK600" s="46"/>
      <c r="EL600" s="46"/>
      <c r="EM600" s="46"/>
      <c r="EN600" s="46"/>
    </row>
    <row r="601" spans="75:144" x14ac:dyDescent="0.3">
      <c r="BW601" s="46"/>
      <c r="BX601" s="46"/>
      <c r="BY601" s="46"/>
      <c r="BZ601" s="46"/>
      <c r="CA601" s="46"/>
      <c r="CB601" s="46"/>
      <c r="CC601" s="46"/>
      <c r="CE601" s="46"/>
      <c r="CF601" s="46"/>
      <c r="CG601" s="46"/>
      <c r="CH601" s="46"/>
      <c r="CI601" s="46"/>
      <c r="EK601" s="46"/>
      <c r="EL601" s="46"/>
      <c r="EM601" s="46"/>
      <c r="EN601" s="46"/>
    </row>
    <row r="602" spans="75:144" x14ac:dyDescent="0.3">
      <c r="BW602" s="46"/>
      <c r="BX602" s="46"/>
      <c r="BY602" s="46"/>
      <c r="BZ602" s="46"/>
      <c r="CA602" s="46"/>
      <c r="CB602" s="46"/>
      <c r="CC602" s="46"/>
      <c r="CE602" s="46"/>
      <c r="CF602" s="46"/>
      <c r="CG602" s="46"/>
      <c r="CH602" s="46"/>
      <c r="CI602" s="46"/>
      <c r="EK602" s="46"/>
      <c r="EL602" s="46"/>
      <c r="EM602" s="46"/>
      <c r="EN602" s="46"/>
    </row>
    <row r="603" spans="75:144" x14ac:dyDescent="0.3">
      <c r="BW603" s="46"/>
      <c r="BX603" s="46"/>
      <c r="BY603" s="46"/>
      <c r="BZ603" s="46"/>
      <c r="CA603" s="46"/>
      <c r="CB603" s="46"/>
      <c r="CC603" s="46"/>
      <c r="CE603" s="46"/>
      <c r="CF603" s="46"/>
      <c r="CG603" s="46"/>
      <c r="CH603" s="46"/>
      <c r="CI603" s="46"/>
      <c r="EK603" s="46"/>
      <c r="EL603" s="46"/>
      <c r="EM603" s="46"/>
      <c r="EN603" s="46"/>
    </row>
    <row r="604" spans="75:144" x14ac:dyDescent="0.3">
      <c r="BW604" s="46"/>
      <c r="BX604" s="46"/>
      <c r="BY604" s="46"/>
      <c r="BZ604" s="46"/>
      <c r="CA604" s="46"/>
      <c r="CB604" s="46"/>
      <c r="CC604" s="46"/>
      <c r="CE604" s="46"/>
      <c r="CF604" s="46"/>
      <c r="CG604" s="46"/>
      <c r="CH604" s="46"/>
      <c r="CI604" s="46"/>
      <c r="EK604" s="46"/>
      <c r="EL604" s="46"/>
      <c r="EM604" s="46"/>
      <c r="EN604" s="46"/>
    </row>
    <row r="605" spans="75:144" x14ac:dyDescent="0.3">
      <c r="BW605" s="46"/>
      <c r="BX605" s="46"/>
      <c r="BY605" s="46"/>
      <c r="BZ605" s="46"/>
      <c r="CA605" s="46"/>
      <c r="CB605" s="46"/>
      <c r="CC605" s="46"/>
      <c r="CE605" s="46"/>
      <c r="CF605" s="46"/>
      <c r="CG605" s="46"/>
      <c r="CH605" s="46"/>
      <c r="CI605" s="46"/>
      <c r="EK605" s="46"/>
      <c r="EL605" s="46"/>
      <c r="EM605" s="46"/>
      <c r="EN605" s="46"/>
    </row>
    <row r="606" spans="75:144" x14ac:dyDescent="0.3">
      <c r="BW606" s="46"/>
      <c r="BX606" s="46"/>
      <c r="BY606" s="46"/>
      <c r="BZ606" s="46"/>
      <c r="CA606" s="46"/>
      <c r="CB606" s="46"/>
      <c r="CC606" s="46"/>
      <c r="CE606" s="46"/>
      <c r="CF606" s="46"/>
      <c r="CG606" s="46"/>
      <c r="CH606" s="46"/>
      <c r="CI606" s="46"/>
      <c r="EK606" s="46"/>
      <c r="EL606" s="46"/>
      <c r="EM606" s="46"/>
      <c r="EN606" s="46"/>
    </row>
    <row r="607" spans="75:144" x14ac:dyDescent="0.3">
      <c r="BW607" s="46"/>
      <c r="BX607" s="46"/>
      <c r="BY607" s="46"/>
      <c r="BZ607" s="46"/>
      <c r="CA607" s="46"/>
      <c r="CB607" s="46"/>
      <c r="CC607" s="46"/>
      <c r="CE607" s="46"/>
      <c r="CF607" s="46"/>
      <c r="CG607" s="46"/>
      <c r="CH607" s="46"/>
      <c r="CI607" s="46"/>
      <c r="EK607" s="46"/>
      <c r="EL607" s="46"/>
      <c r="EM607" s="46"/>
      <c r="EN607" s="46"/>
    </row>
    <row r="608" spans="75:144" x14ac:dyDescent="0.3">
      <c r="BW608" s="46"/>
      <c r="BX608" s="46"/>
      <c r="BY608" s="46"/>
      <c r="BZ608" s="46"/>
      <c r="CA608" s="46"/>
      <c r="CB608" s="46"/>
      <c r="CC608" s="46"/>
      <c r="CE608" s="46"/>
      <c r="CF608" s="46"/>
      <c r="CG608" s="46"/>
      <c r="CH608" s="46"/>
      <c r="CI608" s="46"/>
      <c r="EK608" s="46"/>
      <c r="EL608" s="46"/>
      <c r="EM608" s="46"/>
      <c r="EN608" s="46"/>
    </row>
    <row r="609" spans="75:144" x14ac:dyDescent="0.3">
      <c r="BW609" s="46"/>
      <c r="BX609" s="46"/>
      <c r="BY609" s="46"/>
      <c r="BZ609" s="46"/>
      <c r="CA609" s="46"/>
      <c r="CB609" s="46"/>
      <c r="CC609" s="46"/>
      <c r="CE609" s="46"/>
      <c r="CF609" s="46"/>
      <c r="CG609" s="46"/>
      <c r="CH609" s="46"/>
      <c r="CI609" s="46"/>
      <c r="EK609" s="46"/>
      <c r="EL609" s="46"/>
      <c r="EM609" s="46"/>
      <c r="EN609" s="46"/>
    </row>
    <row r="610" spans="75:144" x14ac:dyDescent="0.3">
      <c r="BW610" s="46"/>
      <c r="BX610" s="46"/>
      <c r="BY610" s="46"/>
      <c r="BZ610" s="46"/>
      <c r="CA610" s="46"/>
      <c r="CB610" s="46"/>
      <c r="CC610" s="46"/>
      <c r="CE610" s="46"/>
      <c r="CF610" s="46"/>
      <c r="CG610" s="46"/>
      <c r="CH610" s="46"/>
      <c r="CI610" s="46"/>
      <c r="EK610" s="46"/>
      <c r="EL610" s="46"/>
      <c r="EM610" s="46"/>
      <c r="EN610" s="46"/>
    </row>
    <row r="611" spans="75:144" x14ac:dyDescent="0.3">
      <c r="BW611" s="46"/>
      <c r="BX611" s="46"/>
      <c r="BY611" s="46"/>
      <c r="BZ611" s="46"/>
      <c r="CA611" s="46"/>
      <c r="CB611" s="46"/>
      <c r="CC611" s="46"/>
      <c r="CE611" s="46"/>
      <c r="CF611" s="46"/>
      <c r="CG611" s="46"/>
      <c r="CH611" s="46"/>
      <c r="CI611" s="46"/>
      <c r="EK611" s="46"/>
      <c r="EL611" s="46"/>
      <c r="EM611" s="46"/>
      <c r="EN611" s="46"/>
    </row>
    <row r="612" spans="75:144" x14ac:dyDescent="0.3">
      <c r="BW612" s="46"/>
      <c r="BX612" s="46"/>
      <c r="BY612" s="46"/>
      <c r="BZ612" s="46"/>
      <c r="CA612" s="46"/>
      <c r="CB612" s="46"/>
      <c r="CC612" s="46"/>
      <c r="CE612" s="46"/>
      <c r="CF612" s="46"/>
      <c r="CG612" s="46"/>
      <c r="CH612" s="46"/>
      <c r="CI612" s="46"/>
      <c r="EK612" s="46"/>
      <c r="EL612" s="46"/>
      <c r="EM612" s="46"/>
      <c r="EN612" s="46"/>
    </row>
    <row r="613" spans="75:144" x14ac:dyDescent="0.3">
      <c r="BW613" s="46"/>
      <c r="BX613" s="46"/>
      <c r="BY613" s="46"/>
      <c r="BZ613" s="46"/>
      <c r="CA613" s="46"/>
      <c r="CB613" s="46"/>
      <c r="CC613" s="46"/>
      <c r="CE613" s="46"/>
      <c r="CF613" s="46"/>
      <c r="CG613" s="46"/>
      <c r="CH613" s="46"/>
      <c r="CI613" s="46"/>
      <c r="EK613" s="46"/>
      <c r="EL613" s="46"/>
      <c r="EM613" s="46"/>
      <c r="EN613" s="46"/>
    </row>
    <row r="614" spans="75:144" x14ac:dyDescent="0.3">
      <c r="BW614" s="46"/>
      <c r="BX614" s="46"/>
      <c r="BY614" s="46"/>
      <c r="BZ614" s="46"/>
      <c r="CA614" s="46"/>
      <c r="CB614" s="46"/>
      <c r="CC614" s="46"/>
      <c r="CE614" s="46"/>
      <c r="CF614" s="46"/>
      <c r="CG614" s="46"/>
      <c r="CH614" s="46"/>
      <c r="CI614" s="46"/>
      <c r="EK614" s="46"/>
      <c r="EL614" s="46"/>
      <c r="EM614" s="46"/>
      <c r="EN614" s="46"/>
    </row>
    <row r="615" spans="75:144" x14ac:dyDescent="0.3">
      <c r="BW615" s="46"/>
      <c r="BX615" s="46"/>
      <c r="BY615" s="46"/>
      <c r="BZ615" s="46"/>
      <c r="CA615" s="46"/>
      <c r="CB615" s="46"/>
      <c r="CC615" s="46"/>
      <c r="CE615" s="46"/>
      <c r="CF615" s="46"/>
      <c r="CG615" s="46"/>
      <c r="CH615" s="46"/>
      <c r="CI615" s="46"/>
      <c r="EK615" s="46"/>
      <c r="EL615" s="46"/>
      <c r="EM615" s="46"/>
      <c r="EN615" s="46"/>
    </row>
    <row r="616" spans="75:144" x14ac:dyDescent="0.3">
      <c r="BW616" s="46"/>
      <c r="BX616" s="46"/>
      <c r="BY616" s="46"/>
      <c r="BZ616" s="46"/>
      <c r="CA616" s="46"/>
      <c r="CB616" s="46"/>
      <c r="CC616" s="46"/>
      <c r="CE616" s="46"/>
      <c r="CF616" s="46"/>
      <c r="CG616" s="46"/>
      <c r="CH616" s="46"/>
      <c r="CI616" s="46"/>
      <c r="EK616" s="46"/>
      <c r="EL616" s="46"/>
      <c r="EM616" s="46"/>
      <c r="EN616" s="46"/>
    </row>
    <row r="617" spans="75:144" x14ac:dyDescent="0.3">
      <c r="BW617" s="46"/>
      <c r="BX617" s="46"/>
      <c r="BY617" s="46"/>
      <c r="BZ617" s="46"/>
      <c r="CA617" s="46"/>
      <c r="CB617" s="46"/>
      <c r="CC617" s="46"/>
      <c r="CE617" s="46"/>
      <c r="CF617" s="46"/>
      <c r="CG617" s="46"/>
      <c r="CH617" s="46"/>
      <c r="CI617" s="46"/>
      <c r="EK617" s="46"/>
      <c r="EL617" s="46"/>
      <c r="EM617" s="46"/>
      <c r="EN617" s="46"/>
    </row>
    <row r="618" spans="75:144" x14ac:dyDescent="0.3">
      <c r="BW618" s="46"/>
      <c r="BX618" s="46"/>
      <c r="BY618" s="46"/>
      <c r="BZ618" s="46"/>
      <c r="CA618" s="46"/>
      <c r="CB618" s="46"/>
      <c r="CC618" s="46"/>
      <c r="CE618" s="46"/>
      <c r="CF618" s="46"/>
      <c r="CG618" s="46"/>
      <c r="CH618" s="46"/>
      <c r="CI618" s="46"/>
      <c r="EK618" s="46"/>
      <c r="EL618" s="46"/>
      <c r="EM618" s="46"/>
      <c r="EN618" s="46"/>
    </row>
    <row r="619" spans="75:144" x14ac:dyDescent="0.3">
      <c r="BW619" s="46"/>
      <c r="BX619" s="46"/>
      <c r="BY619" s="46"/>
      <c r="BZ619" s="46"/>
      <c r="CA619" s="46"/>
      <c r="CB619" s="46"/>
      <c r="CC619" s="46"/>
      <c r="CE619" s="46"/>
      <c r="CF619" s="46"/>
      <c r="CG619" s="46"/>
      <c r="CH619" s="46"/>
      <c r="CI619" s="46"/>
      <c r="EK619" s="46"/>
      <c r="EL619" s="46"/>
      <c r="EM619" s="46"/>
      <c r="EN619" s="46"/>
    </row>
  </sheetData>
  <mergeCells count="153">
    <mergeCell ref="EW1:GJ1"/>
    <mergeCell ref="FN4:FO4"/>
    <mergeCell ref="FP4:FR4"/>
    <mergeCell ref="FS4:FT4"/>
    <mergeCell ref="FV4:FV5"/>
    <mergeCell ref="GA4:GB4"/>
    <mergeCell ref="GC4:GE4"/>
    <mergeCell ref="GF4:GG4"/>
    <mergeCell ref="GI4:GI5"/>
    <mergeCell ref="EW4:EY4"/>
    <mergeCell ref="EZ4:FA4"/>
    <mergeCell ref="FB4:FD4"/>
    <mergeCell ref="FE4:FF4"/>
    <mergeCell ref="FI4:FJ4"/>
    <mergeCell ref="FH4:FH5"/>
    <mergeCell ref="FG4:FG5"/>
    <mergeCell ref="FK4:FM4"/>
    <mergeCell ref="FX4:FZ4"/>
    <mergeCell ref="ED4:ED5"/>
    <mergeCell ref="V4:AA4"/>
    <mergeCell ref="I117:I118"/>
    <mergeCell ref="J117:J118"/>
    <mergeCell ref="I49:K49"/>
    <mergeCell ref="I77:L77"/>
    <mergeCell ref="I78:I79"/>
    <mergeCell ref="J78:J79"/>
    <mergeCell ref="I80:K80"/>
    <mergeCell ref="I82:K82"/>
    <mergeCell ref="I83:L83"/>
    <mergeCell ref="I85:K85"/>
    <mergeCell ref="I86:L86"/>
    <mergeCell ref="I88:K88"/>
    <mergeCell ref="I116:L116"/>
    <mergeCell ref="I44:L44"/>
    <mergeCell ref="I46:K46"/>
    <mergeCell ref="I135:K135"/>
    <mergeCell ref="I136:K136"/>
    <mergeCell ref="I125:K125"/>
    <mergeCell ref="I126:L126"/>
    <mergeCell ref="I127:I128"/>
    <mergeCell ref="J127:J128"/>
    <mergeCell ref="I129:K129"/>
    <mergeCell ref="I22:K22"/>
    <mergeCell ref="I23:L23"/>
    <mergeCell ref="I24:I25"/>
    <mergeCell ref="J24:J25"/>
    <mergeCell ref="I26:K26"/>
    <mergeCell ref="I27:L27"/>
    <mergeCell ref="I29:K29"/>
    <mergeCell ref="I41:L41"/>
    <mergeCell ref="I43:K43"/>
    <mergeCell ref="M3:M5"/>
    <mergeCell ref="N3:N5"/>
    <mergeCell ref="M262:N262"/>
    <mergeCell ref="M315:N315"/>
    <mergeCell ref="M328:N328"/>
    <mergeCell ref="M330:N330"/>
    <mergeCell ref="M332:N332"/>
    <mergeCell ref="T4:T5"/>
    <mergeCell ref="I119:K119"/>
    <mergeCell ref="I120:I121"/>
    <mergeCell ref="J120:J121"/>
    <mergeCell ref="I122:K122"/>
    <mergeCell ref="I123:L123"/>
    <mergeCell ref="I186:K186"/>
    <mergeCell ref="I132:K132"/>
    <mergeCell ref="I178:L178"/>
    <mergeCell ref="I180:K180"/>
    <mergeCell ref="I181:L181"/>
    <mergeCell ref="I183:K183"/>
    <mergeCell ref="I184:L184"/>
    <mergeCell ref="I130:L130"/>
    <mergeCell ref="I133:K133"/>
    <mergeCell ref="I134:L134"/>
    <mergeCell ref="I47:L47"/>
    <mergeCell ref="M266:N266"/>
    <mergeCell ref="M267:N267"/>
    <mergeCell ref="M294:N294"/>
    <mergeCell ref="M298:N298"/>
    <mergeCell ref="M316:N316"/>
    <mergeCell ref="M318:N318"/>
    <mergeCell ref="M265:N265"/>
    <mergeCell ref="M301:N301"/>
    <mergeCell ref="M304:N304"/>
    <mergeCell ref="M308:N308"/>
    <mergeCell ref="M311:N311"/>
    <mergeCell ref="GK4:GK5"/>
    <mergeCell ref="B4:E4"/>
    <mergeCell ref="F4:H4"/>
    <mergeCell ref="AS4:AW4"/>
    <mergeCell ref="AX4:AX5"/>
    <mergeCell ref="DE4:DE5"/>
    <mergeCell ref="BM4:BQ4"/>
    <mergeCell ref="BR4:BV4"/>
    <mergeCell ref="DD4:DD5"/>
    <mergeCell ref="AN4:AR4"/>
    <mergeCell ref="CR4:CR5"/>
    <mergeCell ref="AI4:AM4"/>
    <mergeCell ref="EP4:EV4"/>
    <mergeCell ref="EF4:EF5"/>
    <mergeCell ref="EI4:EO4"/>
    <mergeCell ref="DF4:DJ4"/>
    <mergeCell ref="DK4:DO4"/>
    <mergeCell ref="DP4:DT4"/>
    <mergeCell ref="DU4:DW4"/>
    <mergeCell ref="DX4:DX5"/>
    <mergeCell ref="DZ4:DZ5"/>
    <mergeCell ref="EA4:EA5"/>
    <mergeCell ref="EC4:EC5"/>
    <mergeCell ref="U4:U5"/>
    <mergeCell ref="AB3:AH3"/>
    <mergeCell ref="AB4:AB5"/>
    <mergeCell ref="AC4:AC5"/>
    <mergeCell ref="AD4:AF4"/>
    <mergeCell ref="AG4:AG5"/>
    <mergeCell ref="AY3:BE3"/>
    <mergeCell ref="AY4:AY5"/>
    <mergeCell ref="AZ4:AZ5"/>
    <mergeCell ref="BA4:BC4"/>
    <mergeCell ref="BD4:BD5"/>
    <mergeCell ref="BG4:BG5"/>
    <mergeCell ref="BK4:BK5"/>
    <mergeCell ref="BH4:BJ4"/>
    <mergeCell ref="BW3:CC3"/>
    <mergeCell ref="BW4:BW5"/>
    <mergeCell ref="BX4:BX5"/>
    <mergeCell ref="CB4:CB5"/>
    <mergeCell ref="BY4:CA4"/>
    <mergeCell ref="BF3:BV3"/>
    <mergeCell ref="CN4:CN5"/>
    <mergeCell ref="CO4:CO5"/>
    <mergeCell ref="AB1:BZ1"/>
    <mergeCell ref="CS3:CV3"/>
    <mergeCell ref="CS4:CS5"/>
    <mergeCell ref="CT4:CT5"/>
    <mergeCell ref="CU4:CU5"/>
    <mergeCell ref="CV4:CV5"/>
    <mergeCell ref="CX3:DC3"/>
    <mergeCell ref="CX4:CX5"/>
    <mergeCell ref="CY4:CY5"/>
    <mergeCell ref="CZ4:CZ5"/>
    <mergeCell ref="DA4:DA5"/>
    <mergeCell ref="CD3:CJ3"/>
    <mergeCell ref="CD4:CD5"/>
    <mergeCell ref="CE4:CE5"/>
    <mergeCell ref="CI4:CI5"/>
    <mergeCell ref="CF4:CH4"/>
    <mergeCell ref="CK3:CQ3"/>
    <mergeCell ref="CK4:CK5"/>
    <mergeCell ref="CL4:CL5"/>
    <mergeCell ref="CM4:CM5"/>
    <mergeCell ref="CP4:CP5"/>
    <mergeCell ref="BF4:BF5"/>
  </mergeCells>
  <pageMargins left="0.78740157480314965" right="0.78740157480314965" top="0.78740157480314965" bottom="0.39370078740157483" header="0" footer="0"/>
  <pageSetup paperSize="9" scale="5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дор.фонд на 01.01.21 (декабрь)</vt:lpstr>
      <vt:lpstr>'дор.фонд на 01.01.21 (декабрь)'!Заголовки_для_печати</vt:lpstr>
      <vt:lpstr>'дор.фонд на 01.01.21 (декабрь)'!Область_печати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Васютина Ольга Валерьевна</cp:lastModifiedBy>
  <cp:lastPrinted>2021-03-03T13:13:59Z</cp:lastPrinted>
  <dcterms:created xsi:type="dcterms:W3CDTF">2012-06-05T13:34:09Z</dcterms:created>
  <dcterms:modified xsi:type="dcterms:W3CDTF">2021-03-03T13:25:02Z</dcterms:modified>
</cp:coreProperties>
</file>